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4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drawings/drawing5.xml" ContentType="application/vnd.openxmlformats-officedocument.drawing+xml"/>
  <Override PartName="/xl/embeddings/oleObject4.bin" ContentType="application/vnd.openxmlformats-officedocument.oleObject"/>
  <Override PartName="/xl/drawings/drawing6.xml" ContentType="application/vnd.openxmlformats-officedocument.drawing+xml"/>
  <Override PartName="/xl/embeddings/oleObject5.bin" ContentType="application/vnd.openxmlformats-officedocument.oleObject"/>
  <Override PartName="/xl/drawings/drawing7.xml" ContentType="application/vnd.openxmlformats-officedocument.drawing+xml"/>
  <Override PartName="/xl/embeddings/oleObject6.bin" ContentType="application/vnd.openxmlformats-officedocument.oleObject"/>
  <Override PartName="/xl/drawings/drawing8.xml" ContentType="application/vnd.openxmlformats-officedocument.drawing+xml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drawings/drawing9.xml" ContentType="application/vnd.openxmlformats-officedocument.drawing+xml"/>
  <Override PartName="/xl/embeddings/oleObject9.bin" ContentType="application/vnd.openxmlformats-officedocument.oleObject"/>
  <Override PartName="/xl/embeddings/oleObject10.bin" ContentType="application/vnd.openxmlformats-officedocument.oleObject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750" windowWidth="13290" windowHeight="12795" tabRatio="858"/>
  </bookViews>
  <sheets>
    <sheet name="Introduction" sheetId="9" r:id="rId1"/>
    <sheet name="SimpleCalc" sheetId="25" r:id="rId2"/>
    <sheet name="Assumptions" sheetId="23" r:id="rId3"/>
    <sheet name="R. Results" sheetId="1" r:id="rId4"/>
    <sheet name="S. Setup" sheetId="16" r:id="rId5"/>
    <sheet name="1. AgeData" sheetId="2" r:id="rId6"/>
    <sheet name="2. TaxData" sheetId="7" r:id="rId7"/>
    <sheet name="3. WorkData" sheetId="10" r:id="rId8"/>
    <sheet name="4. PensionData" sheetId="3" r:id="rId9"/>
    <sheet name="5. SocSecData" sheetId="4" r:id="rId10"/>
    <sheet name="6. AnnuityData" sheetId="15" r:id="rId11"/>
    <sheet name="7. IRAdata" sheetId="5" r:id="rId12"/>
    <sheet name="8. RothData" sheetId="11" r:id="rId13"/>
    <sheet name="9. SavingsData" sheetId="6" r:id="rId14"/>
    <sheet name="10. ExpensesData" sheetId="13" r:id="rId15"/>
    <sheet name="11. CashData" sheetId="14" r:id="rId16"/>
    <sheet name="12. RMDtable" sheetId="8" r:id="rId17"/>
    <sheet name="RS. Resources" sheetId="24" r:id="rId18"/>
    <sheet name="Appendix A" sheetId="21" r:id="rId19"/>
    <sheet name="Appendix B" sheetId="17" r:id="rId20"/>
    <sheet name="Appendix C" sheetId="18" r:id="rId21"/>
    <sheet name="Appendix D" sheetId="19" r:id="rId22"/>
    <sheet name="FAQ" sheetId="22" r:id="rId23"/>
  </sheets>
  <calcPr calcId="145621" concurrentCalc="0"/>
</workbook>
</file>

<file path=xl/calcChain.xml><?xml version="1.0" encoding="utf-8"?>
<calcChain xmlns="http://schemas.openxmlformats.org/spreadsheetml/2006/main">
  <c r="L189" i="5" l="1"/>
  <c r="L183" i="5"/>
  <c r="F78" i="6"/>
  <c r="F79" i="6"/>
  <c r="I88" i="6"/>
  <c r="I89" i="6"/>
  <c r="I91" i="6"/>
  <c r="I95" i="6"/>
  <c r="G67" i="6"/>
  <c r="I83" i="6"/>
  <c r="I84" i="6"/>
  <c r="I85" i="6"/>
  <c r="I86" i="6"/>
  <c r="I94" i="6"/>
  <c r="G65" i="6"/>
  <c r="B226" i="17"/>
  <c r="C226" i="17"/>
  <c r="G230" i="17"/>
  <c r="G231" i="17"/>
  <c r="G232" i="17"/>
  <c r="G233" i="17"/>
  <c r="G234" i="17"/>
  <c r="G235" i="17"/>
  <c r="G236" i="17"/>
  <c r="G237" i="17"/>
  <c r="G238" i="17"/>
  <c r="G239" i="17"/>
  <c r="G240" i="17"/>
  <c r="G241" i="17"/>
  <c r="G242" i="17"/>
  <c r="G243" i="17"/>
  <c r="G244" i="17"/>
  <c r="G245" i="17"/>
  <c r="G246" i="17"/>
  <c r="G247" i="17"/>
  <c r="G248" i="17"/>
  <c r="G249" i="17"/>
  <c r="G250" i="17"/>
  <c r="G251" i="17"/>
  <c r="G252" i="17"/>
  <c r="G253" i="17"/>
  <c r="G254" i="17"/>
  <c r="G255" i="17"/>
  <c r="G256" i="17"/>
  <c r="G257" i="17"/>
  <c r="G258" i="17"/>
  <c r="G259" i="17"/>
  <c r="G260" i="17"/>
  <c r="G261" i="17"/>
  <c r="G262" i="17"/>
  <c r="G263" i="17"/>
  <c r="G264" i="17"/>
  <c r="G265" i="17"/>
  <c r="G266" i="17"/>
  <c r="G267" i="17"/>
  <c r="G268" i="17"/>
  <c r="G269" i="17"/>
  <c r="G270" i="17"/>
  <c r="G271" i="17"/>
  <c r="G272" i="17"/>
  <c r="G273" i="17"/>
  <c r="G274" i="17"/>
  <c r="G275" i="17"/>
  <c r="G276" i="17"/>
  <c r="G277" i="17"/>
  <c r="G278" i="17"/>
  <c r="G279" i="17"/>
  <c r="G280" i="17"/>
  <c r="G281" i="17"/>
  <c r="G282" i="17"/>
  <c r="G283" i="17"/>
  <c r="G284" i="17"/>
  <c r="G285" i="17"/>
  <c r="G286" i="17"/>
  <c r="G287" i="17"/>
  <c r="G288" i="17"/>
  <c r="G289" i="17"/>
  <c r="G290" i="17"/>
  <c r="G291" i="17"/>
  <c r="G292" i="17"/>
  <c r="G293" i="17"/>
  <c r="G294" i="17"/>
  <c r="G295" i="17"/>
  <c r="G296" i="17"/>
  <c r="G297" i="17"/>
  <c r="G298" i="17"/>
  <c r="G299" i="17"/>
  <c r="G300" i="17"/>
  <c r="G301" i="17"/>
  <c r="G302" i="17"/>
  <c r="G303" i="17"/>
  <c r="G304" i="17"/>
  <c r="G305" i="17"/>
  <c r="G306" i="17"/>
  <c r="G307" i="17"/>
  <c r="F237" i="17"/>
  <c r="H139" i="5"/>
  <c r="I191" i="23"/>
  <c r="H191" i="23"/>
  <c r="F92" i="5"/>
  <c r="F93" i="5"/>
  <c r="F139" i="5"/>
  <c r="G191" i="23"/>
  <c r="F191" i="23"/>
  <c r="E191" i="23"/>
  <c r="H138" i="5"/>
  <c r="I190" i="23"/>
  <c r="H190" i="23"/>
  <c r="F138" i="5"/>
  <c r="G190" i="23"/>
  <c r="F190" i="23"/>
  <c r="E190" i="23"/>
  <c r="D126" i="5"/>
  <c r="H121" i="5"/>
  <c r="H122" i="5"/>
  <c r="H123" i="5"/>
  <c r="H124" i="5"/>
  <c r="H125" i="5"/>
  <c r="H126" i="5"/>
  <c r="H137" i="5"/>
  <c r="I189" i="23"/>
  <c r="G126" i="5"/>
  <c r="G137" i="5"/>
  <c r="H189" i="23"/>
  <c r="F121" i="5"/>
  <c r="F122" i="5"/>
  <c r="F123" i="5"/>
  <c r="F124" i="5"/>
  <c r="F125" i="5"/>
  <c r="F126" i="5"/>
  <c r="F137" i="5"/>
  <c r="G189" i="23"/>
  <c r="E126" i="5"/>
  <c r="E137" i="5"/>
  <c r="F189" i="23"/>
  <c r="D137" i="5"/>
  <c r="E189" i="23"/>
  <c r="E184" i="23"/>
  <c r="F184" i="23"/>
  <c r="H132" i="5"/>
  <c r="F132" i="5"/>
  <c r="G184" i="23"/>
  <c r="H184" i="23"/>
  <c r="I184" i="23"/>
  <c r="E185" i="23"/>
  <c r="F185" i="23"/>
  <c r="H133" i="5"/>
  <c r="F133" i="5"/>
  <c r="G185" i="23"/>
  <c r="H185" i="23"/>
  <c r="I185" i="23"/>
  <c r="D118" i="5"/>
  <c r="E118" i="5"/>
  <c r="E131" i="5"/>
  <c r="F183" i="23"/>
  <c r="H113" i="5"/>
  <c r="F113" i="5"/>
  <c r="H114" i="5"/>
  <c r="F114" i="5"/>
  <c r="H115" i="5"/>
  <c r="F115" i="5"/>
  <c r="H116" i="5"/>
  <c r="F116" i="5"/>
  <c r="H117" i="5"/>
  <c r="F117" i="5"/>
  <c r="F118" i="5"/>
  <c r="F131" i="5"/>
  <c r="G183" i="23"/>
  <c r="G118" i="5"/>
  <c r="G131" i="5"/>
  <c r="H183" i="23"/>
  <c r="H118" i="5"/>
  <c r="H131" i="5"/>
  <c r="I183" i="23"/>
  <c r="D131" i="5"/>
  <c r="E183" i="23"/>
  <c r="I192" i="23"/>
  <c r="F97" i="23"/>
  <c r="G192" i="23"/>
  <c r="I186" i="23"/>
  <c r="G186" i="23"/>
  <c r="E176" i="23"/>
  <c r="F176" i="23"/>
  <c r="G176" i="23"/>
  <c r="H176" i="23"/>
  <c r="I176" i="23"/>
  <c r="E177" i="23"/>
  <c r="F177" i="23"/>
  <c r="G177" i="23"/>
  <c r="H177" i="23"/>
  <c r="I177" i="23"/>
  <c r="E178" i="23"/>
  <c r="F178" i="23"/>
  <c r="G178" i="23"/>
  <c r="H178" i="23"/>
  <c r="I178" i="23"/>
  <c r="E179" i="23"/>
  <c r="F179" i="23"/>
  <c r="G179" i="23"/>
  <c r="H179" i="23"/>
  <c r="I179" i="23"/>
  <c r="E180" i="23"/>
  <c r="F180" i="23"/>
  <c r="G180" i="23"/>
  <c r="H180" i="23"/>
  <c r="I180" i="23"/>
  <c r="F175" i="23"/>
  <c r="G175" i="23"/>
  <c r="H175" i="23"/>
  <c r="I175" i="23"/>
  <c r="E175" i="23"/>
  <c r="G168" i="23"/>
  <c r="H168" i="23"/>
  <c r="I168" i="23"/>
  <c r="G169" i="23"/>
  <c r="H169" i="23"/>
  <c r="I169" i="23"/>
  <c r="G170" i="23"/>
  <c r="H170" i="23"/>
  <c r="I170" i="23"/>
  <c r="G171" i="23"/>
  <c r="H171" i="23"/>
  <c r="I171" i="23"/>
  <c r="G172" i="23"/>
  <c r="H172" i="23"/>
  <c r="I172" i="23"/>
  <c r="G167" i="23"/>
  <c r="H167" i="23"/>
  <c r="I167" i="23"/>
  <c r="F168" i="23"/>
  <c r="F169" i="23"/>
  <c r="F170" i="23"/>
  <c r="F171" i="23"/>
  <c r="F172" i="23"/>
  <c r="F167" i="23"/>
  <c r="E167" i="23"/>
  <c r="E172" i="23"/>
  <c r="E171" i="23"/>
  <c r="E170" i="23"/>
  <c r="E169" i="23"/>
  <c r="E168" i="23"/>
  <c r="K265" i="23"/>
  <c r="K262" i="23"/>
  <c r="A131" i="4"/>
  <c r="G45" i="4"/>
  <c r="C131" i="4"/>
  <c r="K87" i="4"/>
  <c r="K131" i="4"/>
  <c r="E131" i="4"/>
  <c r="B131" i="4"/>
  <c r="G47" i="4"/>
  <c r="D131" i="4"/>
  <c r="F131" i="4"/>
  <c r="G131" i="4"/>
  <c r="I239" i="1"/>
  <c r="A90" i="3"/>
  <c r="F47" i="3"/>
  <c r="B90" i="3"/>
  <c r="F52" i="3"/>
  <c r="F44" i="3"/>
  <c r="C90" i="3"/>
  <c r="E90" i="3"/>
  <c r="F49" i="3"/>
  <c r="H54" i="3"/>
  <c r="D90" i="3"/>
  <c r="A91" i="3"/>
  <c r="B91" i="3"/>
  <c r="F90" i="3"/>
  <c r="G90" i="3"/>
  <c r="C239" i="1"/>
  <c r="A69" i="10"/>
  <c r="C69" i="10"/>
  <c r="B69" i="10"/>
  <c r="D69" i="10"/>
  <c r="E69" i="10"/>
  <c r="F69" i="10"/>
  <c r="C312" i="1"/>
  <c r="A239" i="1"/>
  <c r="A103" i="15"/>
  <c r="F46" i="15"/>
  <c r="F40" i="15"/>
  <c r="C103" i="15"/>
  <c r="E312" i="1"/>
  <c r="K312" i="1"/>
  <c r="I848" i="1"/>
  <c r="C52" i="14"/>
  <c r="A458" i="5"/>
  <c r="I15" i="5"/>
  <c r="D166" i="5"/>
  <c r="F166" i="5"/>
  <c r="F180" i="5"/>
  <c r="G166" i="5"/>
  <c r="G180" i="5"/>
  <c r="C458" i="5"/>
  <c r="D174" i="5"/>
  <c r="F174" i="5"/>
  <c r="F186" i="5"/>
  <c r="G174" i="5"/>
  <c r="G186" i="5"/>
  <c r="D186" i="5"/>
  <c r="E458" i="5"/>
  <c r="H458" i="5"/>
  <c r="I16" i="5"/>
  <c r="A504" i="5"/>
  <c r="B703" i="5"/>
  <c r="B704" i="5"/>
  <c r="B705" i="5"/>
  <c r="B706" i="5"/>
  <c r="B707" i="5"/>
  <c r="B708" i="5"/>
  <c r="B709" i="5"/>
  <c r="B710" i="5"/>
  <c r="B711" i="5"/>
  <c r="B712" i="5"/>
  <c r="B713" i="5"/>
  <c r="B714" i="5"/>
  <c r="B715" i="5"/>
  <c r="B716" i="5"/>
  <c r="B717" i="5"/>
  <c r="B718" i="5"/>
  <c r="B719" i="5"/>
  <c r="B720" i="5"/>
  <c r="B721" i="5"/>
  <c r="B722" i="5"/>
  <c r="B723" i="5"/>
  <c r="B724" i="5"/>
  <c r="B725" i="5"/>
  <c r="B726" i="5"/>
  <c r="B727" i="5"/>
  <c r="B728" i="5"/>
  <c r="B729" i="5"/>
  <c r="B730" i="5"/>
  <c r="B731" i="5"/>
  <c r="B732" i="5"/>
  <c r="B733" i="5"/>
  <c r="B734" i="5"/>
  <c r="B735" i="5"/>
  <c r="B736" i="5"/>
  <c r="B737" i="5"/>
  <c r="B738" i="5"/>
  <c r="B739" i="5"/>
  <c r="B740" i="5"/>
  <c r="B741" i="5"/>
  <c r="B742" i="5"/>
  <c r="B743" i="5"/>
  <c r="B744" i="5"/>
  <c r="B745" i="5"/>
  <c r="B746" i="5"/>
  <c r="B747" i="5"/>
  <c r="B748" i="5"/>
  <c r="B749" i="5"/>
  <c r="B750" i="5"/>
  <c r="B751" i="5"/>
  <c r="B752" i="5"/>
  <c r="B753" i="5"/>
  <c r="B754" i="5"/>
  <c r="B755" i="5"/>
  <c r="B756" i="5"/>
  <c r="B757" i="5"/>
  <c r="B758" i="5"/>
  <c r="B759" i="5"/>
  <c r="B760" i="5"/>
  <c r="B761" i="5"/>
  <c r="B762" i="5"/>
  <c r="B763" i="5"/>
  <c r="B764" i="5"/>
  <c r="B765" i="5"/>
  <c r="B766" i="5"/>
  <c r="B767" i="5"/>
  <c r="B768" i="5"/>
  <c r="B769" i="5"/>
  <c r="B770" i="5"/>
  <c r="B771" i="5"/>
  <c r="B772" i="5"/>
  <c r="B773" i="5"/>
  <c r="B774" i="5"/>
  <c r="B775" i="5"/>
  <c r="B776" i="5"/>
  <c r="B777" i="5"/>
  <c r="B778" i="5"/>
  <c r="B779" i="5"/>
  <c r="B780" i="5"/>
  <c r="B781" i="5"/>
  <c r="B782" i="5"/>
  <c r="B783" i="5"/>
  <c r="B784" i="5"/>
  <c r="B785" i="5"/>
  <c r="B786" i="5"/>
  <c r="B787" i="5"/>
  <c r="B788" i="5"/>
  <c r="B789" i="5"/>
  <c r="B790" i="5"/>
  <c r="B791" i="5"/>
  <c r="B792" i="5"/>
  <c r="B793" i="5"/>
  <c r="B794" i="5"/>
  <c r="B795" i="5"/>
  <c r="B796" i="5"/>
  <c r="B797" i="5"/>
  <c r="B798" i="5"/>
  <c r="B799" i="5"/>
  <c r="B800" i="5"/>
  <c r="B801" i="5"/>
  <c r="B802" i="5"/>
  <c r="B803" i="5"/>
  <c r="B804" i="5"/>
  <c r="B805" i="5"/>
  <c r="C703" i="5"/>
  <c r="C704" i="5"/>
  <c r="C705" i="5"/>
  <c r="C706" i="5"/>
  <c r="C707" i="5"/>
  <c r="C708" i="5"/>
  <c r="C709" i="5"/>
  <c r="I65" i="7"/>
  <c r="G242" i="5"/>
  <c r="C710" i="5"/>
  <c r="G243" i="5"/>
  <c r="C711" i="5"/>
  <c r="C712" i="5"/>
  <c r="C713" i="5"/>
  <c r="C714" i="5"/>
  <c r="C715" i="5"/>
  <c r="C716" i="5"/>
  <c r="C717" i="5"/>
  <c r="C718" i="5"/>
  <c r="C719" i="5"/>
  <c r="C720" i="5"/>
  <c r="C721" i="5"/>
  <c r="C722" i="5"/>
  <c r="C723" i="5"/>
  <c r="C724" i="5"/>
  <c r="C725" i="5"/>
  <c r="C726" i="5"/>
  <c r="C727" i="5"/>
  <c r="C728" i="5"/>
  <c r="C729" i="5"/>
  <c r="C730" i="5"/>
  <c r="C731" i="5"/>
  <c r="C732" i="5"/>
  <c r="C733" i="5"/>
  <c r="C734" i="5"/>
  <c r="C735" i="5"/>
  <c r="C736" i="5"/>
  <c r="C737" i="5"/>
  <c r="C738" i="5"/>
  <c r="C739" i="5"/>
  <c r="C740" i="5"/>
  <c r="C741" i="5"/>
  <c r="C742" i="5"/>
  <c r="C743" i="5"/>
  <c r="C744" i="5"/>
  <c r="C745" i="5"/>
  <c r="C746" i="5"/>
  <c r="C747" i="5"/>
  <c r="C748" i="5"/>
  <c r="C749" i="5"/>
  <c r="C750" i="5"/>
  <c r="C751" i="5"/>
  <c r="C752" i="5"/>
  <c r="C753" i="5"/>
  <c r="C754" i="5"/>
  <c r="C755" i="5"/>
  <c r="C756" i="5"/>
  <c r="C757" i="5"/>
  <c r="C758" i="5"/>
  <c r="C759" i="5"/>
  <c r="C760" i="5"/>
  <c r="C761" i="5"/>
  <c r="C762" i="5"/>
  <c r="C763" i="5"/>
  <c r="C764" i="5"/>
  <c r="C765" i="5"/>
  <c r="C766" i="5"/>
  <c r="C767" i="5"/>
  <c r="C768" i="5"/>
  <c r="C769" i="5"/>
  <c r="C770" i="5"/>
  <c r="C771" i="5"/>
  <c r="C772" i="5"/>
  <c r="C773" i="5"/>
  <c r="C774" i="5"/>
  <c r="C775" i="5"/>
  <c r="C776" i="5"/>
  <c r="C777" i="5"/>
  <c r="C778" i="5"/>
  <c r="C779" i="5"/>
  <c r="C780" i="5"/>
  <c r="C781" i="5"/>
  <c r="C782" i="5"/>
  <c r="C783" i="5"/>
  <c r="C784" i="5"/>
  <c r="C785" i="5"/>
  <c r="C786" i="5"/>
  <c r="C787" i="5"/>
  <c r="C788" i="5"/>
  <c r="C789" i="5"/>
  <c r="C790" i="5"/>
  <c r="C791" i="5"/>
  <c r="C792" i="5"/>
  <c r="C793" i="5"/>
  <c r="C794" i="5"/>
  <c r="C795" i="5"/>
  <c r="C796" i="5"/>
  <c r="C797" i="5"/>
  <c r="C798" i="5"/>
  <c r="C799" i="5"/>
  <c r="C800" i="5"/>
  <c r="C801" i="5"/>
  <c r="C802" i="5"/>
  <c r="C803" i="5"/>
  <c r="C804" i="5"/>
  <c r="C805" i="5"/>
  <c r="C504" i="5"/>
  <c r="F804" i="5"/>
  <c r="F805" i="5"/>
  <c r="F811" i="5"/>
  <c r="F812" i="5"/>
  <c r="F813" i="5"/>
  <c r="F814" i="5"/>
  <c r="F815" i="5"/>
  <c r="F816" i="5"/>
  <c r="F817" i="5"/>
  <c r="F818" i="5"/>
  <c r="F819" i="5"/>
  <c r="F820" i="5"/>
  <c r="F821" i="5"/>
  <c r="F822" i="5"/>
  <c r="F823" i="5"/>
  <c r="F824" i="5"/>
  <c r="F825" i="5"/>
  <c r="F826" i="5"/>
  <c r="F827" i="5"/>
  <c r="F828" i="5"/>
  <c r="F829" i="5"/>
  <c r="F830" i="5"/>
  <c r="F831" i="5"/>
  <c r="F832" i="5"/>
  <c r="F833" i="5"/>
  <c r="F834" i="5"/>
  <c r="F835" i="5"/>
  <c r="F836" i="5"/>
  <c r="F837" i="5"/>
  <c r="F838" i="5"/>
  <c r="F839" i="5"/>
  <c r="F840" i="5"/>
  <c r="F841" i="5"/>
  <c r="F842" i="5"/>
  <c r="F843" i="5"/>
  <c r="F844" i="5"/>
  <c r="F845" i="5"/>
  <c r="F846" i="5"/>
  <c r="F847" i="5"/>
  <c r="F848" i="5"/>
  <c r="F849" i="5"/>
  <c r="F850" i="5"/>
  <c r="F851" i="5"/>
  <c r="F852" i="5"/>
  <c r="F853" i="5"/>
  <c r="F854" i="5"/>
  <c r="F855" i="5"/>
  <c r="F856" i="5"/>
  <c r="F857" i="5"/>
  <c r="F858" i="5"/>
  <c r="F859" i="5"/>
  <c r="F860" i="5"/>
  <c r="F861" i="5"/>
  <c r="F862" i="5"/>
  <c r="F863" i="5"/>
  <c r="F864" i="5"/>
  <c r="F865" i="5"/>
  <c r="F866" i="5"/>
  <c r="F867" i="5"/>
  <c r="F868" i="5"/>
  <c r="F869" i="5"/>
  <c r="F870" i="5"/>
  <c r="F871" i="5"/>
  <c r="F872" i="5"/>
  <c r="F873" i="5"/>
  <c r="F874" i="5"/>
  <c r="F875" i="5"/>
  <c r="F876" i="5"/>
  <c r="F877" i="5"/>
  <c r="F878" i="5"/>
  <c r="F879" i="5"/>
  <c r="F880" i="5"/>
  <c r="F881" i="5"/>
  <c r="F882" i="5"/>
  <c r="F883" i="5"/>
  <c r="F884" i="5"/>
  <c r="F885" i="5"/>
  <c r="F886" i="5"/>
  <c r="F887" i="5"/>
  <c r="F888" i="5"/>
  <c r="F889" i="5"/>
  <c r="F890" i="5"/>
  <c r="F891" i="5"/>
  <c r="F892" i="5"/>
  <c r="F893" i="5"/>
  <c r="F894" i="5"/>
  <c r="F895" i="5"/>
  <c r="F896" i="5"/>
  <c r="F897" i="5"/>
  <c r="F898" i="5"/>
  <c r="F899" i="5"/>
  <c r="F900" i="5"/>
  <c r="F901" i="5"/>
  <c r="F902" i="5"/>
  <c r="F903" i="5"/>
  <c r="F904" i="5"/>
  <c r="F905" i="5"/>
  <c r="F906" i="5"/>
  <c r="I804" i="5"/>
  <c r="I805" i="5"/>
  <c r="I811" i="5"/>
  <c r="I812" i="5"/>
  <c r="I813" i="5"/>
  <c r="I814" i="5"/>
  <c r="I815" i="5"/>
  <c r="I816" i="5"/>
  <c r="I817" i="5"/>
  <c r="I818" i="5"/>
  <c r="I819" i="5"/>
  <c r="I820" i="5"/>
  <c r="I821" i="5"/>
  <c r="I822" i="5"/>
  <c r="I823" i="5"/>
  <c r="I824" i="5"/>
  <c r="I825" i="5"/>
  <c r="I826" i="5"/>
  <c r="I827" i="5"/>
  <c r="I828" i="5"/>
  <c r="I829" i="5"/>
  <c r="I830" i="5"/>
  <c r="I831" i="5"/>
  <c r="I832" i="5"/>
  <c r="I833" i="5"/>
  <c r="I834" i="5"/>
  <c r="I835" i="5"/>
  <c r="I836" i="5"/>
  <c r="I837" i="5"/>
  <c r="I838" i="5"/>
  <c r="I839" i="5"/>
  <c r="I840" i="5"/>
  <c r="I841" i="5"/>
  <c r="I842" i="5"/>
  <c r="I843" i="5"/>
  <c r="I844" i="5"/>
  <c r="I845" i="5"/>
  <c r="I846" i="5"/>
  <c r="I847" i="5"/>
  <c r="I848" i="5"/>
  <c r="I849" i="5"/>
  <c r="I850" i="5"/>
  <c r="I851" i="5"/>
  <c r="I852" i="5"/>
  <c r="I853" i="5"/>
  <c r="I854" i="5"/>
  <c r="I855" i="5"/>
  <c r="I856" i="5"/>
  <c r="I857" i="5"/>
  <c r="I858" i="5"/>
  <c r="I859" i="5"/>
  <c r="I860" i="5"/>
  <c r="I861" i="5"/>
  <c r="I862" i="5"/>
  <c r="I863" i="5"/>
  <c r="I864" i="5"/>
  <c r="I865" i="5"/>
  <c r="I866" i="5"/>
  <c r="I867" i="5"/>
  <c r="I868" i="5"/>
  <c r="I869" i="5"/>
  <c r="I870" i="5"/>
  <c r="I871" i="5"/>
  <c r="I872" i="5"/>
  <c r="I873" i="5"/>
  <c r="I874" i="5"/>
  <c r="I875" i="5"/>
  <c r="I876" i="5"/>
  <c r="I877" i="5"/>
  <c r="I878" i="5"/>
  <c r="I879" i="5"/>
  <c r="I880" i="5"/>
  <c r="I881" i="5"/>
  <c r="I882" i="5"/>
  <c r="I883" i="5"/>
  <c r="I884" i="5"/>
  <c r="I885" i="5"/>
  <c r="I886" i="5"/>
  <c r="I887" i="5"/>
  <c r="I888" i="5"/>
  <c r="I889" i="5"/>
  <c r="I890" i="5"/>
  <c r="I891" i="5"/>
  <c r="I892" i="5"/>
  <c r="I893" i="5"/>
  <c r="I894" i="5"/>
  <c r="I895" i="5"/>
  <c r="I896" i="5"/>
  <c r="I897" i="5"/>
  <c r="I898" i="5"/>
  <c r="I899" i="5"/>
  <c r="I900" i="5"/>
  <c r="I901" i="5"/>
  <c r="I902" i="5"/>
  <c r="I903" i="5"/>
  <c r="I904" i="5"/>
  <c r="I905" i="5"/>
  <c r="I906" i="5"/>
  <c r="E504" i="5"/>
  <c r="H504" i="5"/>
  <c r="E407" i="5"/>
  <c r="A558" i="5"/>
  <c r="I166" i="5"/>
  <c r="I180" i="5"/>
  <c r="J166" i="5"/>
  <c r="J180" i="5"/>
  <c r="C558" i="5"/>
  <c r="E558" i="5"/>
  <c r="G558" i="5"/>
  <c r="I558" i="5"/>
  <c r="L558" i="5"/>
  <c r="A603" i="5"/>
  <c r="G236" i="5"/>
  <c r="E704" i="5"/>
  <c r="G241" i="5"/>
  <c r="E709" i="5"/>
  <c r="D703" i="5"/>
  <c r="D704" i="5"/>
  <c r="D705" i="5"/>
  <c r="D706" i="5"/>
  <c r="D707" i="5"/>
  <c r="D708" i="5"/>
  <c r="D709" i="5"/>
  <c r="D710" i="5"/>
  <c r="D711" i="5"/>
  <c r="D712" i="5"/>
  <c r="D713" i="5"/>
  <c r="D714" i="5"/>
  <c r="D715" i="5"/>
  <c r="D716" i="5"/>
  <c r="D717" i="5"/>
  <c r="D718" i="5"/>
  <c r="D719" i="5"/>
  <c r="D720" i="5"/>
  <c r="D721" i="5"/>
  <c r="D722" i="5"/>
  <c r="D723" i="5"/>
  <c r="D724" i="5"/>
  <c r="D725" i="5"/>
  <c r="D726" i="5"/>
  <c r="D727" i="5"/>
  <c r="D728" i="5"/>
  <c r="D729" i="5"/>
  <c r="D730" i="5"/>
  <c r="D731" i="5"/>
  <c r="D732" i="5"/>
  <c r="D733" i="5"/>
  <c r="D734" i="5"/>
  <c r="D735" i="5"/>
  <c r="D736" i="5"/>
  <c r="D737" i="5"/>
  <c r="D738" i="5"/>
  <c r="D739" i="5"/>
  <c r="D740" i="5"/>
  <c r="D741" i="5"/>
  <c r="D742" i="5"/>
  <c r="D743" i="5"/>
  <c r="D744" i="5"/>
  <c r="D745" i="5"/>
  <c r="D746" i="5"/>
  <c r="D747" i="5"/>
  <c r="D748" i="5"/>
  <c r="D749" i="5"/>
  <c r="D750" i="5"/>
  <c r="D751" i="5"/>
  <c r="D752" i="5"/>
  <c r="D753" i="5"/>
  <c r="D754" i="5"/>
  <c r="D755" i="5"/>
  <c r="D756" i="5"/>
  <c r="D757" i="5"/>
  <c r="D758" i="5"/>
  <c r="D759" i="5"/>
  <c r="D760" i="5"/>
  <c r="D761" i="5"/>
  <c r="D762" i="5"/>
  <c r="D763" i="5"/>
  <c r="D764" i="5"/>
  <c r="D765" i="5"/>
  <c r="D766" i="5"/>
  <c r="D767" i="5"/>
  <c r="D768" i="5"/>
  <c r="D769" i="5"/>
  <c r="D770" i="5"/>
  <c r="D771" i="5"/>
  <c r="D772" i="5"/>
  <c r="D773" i="5"/>
  <c r="D774" i="5"/>
  <c r="D775" i="5"/>
  <c r="D776" i="5"/>
  <c r="D777" i="5"/>
  <c r="D778" i="5"/>
  <c r="D779" i="5"/>
  <c r="D780" i="5"/>
  <c r="D781" i="5"/>
  <c r="D782" i="5"/>
  <c r="D783" i="5"/>
  <c r="D784" i="5"/>
  <c r="D785" i="5"/>
  <c r="D786" i="5"/>
  <c r="D787" i="5"/>
  <c r="D788" i="5"/>
  <c r="D789" i="5"/>
  <c r="D790" i="5"/>
  <c r="D791" i="5"/>
  <c r="D792" i="5"/>
  <c r="D793" i="5"/>
  <c r="D794" i="5"/>
  <c r="D795" i="5"/>
  <c r="D796" i="5"/>
  <c r="D797" i="5"/>
  <c r="D798" i="5"/>
  <c r="D799" i="5"/>
  <c r="D800" i="5"/>
  <c r="D801" i="5"/>
  <c r="D802" i="5"/>
  <c r="D803" i="5"/>
  <c r="D804" i="5"/>
  <c r="D805" i="5"/>
  <c r="E703" i="5"/>
  <c r="G237" i="5"/>
  <c r="E705" i="5"/>
  <c r="G238" i="5"/>
  <c r="E706" i="5"/>
  <c r="G239" i="5"/>
  <c r="E707" i="5"/>
  <c r="G240" i="5"/>
  <c r="E708" i="5"/>
  <c r="E710" i="5"/>
  <c r="E711" i="5"/>
  <c r="E712" i="5"/>
  <c r="E713" i="5"/>
  <c r="E714" i="5"/>
  <c r="E715" i="5"/>
  <c r="E716" i="5"/>
  <c r="E717" i="5"/>
  <c r="E718" i="5"/>
  <c r="E719" i="5"/>
  <c r="E720" i="5"/>
  <c r="E721" i="5"/>
  <c r="E722" i="5"/>
  <c r="E723" i="5"/>
  <c r="E724" i="5"/>
  <c r="E725" i="5"/>
  <c r="E726" i="5"/>
  <c r="E727" i="5"/>
  <c r="E728" i="5"/>
  <c r="E729" i="5"/>
  <c r="E730" i="5"/>
  <c r="E731" i="5"/>
  <c r="E732" i="5"/>
  <c r="E733" i="5"/>
  <c r="E734" i="5"/>
  <c r="E735" i="5"/>
  <c r="E736" i="5"/>
  <c r="E737" i="5"/>
  <c r="E738" i="5"/>
  <c r="E739" i="5"/>
  <c r="E740" i="5"/>
  <c r="E741" i="5"/>
  <c r="E742" i="5"/>
  <c r="E743" i="5"/>
  <c r="E744" i="5"/>
  <c r="E745" i="5"/>
  <c r="E746" i="5"/>
  <c r="E747" i="5"/>
  <c r="E748" i="5"/>
  <c r="E749" i="5"/>
  <c r="E750" i="5"/>
  <c r="E751" i="5"/>
  <c r="E752" i="5"/>
  <c r="E753" i="5"/>
  <c r="E754" i="5"/>
  <c r="E755" i="5"/>
  <c r="E756" i="5"/>
  <c r="E757" i="5"/>
  <c r="E758" i="5"/>
  <c r="E759" i="5"/>
  <c r="E760" i="5"/>
  <c r="E761" i="5"/>
  <c r="E762" i="5"/>
  <c r="E763" i="5"/>
  <c r="E764" i="5"/>
  <c r="E765" i="5"/>
  <c r="E766" i="5"/>
  <c r="E767" i="5"/>
  <c r="E768" i="5"/>
  <c r="E769" i="5"/>
  <c r="E770" i="5"/>
  <c r="E771" i="5"/>
  <c r="E772" i="5"/>
  <c r="E773" i="5"/>
  <c r="E774" i="5"/>
  <c r="E775" i="5"/>
  <c r="E776" i="5"/>
  <c r="E777" i="5"/>
  <c r="E778" i="5"/>
  <c r="E779" i="5"/>
  <c r="E780" i="5"/>
  <c r="E781" i="5"/>
  <c r="E782" i="5"/>
  <c r="E783" i="5"/>
  <c r="E784" i="5"/>
  <c r="E785" i="5"/>
  <c r="E786" i="5"/>
  <c r="E787" i="5"/>
  <c r="E788" i="5"/>
  <c r="E789" i="5"/>
  <c r="E790" i="5"/>
  <c r="E791" i="5"/>
  <c r="E792" i="5"/>
  <c r="E793" i="5"/>
  <c r="E794" i="5"/>
  <c r="E795" i="5"/>
  <c r="E796" i="5"/>
  <c r="E797" i="5"/>
  <c r="E798" i="5"/>
  <c r="E799" i="5"/>
  <c r="E800" i="5"/>
  <c r="E801" i="5"/>
  <c r="E802" i="5"/>
  <c r="E803" i="5"/>
  <c r="E804" i="5"/>
  <c r="E805" i="5"/>
  <c r="C603" i="5"/>
  <c r="J703" i="5"/>
  <c r="J704" i="5"/>
  <c r="J705" i="5"/>
  <c r="J706" i="5"/>
  <c r="J707" i="5"/>
  <c r="J708" i="5"/>
  <c r="J709" i="5"/>
  <c r="J710" i="5"/>
  <c r="J711" i="5"/>
  <c r="J712" i="5"/>
  <c r="J713" i="5"/>
  <c r="J714" i="5"/>
  <c r="J715" i="5"/>
  <c r="J716" i="5"/>
  <c r="J717" i="5"/>
  <c r="J718" i="5"/>
  <c r="J719" i="5"/>
  <c r="J720" i="5"/>
  <c r="J721" i="5"/>
  <c r="J722" i="5"/>
  <c r="J723" i="5"/>
  <c r="J724" i="5"/>
  <c r="J725" i="5"/>
  <c r="J726" i="5"/>
  <c r="J727" i="5"/>
  <c r="J728" i="5"/>
  <c r="J729" i="5"/>
  <c r="J730" i="5"/>
  <c r="J731" i="5"/>
  <c r="J732" i="5"/>
  <c r="J733" i="5"/>
  <c r="J734" i="5"/>
  <c r="J735" i="5"/>
  <c r="J736" i="5"/>
  <c r="J737" i="5"/>
  <c r="J738" i="5"/>
  <c r="J739" i="5"/>
  <c r="J740" i="5"/>
  <c r="J741" i="5"/>
  <c r="J742" i="5"/>
  <c r="J743" i="5"/>
  <c r="J744" i="5"/>
  <c r="J745" i="5"/>
  <c r="J746" i="5"/>
  <c r="J747" i="5"/>
  <c r="J748" i="5"/>
  <c r="J749" i="5"/>
  <c r="J750" i="5"/>
  <c r="J751" i="5"/>
  <c r="J752" i="5"/>
  <c r="J753" i="5"/>
  <c r="J754" i="5"/>
  <c r="J755" i="5"/>
  <c r="J756" i="5"/>
  <c r="J757" i="5"/>
  <c r="J758" i="5"/>
  <c r="J759" i="5"/>
  <c r="J760" i="5"/>
  <c r="J761" i="5"/>
  <c r="J762" i="5"/>
  <c r="J763" i="5"/>
  <c r="J764" i="5"/>
  <c r="J765" i="5"/>
  <c r="J766" i="5"/>
  <c r="J767" i="5"/>
  <c r="J768" i="5"/>
  <c r="J769" i="5"/>
  <c r="J770" i="5"/>
  <c r="J771" i="5"/>
  <c r="J772" i="5"/>
  <c r="J773" i="5"/>
  <c r="J774" i="5"/>
  <c r="J775" i="5"/>
  <c r="J776" i="5"/>
  <c r="J777" i="5"/>
  <c r="J778" i="5"/>
  <c r="J779" i="5"/>
  <c r="J780" i="5"/>
  <c r="J781" i="5"/>
  <c r="J782" i="5"/>
  <c r="J783" i="5"/>
  <c r="J784" i="5"/>
  <c r="J785" i="5"/>
  <c r="J786" i="5"/>
  <c r="J787" i="5"/>
  <c r="J788" i="5"/>
  <c r="J789" i="5"/>
  <c r="J790" i="5"/>
  <c r="J791" i="5"/>
  <c r="J792" i="5"/>
  <c r="J793" i="5"/>
  <c r="J794" i="5"/>
  <c r="J795" i="5"/>
  <c r="J796" i="5"/>
  <c r="J797" i="5"/>
  <c r="J798" i="5"/>
  <c r="J799" i="5"/>
  <c r="J800" i="5"/>
  <c r="J801" i="5"/>
  <c r="J802" i="5"/>
  <c r="J803" i="5"/>
  <c r="J804" i="5"/>
  <c r="J805" i="5"/>
  <c r="K703" i="5"/>
  <c r="K704" i="5"/>
  <c r="K705" i="5"/>
  <c r="K706" i="5"/>
  <c r="K707" i="5"/>
  <c r="K708" i="5"/>
  <c r="K709" i="5"/>
  <c r="K710" i="5"/>
  <c r="K711" i="5"/>
  <c r="K712" i="5"/>
  <c r="K713" i="5"/>
  <c r="K714" i="5"/>
  <c r="K715" i="5"/>
  <c r="K716" i="5"/>
  <c r="K717" i="5"/>
  <c r="K718" i="5"/>
  <c r="K719" i="5"/>
  <c r="K720" i="5"/>
  <c r="K721" i="5"/>
  <c r="K722" i="5"/>
  <c r="K723" i="5"/>
  <c r="K724" i="5"/>
  <c r="K725" i="5"/>
  <c r="K726" i="5"/>
  <c r="K727" i="5"/>
  <c r="K728" i="5"/>
  <c r="K729" i="5"/>
  <c r="K730" i="5"/>
  <c r="K731" i="5"/>
  <c r="K732" i="5"/>
  <c r="K733" i="5"/>
  <c r="K734" i="5"/>
  <c r="K735" i="5"/>
  <c r="K736" i="5"/>
  <c r="K737" i="5"/>
  <c r="K738" i="5"/>
  <c r="K739" i="5"/>
  <c r="K740" i="5"/>
  <c r="K741" i="5"/>
  <c r="K742" i="5"/>
  <c r="K743" i="5"/>
  <c r="K744" i="5"/>
  <c r="K745" i="5"/>
  <c r="K746" i="5"/>
  <c r="K747" i="5"/>
  <c r="K748" i="5"/>
  <c r="K749" i="5"/>
  <c r="K750" i="5"/>
  <c r="K751" i="5"/>
  <c r="K752" i="5"/>
  <c r="K753" i="5"/>
  <c r="K754" i="5"/>
  <c r="K755" i="5"/>
  <c r="K756" i="5"/>
  <c r="K757" i="5"/>
  <c r="K758" i="5"/>
  <c r="K759" i="5"/>
  <c r="K760" i="5"/>
  <c r="K761" i="5"/>
  <c r="K762" i="5"/>
  <c r="K763" i="5"/>
  <c r="K764" i="5"/>
  <c r="K765" i="5"/>
  <c r="K766" i="5"/>
  <c r="K767" i="5"/>
  <c r="K768" i="5"/>
  <c r="K769" i="5"/>
  <c r="K770" i="5"/>
  <c r="K771" i="5"/>
  <c r="K772" i="5"/>
  <c r="K773" i="5"/>
  <c r="K774" i="5"/>
  <c r="K775" i="5"/>
  <c r="K776" i="5"/>
  <c r="K777" i="5"/>
  <c r="K778" i="5"/>
  <c r="K779" i="5"/>
  <c r="K780" i="5"/>
  <c r="K781" i="5"/>
  <c r="K782" i="5"/>
  <c r="K783" i="5"/>
  <c r="K784" i="5"/>
  <c r="K785" i="5"/>
  <c r="K786" i="5"/>
  <c r="K787" i="5"/>
  <c r="K788" i="5"/>
  <c r="K789" i="5"/>
  <c r="K790" i="5"/>
  <c r="K791" i="5"/>
  <c r="K792" i="5"/>
  <c r="K793" i="5"/>
  <c r="K794" i="5"/>
  <c r="K795" i="5"/>
  <c r="K796" i="5"/>
  <c r="K797" i="5"/>
  <c r="K798" i="5"/>
  <c r="K799" i="5"/>
  <c r="K800" i="5"/>
  <c r="K801" i="5"/>
  <c r="K802" i="5"/>
  <c r="K803" i="5"/>
  <c r="K804" i="5"/>
  <c r="K805" i="5"/>
  <c r="E603" i="5"/>
  <c r="B811" i="5"/>
  <c r="B812" i="5"/>
  <c r="B813" i="5"/>
  <c r="B814" i="5"/>
  <c r="B815" i="5"/>
  <c r="B816" i="5"/>
  <c r="B817" i="5"/>
  <c r="B818" i="5"/>
  <c r="B819" i="5"/>
  <c r="B820" i="5"/>
  <c r="B821" i="5"/>
  <c r="B822" i="5"/>
  <c r="B823" i="5"/>
  <c r="B824" i="5"/>
  <c r="B825" i="5"/>
  <c r="B826" i="5"/>
  <c r="B827" i="5"/>
  <c r="B828" i="5"/>
  <c r="B829" i="5"/>
  <c r="B830" i="5"/>
  <c r="B831" i="5"/>
  <c r="B832" i="5"/>
  <c r="B833" i="5"/>
  <c r="B834" i="5"/>
  <c r="B835" i="5"/>
  <c r="B836" i="5"/>
  <c r="B837" i="5"/>
  <c r="B838" i="5"/>
  <c r="B839" i="5"/>
  <c r="B840" i="5"/>
  <c r="B841" i="5"/>
  <c r="B842" i="5"/>
  <c r="B843" i="5"/>
  <c r="B844" i="5"/>
  <c r="B845" i="5"/>
  <c r="B846" i="5"/>
  <c r="B847" i="5"/>
  <c r="B848" i="5"/>
  <c r="B849" i="5"/>
  <c r="B850" i="5"/>
  <c r="B851" i="5"/>
  <c r="B852" i="5"/>
  <c r="B853" i="5"/>
  <c r="B854" i="5"/>
  <c r="B855" i="5"/>
  <c r="B856" i="5"/>
  <c r="B857" i="5"/>
  <c r="B858" i="5"/>
  <c r="B859" i="5"/>
  <c r="B860" i="5"/>
  <c r="B861" i="5"/>
  <c r="B862" i="5"/>
  <c r="B863" i="5"/>
  <c r="B864" i="5"/>
  <c r="B865" i="5"/>
  <c r="B866" i="5"/>
  <c r="B867" i="5"/>
  <c r="B868" i="5"/>
  <c r="B869" i="5"/>
  <c r="B870" i="5"/>
  <c r="B871" i="5"/>
  <c r="B872" i="5"/>
  <c r="B873" i="5"/>
  <c r="B874" i="5"/>
  <c r="B875" i="5"/>
  <c r="B876" i="5"/>
  <c r="B877" i="5"/>
  <c r="B878" i="5"/>
  <c r="B879" i="5"/>
  <c r="B880" i="5"/>
  <c r="B881" i="5"/>
  <c r="B882" i="5"/>
  <c r="B883" i="5"/>
  <c r="B884" i="5"/>
  <c r="B885" i="5"/>
  <c r="B886" i="5"/>
  <c r="B887" i="5"/>
  <c r="B888" i="5"/>
  <c r="B889" i="5"/>
  <c r="B890" i="5"/>
  <c r="B891" i="5"/>
  <c r="B892" i="5"/>
  <c r="B893" i="5"/>
  <c r="B894" i="5"/>
  <c r="B895" i="5"/>
  <c r="B896" i="5"/>
  <c r="B897" i="5"/>
  <c r="B898" i="5"/>
  <c r="B899" i="5"/>
  <c r="B900" i="5"/>
  <c r="B901" i="5"/>
  <c r="B902" i="5"/>
  <c r="B903" i="5"/>
  <c r="B904" i="5"/>
  <c r="B905" i="5"/>
  <c r="B906" i="5"/>
  <c r="B907" i="5"/>
  <c r="B908" i="5"/>
  <c r="B909" i="5"/>
  <c r="B910" i="5"/>
  <c r="B911" i="5"/>
  <c r="B912" i="5"/>
  <c r="B913" i="5"/>
  <c r="C811" i="5"/>
  <c r="C812" i="5"/>
  <c r="C813" i="5"/>
  <c r="C814" i="5"/>
  <c r="C815" i="5"/>
  <c r="C816" i="5"/>
  <c r="C817" i="5"/>
  <c r="C818" i="5"/>
  <c r="C819" i="5"/>
  <c r="C820" i="5"/>
  <c r="C821" i="5"/>
  <c r="C822" i="5"/>
  <c r="C823" i="5"/>
  <c r="C824" i="5"/>
  <c r="C825" i="5"/>
  <c r="C826" i="5"/>
  <c r="C827" i="5"/>
  <c r="C828" i="5"/>
  <c r="C829" i="5"/>
  <c r="C830" i="5"/>
  <c r="C831" i="5"/>
  <c r="C832" i="5"/>
  <c r="C833" i="5"/>
  <c r="C834" i="5"/>
  <c r="C835" i="5"/>
  <c r="C836" i="5"/>
  <c r="C837" i="5"/>
  <c r="C838" i="5"/>
  <c r="C839" i="5"/>
  <c r="C840" i="5"/>
  <c r="C841" i="5"/>
  <c r="C842" i="5"/>
  <c r="C843" i="5"/>
  <c r="C844" i="5"/>
  <c r="C845" i="5"/>
  <c r="C846" i="5"/>
  <c r="C847" i="5"/>
  <c r="C848" i="5"/>
  <c r="C849" i="5"/>
  <c r="C850" i="5"/>
  <c r="C851" i="5"/>
  <c r="C852" i="5"/>
  <c r="C853" i="5"/>
  <c r="C854" i="5"/>
  <c r="C855" i="5"/>
  <c r="C856" i="5"/>
  <c r="C857" i="5"/>
  <c r="C858" i="5"/>
  <c r="C859" i="5"/>
  <c r="C860" i="5"/>
  <c r="C861" i="5"/>
  <c r="C862" i="5"/>
  <c r="C863" i="5"/>
  <c r="C864" i="5"/>
  <c r="C865" i="5"/>
  <c r="C866" i="5"/>
  <c r="C867" i="5"/>
  <c r="C868" i="5"/>
  <c r="C869" i="5"/>
  <c r="C870" i="5"/>
  <c r="C871" i="5"/>
  <c r="C872" i="5"/>
  <c r="C873" i="5"/>
  <c r="C874" i="5"/>
  <c r="C875" i="5"/>
  <c r="C876" i="5"/>
  <c r="C877" i="5"/>
  <c r="C878" i="5"/>
  <c r="C879" i="5"/>
  <c r="C880" i="5"/>
  <c r="C881" i="5"/>
  <c r="C882" i="5"/>
  <c r="C883" i="5"/>
  <c r="C884" i="5"/>
  <c r="C885" i="5"/>
  <c r="C886" i="5"/>
  <c r="C887" i="5"/>
  <c r="C888" i="5"/>
  <c r="C889" i="5"/>
  <c r="C890" i="5"/>
  <c r="C891" i="5"/>
  <c r="C892" i="5"/>
  <c r="C893" i="5"/>
  <c r="C894" i="5"/>
  <c r="C895" i="5"/>
  <c r="C896" i="5"/>
  <c r="C897" i="5"/>
  <c r="C898" i="5"/>
  <c r="C899" i="5"/>
  <c r="C900" i="5"/>
  <c r="C901" i="5"/>
  <c r="C902" i="5"/>
  <c r="C903" i="5"/>
  <c r="C904" i="5"/>
  <c r="C905" i="5"/>
  <c r="C906" i="5"/>
  <c r="C907" i="5"/>
  <c r="C908" i="5"/>
  <c r="C909" i="5"/>
  <c r="C910" i="5"/>
  <c r="C911" i="5"/>
  <c r="C912" i="5"/>
  <c r="C913" i="5"/>
  <c r="G603" i="5"/>
  <c r="H811" i="5"/>
  <c r="H812" i="5"/>
  <c r="H813" i="5"/>
  <c r="H814" i="5"/>
  <c r="H815" i="5"/>
  <c r="H816" i="5"/>
  <c r="H817" i="5"/>
  <c r="H818" i="5"/>
  <c r="H819" i="5"/>
  <c r="H820" i="5"/>
  <c r="H821" i="5"/>
  <c r="H822" i="5"/>
  <c r="H823" i="5"/>
  <c r="H824" i="5"/>
  <c r="H825" i="5"/>
  <c r="H826" i="5"/>
  <c r="H827" i="5"/>
  <c r="H828" i="5"/>
  <c r="H829" i="5"/>
  <c r="H830" i="5"/>
  <c r="H831" i="5"/>
  <c r="H832" i="5"/>
  <c r="H833" i="5"/>
  <c r="H834" i="5"/>
  <c r="H835" i="5"/>
  <c r="H836" i="5"/>
  <c r="H837" i="5"/>
  <c r="H838" i="5"/>
  <c r="H839" i="5"/>
  <c r="H840" i="5"/>
  <c r="H841" i="5"/>
  <c r="H842" i="5"/>
  <c r="H843" i="5"/>
  <c r="H844" i="5"/>
  <c r="H845" i="5"/>
  <c r="H846" i="5"/>
  <c r="H847" i="5"/>
  <c r="H848" i="5"/>
  <c r="H849" i="5"/>
  <c r="H850" i="5"/>
  <c r="H851" i="5"/>
  <c r="H852" i="5"/>
  <c r="H853" i="5"/>
  <c r="H854" i="5"/>
  <c r="H855" i="5"/>
  <c r="H856" i="5"/>
  <c r="H857" i="5"/>
  <c r="H858" i="5"/>
  <c r="H859" i="5"/>
  <c r="H860" i="5"/>
  <c r="H861" i="5"/>
  <c r="H862" i="5"/>
  <c r="H863" i="5"/>
  <c r="H864" i="5"/>
  <c r="H865" i="5"/>
  <c r="H866" i="5"/>
  <c r="H867" i="5"/>
  <c r="H868" i="5"/>
  <c r="H869" i="5"/>
  <c r="H870" i="5"/>
  <c r="H871" i="5"/>
  <c r="H872" i="5"/>
  <c r="H873" i="5"/>
  <c r="H874" i="5"/>
  <c r="H875" i="5"/>
  <c r="H876" i="5"/>
  <c r="H877" i="5"/>
  <c r="H878" i="5"/>
  <c r="H879" i="5"/>
  <c r="H880" i="5"/>
  <c r="H881" i="5"/>
  <c r="H882" i="5"/>
  <c r="H883" i="5"/>
  <c r="H884" i="5"/>
  <c r="H885" i="5"/>
  <c r="H886" i="5"/>
  <c r="H887" i="5"/>
  <c r="H888" i="5"/>
  <c r="H889" i="5"/>
  <c r="H890" i="5"/>
  <c r="H891" i="5"/>
  <c r="H892" i="5"/>
  <c r="H893" i="5"/>
  <c r="H894" i="5"/>
  <c r="H895" i="5"/>
  <c r="H896" i="5"/>
  <c r="H897" i="5"/>
  <c r="H898" i="5"/>
  <c r="H899" i="5"/>
  <c r="H900" i="5"/>
  <c r="H901" i="5"/>
  <c r="H902" i="5"/>
  <c r="H903" i="5"/>
  <c r="H904" i="5"/>
  <c r="H905" i="5"/>
  <c r="H906" i="5"/>
  <c r="H907" i="5"/>
  <c r="H908" i="5"/>
  <c r="H909" i="5"/>
  <c r="H910" i="5"/>
  <c r="H911" i="5"/>
  <c r="H912" i="5"/>
  <c r="H913" i="5"/>
  <c r="I907" i="5"/>
  <c r="I908" i="5"/>
  <c r="I909" i="5"/>
  <c r="I910" i="5"/>
  <c r="I911" i="5"/>
  <c r="I912" i="5"/>
  <c r="I913" i="5"/>
  <c r="I603" i="5"/>
  <c r="L603" i="5"/>
  <c r="A656" i="5"/>
  <c r="I656" i="5"/>
  <c r="C363" i="5"/>
  <c r="C656" i="5"/>
  <c r="A363" i="5"/>
  <c r="A362" i="5"/>
  <c r="E362" i="5"/>
  <c r="E656" i="5"/>
  <c r="G656" i="5"/>
  <c r="I363" i="5"/>
  <c r="K656" i="5"/>
  <c r="G407" i="5"/>
  <c r="I407" i="5"/>
  <c r="E397" i="1"/>
  <c r="B312" i="6"/>
  <c r="A316" i="6"/>
  <c r="F206" i="6"/>
  <c r="C417" i="6"/>
  <c r="B411" i="6"/>
  <c r="B412" i="6"/>
  <c r="B413" i="6"/>
  <c r="B414" i="6"/>
  <c r="B415" i="6"/>
  <c r="B416" i="6"/>
  <c r="B417" i="6"/>
  <c r="B418" i="6"/>
  <c r="B419" i="6"/>
  <c r="B420" i="6"/>
  <c r="B421" i="6"/>
  <c r="B422" i="6"/>
  <c r="B423" i="6"/>
  <c r="B424" i="6"/>
  <c r="B425" i="6"/>
  <c r="B426" i="6"/>
  <c r="B427" i="6"/>
  <c r="B428" i="6"/>
  <c r="B429" i="6"/>
  <c r="B430" i="6"/>
  <c r="B431" i="6"/>
  <c r="B432" i="6"/>
  <c r="B433" i="6"/>
  <c r="B434" i="6"/>
  <c r="B435" i="6"/>
  <c r="B436" i="6"/>
  <c r="B437" i="6"/>
  <c r="B438" i="6"/>
  <c r="B439" i="6"/>
  <c r="B440" i="6"/>
  <c r="B441" i="6"/>
  <c r="B442" i="6"/>
  <c r="B443" i="6"/>
  <c r="B444" i="6"/>
  <c r="B445" i="6"/>
  <c r="B446" i="6"/>
  <c r="B447" i="6"/>
  <c r="B448" i="6"/>
  <c r="B449" i="6"/>
  <c r="B450" i="6"/>
  <c r="B451" i="6"/>
  <c r="B452" i="6"/>
  <c r="B453" i="6"/>
  <c r="B454" i="6"/>
  <c r="B455" i="6"/>
  <c r="B456" i="6"/>
  <c r="B457" i="6"/>
  <c r="B458" i="6"/>
  <c r="B459" i="6"/>
  <c r="B460" i="6"/>
  <c r="B461" i="6"/>
  <c r="B462" i="6"/>
  <c r="B463" i="6"/>
  <c r="B464" i="6"/>
  <c r="B465" i="6"/>
  <c r="B466" i="6"/>
  <c r="B467" i="6"/>
  <c r="B468" i="6"/>
  <c r="B469" i="6"/>
  <c r="B470" i="6"/>
  <c r="B471" i="6"/>
  <c r="B472" i="6"/>
  <c r="B473" i="6"/>
  <c r="B474" i="6"/>
  <c r="B475" i="6"/>
  <c r="B476" i="6"/>
  <c r="B477" i="6"/>
  <c r="B478" i="6"/>
  <c r="B479" i="6"/>
  <c r="B480" i="6"/>
  <c r="B481" i="6"/>
  <c r="B482" i="6"/>
  <c r="B483" i="6"/>
  <c r="B484" i="6"/>
  <c r="B485" i="6"/>
  <c r="B486" i="6"/>
  <c r="B487" i="6"/>
  <c r="B488" i="6"/>
  <c r="B489" i="6"/>
  <c r="B490" i="6"/>
  <c r="B491" i="6"/>
  <c r="B492" i="6"/>
  <c r="B493" i="6"/>
  <c r="B494" i="6"/>
  <c r="B495" i="6"/>
  <c r="B496" i="6"/>
  <c r="B497" i="6"/>
  <c r="B498" i="6"/>
  <c r="B499" i="6"/>
  <c r="B500" i="6"/>
  <c r="B501" i="6"/>
  <c r="B502" i="6"/>
  <c r="B503" i="6"/>
  <c r="B504" i="6"/>
  <c r="B505" i="6"/>
  <c r="B506" i="6"/>
  <c r="B507" i="6"/>
  <c r="B508" i="6"/>
  <c r="B509" i="6"/>
  <c r="B510" i="6"/>
  <c r="B511" i="6"/>
  <c r="B512" i="6"/>
  <c r="B513" i="6"/>
  <c r="C411" i="6"/>
  <c r="C412" i="6"/>
  <c r="C413" i="6"/>
  <c r="C414" i="6"/>
  <c r="C415" i="6"/>
  <c r="C416" i="6"/>
  <c r="C418" i="6"/>
  <c r="C419" i="6"/>
  <c r="C420" i="6"/>
  <c r="C421" i="6"/>
  <c r="C422" i="6"/>
  <c r="C423" i="6"/>
  <c r="C424" i="6"/>
  <c r="C425" i="6"/>
  <c r="C426" i="6"/>
  <c r="C427" i="6"/>
  <c r="C428" i="6"/>
  <c r="C429" i="6"/>
  <c r="C430" i="6"/>
  <c r="C431" i="6"/>
  <c r="C432" i="6"/>
  <c r="C433" i="6"/>
  <c r="C434" i="6"/>
  <c r="C435" i="6"/>
  <c r="C436" i="6"/>
  <c r="C437" i="6"/>
  <c r="C438" i="6"/>
  <c r="C439" i="6"/>
  <c r="C440" i="6"/>
  <c r="C441" i="6"/>
  <c r="C442" i="6"/>
  <c r="C443" i="6"/>
  <c r="C444" i="6"/>
  <c r="C445" i="6"/>
  <c r="C446" i="6"/>
  <c r="C447" i="6"/>
  <c r="C448" i="6"/>
  <c r="C449" i="6"/>
  <c r="C450" i="6"/>
  <c r="C451" i="6"/>
  <c r="C452" i="6"/>
  <c r="C453" i="6"/>
  <c r="C454" i="6"/>
  <c r="C455" i="6"/>
  <c r="C456" i="6"/>
  <c r="F246" i="6"/>
  <c r="C457" i="6"/>
  <c r="F247" i="6"/>
  <c r="C458" i="6"/>
  <c r="C459" i="6"/>
  <c r="C460" i="6"/>
  <c r="C461" i="6"/>
  <c r="C462" i="6"/>
  <c r="C463" i="6"/>
  <c r="C464" i="6"/>
  <c r="C465" i="6"/>
  <c r="C466" i="6"/>
  <c r="C467" i="6"/>
  <c r="C468" i="6"/>
  <c r="C469" i="6"/>
  <c r="C470" i="6"/>
  <c r="C471" i="6"/>
  <c r="C472" i="6"/>
  <c r="C473" i="6"/>
  <c r="C474" i="6"/>
  <c r="C475" i="6"/>
  <c r="C476" i="6"/>
  <c r="C477" i="6"/>
  <c r="C478" i="6"/>
  <c r="C479" i="6"/>
  <c r="C480" i="6"/>
  <c r="C481" i="6"/>
  <c r="C482" i="6"/>
  <c r="C483" i="6"/>
  <c r="C484" i="6"/>
  <c r="C485" i="6"/>
  <c r="C486" i="6"/>
  <c r="C487" i="6"/>
  <c r="C488" i="6"/>
  <c r="C489" i="6"/>
  <c r="C490" i="6"/>
  <c r="C491" i="6"/>
  <c r="C492" i="6"/>
  <c r="C493" i="6"/>
  <c r="C494" i="6"/>
  <c r="C495" i="6"/>
  <c r="C496" i="6"/>
  <c r="C497" i="6"/>
  <c r="C498" i="6"/>
  <c r="C499" i="6"/>
  <c r="C500" i="6"/>
  <c r="C501" i="6"/>
  <c r="C502" i="6"/>
  <c r="C503" i="6"/>
  <c r="C504" i="6"/>
  <c r="C505" i="6"/>
  <c r="C506" i="6"/>
  <c r="C507" i="6"/>
  <c r="C508" i="6"/>
  <c r="C509" i="6"/>
  <c r="C510" i="6"/>
  <c r="C511" i="6"/>
  <c r="C512" i="6"/>
  <c r="C513" i="6"/>
  <c r="C316" i="6"/>
  <c r="F200" i="6"/>
  <c r="E411" i="6"/>
  <c r="F205" i="6"/>
  <c r="E416" i="6"/>
  <c r="F229" i="6"/>
  <c r="E440" i="6"/>
  <c r="D411" i="6"/>
  <c r="D412" i="6"/>
  <c r="D413" i="6"/>
  <c r="D414" i="6"/>
  <c r="D415" i="6"/>
  <c r="D416" i="6"/>
  <c r="D417" i="6"/>
  <c r="D418" i="6"/>
  <c r="D419" i="6"/>
  <c r="D420" i="6"/>
  <c r="D421" i="6"/>
  <c r="D422" i="6"/>
  <c r="D423" i="6"/>
  <c r="D424" i="6"/>
  <c r="D425" i="6"/>
  <c r="D426" i="6"/>
  <c r="D427" i="6"/>
  <c r="D428" i="6"/>
  <c r="D429" i="6"/>
  <c r="D430" i="6"/>
  <c r="D431" i="6"/>
  <c r="D432" i="6"/>
  <c r="D433" i="6"/>
  <c r="D434" i="6"/>
  <c r="D435" i="6"/>
  <c r="D436" i="6"/>
  <c r="D437" i="6"/>
  <c r="D438" i="6"/>
  <c r="D439" i="6"/>
  <c r="D440" i="6"/>
  <c r="D441" i="6"/>
  <c r="D442" i="6"/>
  <c r="D443" i="6"/>
  <c r="D444" i="6"/>
  <c r="D445" i="6"/>
  <c r="D446" i="6"/>
  <c r="D447" i="6"/>
  <c r="D448" i="6"/>
  <c r="D449" i="6"/>
  <c r="D450" i="6"/>
  <c r="D451" i="6"/>
  <c r="D452" i="6"/>
  <c r="D453" i="6"/>
  <c r="D454" i="6"/>
  <c r="D455" i="6"/>
  <c r="D456" i="6"/>
  <c r="D457" i="6"/>
  <c r="D458" i="6"/>
  <c r="D459" i="6"/>
  <c r="D460" i="6"/>
  <c r="D461" i="6"/>
  <c r="D462" i="6"/>
  <c r="D463" i="6"/>
  <c r="D464" i="6"/>
  <c r="D465" i="6"/>
  <c r="D466" i="6"/>
  <c r="D467" i="6"/>
  <c r="D468" i="6"/>
  <c r="D469" i="6"/>
  <c r="D470" i="6"/>
  <c r="D471" i="6"/>
  <c r="D472" i="6"/>
  <c r="D473" i="6"/>
  <c r="D474" i="6"/>
  <c r="D475" i="6"/>
  <c r="D476" i="6"/>
  <c r="D477" i="6"/>
  <c r="D478" i="6"/>
  <c r="D479" i="6"/>
  <c r="D480" i="6"/>
  <c r="D481" i="6"/>
  <c r="D482" i="6"/>
  <c r="D483" i="6"/>
  <c r="D484" i="6"/>
  <c r="D485" i="6"/>
  <c r="D486" i="6"/>
  <c r="D487" i="6"/>
  <c r="D488" i="6"/>
  <c r="D489" i="6"/>
  <c r="D490" i="6"/>
  <c r="D491" i="6"/>
  <c r="D492" i="6"/>
  <c r="D493" i="6"/>
  <c r="D494" i="6"/>
  <c r="D495" i="6"/>
  <c r="D496" i="6"/>
  <c r="D497" i="6"/>
  <c r="D498" i="6"/>
  <c r="D499" i="6"/>
  <c r="D500" i="6"/>
  <c r="D501" i="6"/>
  <c r="D502" i="6"/>
  <c r="D503" i="6"/>
  <c r="D504" i="6"/>
  <c r="D505" i="6"/>
  <c r="D506" i="6"/>
  <c r="D507" i="6"/>
  <c r="D508" i="6"/>
  <c r="D509" i="6"/>
  <c r="D510" i="6"/>
  <c r="D511" i="6"/>
  <c r="D512" i="6"/>
  <c r="D513" i="6"/>
  <c r="F201" i="6"/>
  <c r="E412" i="6"/>
  <c r="F202" i="6"/>
  <c r="E413" i="6"/>
  <c r="F203" i="6"/>
  <c r="E414" i="6"/>
  <c r="F204" i="6"/>
  <c r="E415" i="6"/>
  <c r="E417" i="6"/>
  <c r="F207" i="6"/>
  <c r="E418" i="6"/>
  <c r="F208" i="6"/>
  <c r="E419" i="6"/>
  <c r="F209" i="6"/>
  <c r="E420" i="6"/>
  <c r="F210" i="6"/>
  <c r="E421" i="6"/>
  <c r="F211" i="6"/>
  <c r="E422" i="6"/>
  <c r="F212" i="6"/>
  <c r="E423" i="6"/>
  <c r="F213" i="6"/>
  <c r="E424" i="6"/>
  <c r="F214" i="6"/>
  <c r="E425" i="6"/>
  <c r="F215" i="6"/>
  <c r="E426" i="6"/>
  <c r="E427" i="6"/>
  <c r="F217" i="6"/>
  <c r="E428" i="6"/>
  <c r="F218" i="6"/>
  <c r="E429" i="6"/>
  <c r="F219" i="6"/>
  <c r="E430" i="6"/>
  <c r="F220" i="6"/>
  <c r="E431" i="6"/>
  <c r="E432" i="6"/>
  <c r="E433" i="6"/>
  <c r="F223" i="6"/>
  <c r="E434" i="6"/>
  <c r="F224" i="6"/>
  <c r="E435" i="6"/>
  <c r="F225" i="6"/>
  <c r="E436" i="6"/>
  <c r="F226" i="6"/>
  <c r="E437" i="6"/>
  <c r="E438" i="6"/>
  <c r="E439" i="6"/>
  <c r="F230" i="6"/>
  <c r="E441" i="6"/>
  <c r="F231" i="6"/>
  <c r="E442" i="6"/>
  <c r="F232" i="6"/>
  <c r="E443" i="6"/>
  <c r="F233" i="6"/>
  <c r="E444" i="6"/>
  <c r="F234" i="6"/>
  <c r="E445" i="6"/>
  <c r="F235" i="6"/>
  <c r="E446" i="6"/>
  <c r="F236" i="6"/>
  <c r="E447" i="6"/>
  <c r="F237" i="6"/>
  <c r="E448" i="6"/>
  <c r="F238" i="6"/>
  <c r="E449" i="6"/>
  <c r="F239" i="6"/>
  <c r="E450" i="6"/>
  <c r="F240" i="6"/>
  <c r="E451" i="6"/>
  <c r="F241" i="6"/>
  <c r="E452" i="6"/>
  <c r="F242" i="6"/>
  <c r="E453" i="6"/>
  <c r="F243" i="6"/>
  <c r="E454" i="6"/>
  <c r="F244" i="6"/>
  <c r="E455" i="6"/>
  <c r="F245" i="6"/>
  <c r="E456" i="6"/>
  <c r="E457" i="6"/>
  <c r="E458" i="6"/>
  <c r="E459" i="6"/>
  <c r="E460" i="6"/>
  <c r="E461" i="6"/>
  <c r="E462" i="6"/>
  <c r="E463" i="6"/>
  <c r="E464" i="6"/>
  <c r="E465" i="6"/>
  <c r="E466" i="6"/>
  <c r="E467" i="6"/>
  <c r="E468" i="6"/>
  <c r="E469" i="6"/>
  <c r="E470" i="6"/>
  <c r="E471" i="6"/>
  <c r="E472" i="6"/>
  <c r="E473" i="6"/>
  <c r="E474" i="6"/>
  <c r="E475" i="6"/>
  <c r="E476" i="6"/>
  <c r="E477" i="6"/>
  <c r="E478" i="6"/>
  <c r="E479" i="6"/>
  <c r="E480" i="6"/>
  <c r="E481" i="6"/>
  <c r="E482" i="6"/>
  <c r="E483" i="6"/>
  <c r="E484" i="6"/>
  <c r="E485" i="6"/>
  <c r="E486" i="6"/>
  <c r="E487" i="6"/>
  <c r="E488" i="6"/>
  <c r="E489" i="6"/>
  <c r="E490" i="6"/>
  <c r="E491" i="6"/>
  <c r="E492" i="6"/>
  <c r="E493" i="6"/>
  <c r="E494" i="6"/>
  <c r="E495" i="6"/>
  <c r="E496" i="6"/>
  <c r="E497" i="6"/>
  <c r="E498" i="6"/>
  <c r="E499" i="6"/>
  <c r="E500" i="6"/>
  <c r="E501" i="6"/>
  <c r="E502" i="6"/>
  <c r="E503" i="6"/>
  <c r="E504" i="6"/>
  <c r="E505" i="6"/>
  <c r="E506" i="6"/>
  <c r="E507" i="6"/>
  <c r="E508" i="6"/>
  <c r="E509" i="6"/>
  <c r="E510" i="6"/>
  <c r="E511" i="6"/>
  <c r="E512" i="6"/>
  <c r="E513" i="6"/>
  <c r="E316" i="6"/>
  <c r="G316" i="6"/>
  <c r="K499" i="1"/>
  <c r="A364" i="6"/>
  <c r="G140" i="6"/>
  <c r="G134" i="6"/>
  <c r="C364" i="6"/>
  <c r="F156" i="6"/>
  <c r="F150" i="6"/>
  <c r="E364" i="6"/>
  <c r="G364" i="6"/>
  <c r="I316" i="6"/>
  <c r="M499" i="1"/>
  <c r="A435" i="11"/>
  <c r="B634" i="11"/>
  <c r="B635" i="11"/>
  <c r="B636" i="11"/>
  <c r="B637" i="11"/>
  <c r="B638" i="11"/>
  <c r="B639" i="11"/>
  <c r="B640" i="11"/>
  <c r="B641" i="11"/>
  <c r="B642" i="11"/>
  <c r="B643" i="11"/>
  <c r="B644" i="11"/>
  <c r="B645" i="11"/>
  <c r="B646" i="11"/>
  <c r="B647" i="11"/>
  <c r="B648" i="11"/>
  <c r="B649" i="11"/>
  <c r="B650" i="11"/>
  <c r="B651" i="11"/>
  <c r="B652" i="11"/>
  <c r="B653" i="11"/>
  <c r="B654" i="11"/>
  <c r="B655" i="11"/>
  <c r="B656" i="11"/>
  <c r="B657" i="11"/>
  <c r="B658" i="11"/>
  <c r="B659" i="11"/>
  <c r="B660" i="11"/>
  <c r="B661" i="11"/>
  <c r="B662" i="11"/>
  <c r="B663" i="11"/>
  <c r="B664" i="11"/>
  <c r="B665" i="11"/>
  <c r="B666" i="11"/>
  <c r="B667" i="11"/>
  <c r="B668" i="11"/>
  <c r="B669" i="11"/>
  <c r="B670" i="11"/>
  <c r="B671" i="11"/>
  <c r="B672" i="11"/>
  <c r="B673" i="11"/>
  <c r="B674" i="11"/>
  <c r="B675" i="11"/>
  <c r="B676" i="11"/>
  <c r="B677" i="11"/>
  <c r="B678" i="11"/>
  <c r="B679" i="11"/>
  <c r="B680" i="11"/>
  <c r="B681" i="11"/>
  <c r="B682" i="11"/>
  <c r="B683" i="11"/>
  <c r="B684" i="11"/>
  <c r="B685" i="11"/>
  <c r="B686" i="11"/>
  <c r="B687" i="11"/>
  <c r="B688" i="11"/>
  <c r="B689" i="11"/>
  <c r="B690" i="11"/>
  <c r="B691" i="11"/>
  <c r="B692" i="11"/>
  <c r="B693" i="11"/>
  <c r="B694" i="11"/>
  <c r="B695" i="11"/>
  <c r="B696" i="11"/>
  <c r="B697" i="11"/>
  <c r="B698" i="11"/>
  <c r="B699" i="11"/>
  <c r="B700" i="11"/>
  <c r="B701" i="11"/>
  <c r="B702" i="11"/>
  <c r="B703" i="11"/>
  <c r="B704" i="11"/>
  <c r="B705" i="11"/>
  <c r="B706" i="11"/>
  <c r="B707" i="11"/>
  <c r="B708" i="11"/>
  <c r="B709" i="11"/>
  <c r="B710" i="11"/>
  <c r="B711" i="11"/>
  <c r="B712" i="11"/>
  <c r="B713" i="11"/>
  <c r="B714" i="11"/>
  <c r="B715" i="11"/>
  <c r="B716" i="11"/>
  <c r="B717" i="11"/>
  <c r="B718" i="11"/>
  <c r="B719" i="11"/>
  <c r="B720" i="11"/>
  <c r="B721" i="11"/>
  <c r="B722" i="11"/>
  <c r="B723" i="11"/>
  <c r="B724" i="11"/>
  <c r="B725" i="11"/>
  <c r="B726" i="11"/>
  <c r="B727" i="11"/>
  <c r="B728" i="11"/>
  <c r="B729" i="11"/>
  <c r="B730" i="11"/>
  <c r="B731" i="11"/>
  <c r="B732" i="11"/>
  <c r="B733" i="11"/>
  <c r="B734" i="11"/>
  <c r="B735" i="11"/>
  <c r="B736" i="11"/>
  <c r="C634" i="11"/>
  <c r="C635" i="11"/>
  <c r="C636" i="11"/>
  <c r="C637" i="11"/>
  <c r="G170" i="11"/>
  <c r="C638" i="11"/>
  <c r="G171" i="11"/>
  <c r="C639" i="11"/>
  <c r="C640" i="11"/>
  <c r="C641" i="11"/>
  <c r="C642" i="11"/>
  <c r="C643" i="11"/>
  <c r="C644" i="11"/>
  <c r="C645" i="11"/>
  <c r="C646" i="11"/>
  <c r="C647" i="11"/>
  <c r="C648" i="11"/>
  <c r="C649" i="11"/>
  <c r="C650" i="11"/>
  <c r="C651" i="11"/>
  <c r="C652" i="11"/>
  <c r="C653" i="11"/>
  <c r="C654" i="11"/>
  <c r="C655" i="11"/>
  <c r="C656" i="11"/>
  <c r="C657" i="11"/>
  <c r="C658" i="11"/>
  <c r="C659" i="11"/>
  <c r="C660" i="11"/>
  <c r="C661" i="11"/>
  <c r="C662" i="11"/>
  <c r="C663" i="11"/>
  <c r="C664" i="11"/>
  <c r="C665" i="11"/>
  <c r="C666" i="11"/>
  <c r="C667" i="11"/>
  <c r="C668" i="11"/>
  <c r="C669" i="11"/>
  <c r="C670" i="11"/>
  <c r="C671" i="11"/>
  <c r="C672" i="11"/>
  <c r="C673" i="11"/>
  <c r="C674" i="11"/>
  <c r="C675" i="11"/>
  <c r="C676" i="11"/>
  <c r="C677" i="11"/>
  <c r="C678" i="11"/>
  <c r="C679" i="11"/>
  <c r="C680" i="11"/>
  <c r="C681" i="11"/>
  <c r="C682" i="11"/>
  <c r="C683" i="11"/>
  <c r="C684" i="11"/>
  <c r="C685" i="11"/>
  <c r="C686" i="11"/>
  <c r="C687" i="11"/>
  <c r="C688" i="11"/>
  <c r="C689" i="11"/>
  <c r="C690" i="11"/>
  <c r="C691" i="11"/>
  <c r="C692" i="11"/>
  <c r="C693" i="11"/>
  <c r="C694" i="11"/>
  <c r="C695" i="11"/>
  <c r="C696" i="11"/>
  <c r="C697" i="11"/>
  <c r="C698" i="11"/>
  <c r="C699" i="11"/>
  <c r="C700" i="11"/>
  <c r="C701" i="11"/>
  <c r="C702" i="11"/>
  <c r="C703" i="11"/>
  <c r="C704" i="11"/>
  <c r="C705" i="11"/>
  <c r="C706" i="11"/>
  <c r="C707" i="11"/>
  <c r="C708" i="11"/>
  <c r="C709" i="11"/>
  <c r="C710" i="11"/>
  <c r="C711" i="11"/>
  <c r="C712" i="11"/>
  <c r="C713" i="11"/>
  <c r="C714" i="11"/>
  <c r="C715" i="11"/>
  <c r="C716" i="11"/>
  <c r="C717" i="11"/>
  <c r="C718" i="11"/>
  <c r="C719" i="11"/>
  <c r="C720" i="11"/>
  <c r="C721" i="11"/>
  <c r="C722" i="11"/>
  <c r="C723" i="11"/>
  <c r="C724" i="11"/>
  <c r="C725" i="11"/>
  <c r="C726" i="11"/>
  <c r="C727" i="11"/>
  <c r="C728" i="11"/>
  <c r="C729" i="11"/>
  <c r="C730" i="11"/>
  <c r="C731" i="11"/>
  <c r="C732" i="11"/>
  <c r="C733" i="11"/>
  <c r="C734" i="11"/>
  <c r="C735" i="11"/>
  <c r="C736" i="11"/>
  <c r="C435" i="11"/>
  <c r="F742" i="11"/>
  <c r="F743" i="11"/>
  <c r="F744" i="11"/>
  <c r="F745" i="11"/>
  <c r="F746" i="11"/>
  <c r="F747" i="11"/>
  <c r="F748" i="11"/>
  <c r="F749" i="11"/>
  <c r="F750" i="11"/>
  <c r="F751" i="11"/>
  <c r="F752" i="11"/>
  <c r="F753" i="11"/>
  <c r="F754" i="11"/>
  <c r="F755" i="11"/>
  <c r="F756" i="11"/>
  <c r="F757" i="11"/>
  <c r="F758" i="11"/>
  <c r="F759" i="11"/>
  <c r="F760" i="11"/>
  <c r="F761" i="11"/>
  <c r="F762" i="11"/>
  <c r="F763" i="11"/>
  <c r="F764" i="11"/>
  <c r="F765" i="11"/>
  <c r="F766" i="11"/>
  <c r="F767" i="11"/>
  <c r="F768" i="11"/>
  <c r="F769" i="11"/>
  <c r="F770" i="11"/>
  <c r="F771" i="11"/>
  <c r="F772" i="11"/>
  <c r="F773" i="11"/>
  <c r="F774" i="11"/>
  <c r="F775" i="11"/>
  <c r="F776" i="11"/>
  <c r="F777" i="11"/>
  <c r="F778" i="11"/>
  <c r="F779" i="11"/>
  <c r="F780" i="11"/>
  <c r="F781" i="11"/>
  <c r="F782" i="11"/>
  <c r="F783" i="11"/>
  <c r="F784" i="11"/>
  <c r="F785" i="11"/>
  <c r="F786" i="11"/>
  <c r="F787" i="11"/>
  <c r="F788" i="11"/>
  <c r="F789" i="11"/>
  <c r="F790" i="11"/>
  <c r="F791" i="11"/>
  <c r="F792" i="11"/>
  <c r="F793" i="11"/>
  <c r="F794" i="11"/>
  <c r="F795" i="11"/>
  <c r="F796" i="11"/>
  <c r="F797" i="11"/>
  <c r="F798" i="11"/>
  <c r="F799" i="11"/>
  <c r="F800" i="11"/>
  <c r="F801" i="11"/>
  <c r="F802" i="11"/>
  <c r="F803" i="11"/>
  <c r="F804" i="11"/>
  <c r="F805" i="11"/>
  <c r="F806" i="11"/>
  <c r="F807" i="11"/>
  <c r="F808" i="11"/>
  <c r="F809" i="11"/>
  <c r="F810" i="11"/>
  <c r="F811" i="11"/>
  <c r="F812" i="11"/>
  <c r="F813" i="11"/>
  <c r="F814" i="11"/>
  <c r="F815" i="11"/>
  <c r="F816" i="11"/>
  <c r="F817" i="11"/>
  <c r="F818" i="11"/>
  <c r="F819" i="11"/>
  <c r="F820" i="11"/>
  <c r="F821" i="11"/>
  <c r="F822" i="11"/>
  <c r="F823" i="11"/>
  <c r="F824" i="11"/>
  <c r="F825" i="11"/>
  <c r="F826" i="11"/>
  <c r="F827" i="11"/>
  <c r="F828" i="11"/>
  <c r="F829" i="11"/>
  <c r="F830" i="11"/>
  <c r="F831" i="11"/>
  <c r="F832" i="11"/>
  <c r="F833" i="11"/>
  <c r="F834" i="11"/>
  <c r="F835" i="11"/>
  <c r="F836" i="11"/>
  <c r="F837" i="11"/>
  <c r="F838" i="11"/>
  <c r="F839" i="11"/>
  <c r="F840" i="11"/>
  <c r="F841" i="11"/>
  <c r="F842" i="11"/>
  <c r="F843" i="11"/>
  <c r="F844" i="11"/>
  <c r="G742" i="11"/>
  <c r="G743" i="11"/>
  <c r="G744" i="11"/>
  <c r="G745" i="11"/>
  <c r="G746" i="11"/>
  <c r="G747" i="11"/>
  <c r="G748" i="11"/>
  <c r="G749" i="11"/>
  <c r="G750" i="11"/>
  <c r="G751" i="11"/>
  <c r="G752" i="11"/>
  <c r="G753" i="11"/>
  <c r="G754" i="11"/>
  <c r="G755" i="11"/>
  <c r="G756" i="11"/>
  <c r="G757" i="11"/>
  <c r="G758" i="11"/>
  <c r="G759" i="11"/>
  <c r="G760" i="11"/>
  <c r="G761" i="11"/>
  <c r="G762" i="11"/>
  <c r="G763" i="11"/>
  <c r="G764" i="11"/>
  <c r="G765" i="11"/>
  <c r="G766" i="11"/>
  <c r="G767" i="11"/>
  <c r="G768" i="11"/>
  <c r="G769" i="11"/>
  <c r="G770" i="11"/>
  <c r="G771" i="11"/>
  <c r="G772" i="11"/>
  <c r="G773" i="11"/>
  <c r="G774" i="11"/>
  <c r="G775" i="11"/>
  <c r="G776" i="11"/>
  <c r="G777" i="11"/>
  <c r="G778" i="11"/>
  <c r="G779" i="11"/>
  <c r="G780" i="11"/>
  <c r="G781" i="11"/>
  <c r="G782" i="11"/>
  <c r="G783" i="11"/>
  <c r="G784" i="11"/>
  <c r="G785" i="11"/>
  <c r="G786" i="11"/>
  <c r="G787" i="11"/>
  <c r="G788" i="11"/>
  <c r="G789" i="11"/>
  <c r="G790" i="11"/>
  <c r="G791" i="11"/>
  <c r="G792" i="11"/>
  <c r="G793" i="11"/>
  <c r="G794" i="11"/>
  <c r="G795" i="11"/>
  <c r="G796" i="11"/>
  <c r="G797" i="11"/>
  <c r="G798" i="11"/>
  <c r="G799" i="11"/>
  <c r="G800" i="11"/>
  <c r="G801" i="11"/>
  <c r="G802" i="11"/>
  <c r="G803" i="11"/>
  <c r="G804" i="11"/>
  <c r="G805" i="11"/>
  <c r="G806" i="11"/>
  <c r="G807" i="11"/>
  <c r="G808" i="11"/>
  <c r="G809" i="11"/>
  <c r="G810" i="11"/>
  <c r="G811" i="11"/>
  <c r="G812" i="11"/>
  <c r="G813" i="11"/>
  <c r="G814" i="11"/>
  <c r="G815" i="11"/>
  <c r="G816" i="11"/>
  <c r="G817" i="11"/>
  <c r="G818" i="11"/>
  <c r="G819" i="11"/>
  <c r="G820" i="11"/>
  <c r="G821" i="11"/>
  <c r="G822" i="11"/>
  <c r="G823" i="11"/>
  <c r="G824" i="11"/>
  <c r="G825" i="11"/>
  <c r="G826" i="11"/>
  <c r="G827" i="11"/>
  <c r="G828" i="11"/>
  <c r="G829" i="11"/>
  <c r="G830" i="11"/>
  <c r="G831" i="11"/>
  <c r="G832" i="11"/>
  <c r="G833" i="11"/>
  <c r="G834" i="11"/>
  <c r="G835" i="11"/>
  <c r="G836" i="11"/>
  <c r="G837" i="11"/>
  <c r="G838" i="11"/>
  <c r="G839" i="11"/>
  <c r="G840" i="11"/>
  <c r="G841" i="11"/>
  <c r="G842" i="11"/>
  <c r="G843" i="11"/>
  <c r="G844" i="11"/>
  <c r="E435" i="11"/>
  <c r="H435" i="11"/>
  <c r="A389" i="11"/>
  <c r="I105" i="11"/>
  <c r="C389" i="11"/>
  <c r="E389" i="11"/>
  <c r="H389" i="11"/>
  <c r="E338" i="11"/>
  <c r="A534" i="11"/>
  <c r="D634" i="11"/>
  <c r="D635" i="11"/>
  <c r="D636" i="11"/>
  <c r="D637" i="11"/>
  <c r="D638" i="11"/>
  <c r="D639" i="11"/>
  <c r="D640" i="11"/>
  <c r="D641" i="11"/>
  <c r="D642" i="11"/>
  <c r="D643" i="11"/>
  <c r="D644" i="11"/>
  <c r="D645" i="11"/>
  <c r="D646" i="11"/>
  <c r="D647" i="11"/>
  <c r="D648" i="11"/>
  <c r="D649" i="11"/>
  <c r="D650" i="11"/>
  <c r="D651" i="11"/>
  <c r="D652" i="11"/>
  <c r="D653" i="11"/>
  <c r="D654" i="11"/>
  <c r="D655" i="11"/>
  <c r="D656" i="11"/>
  <c r="D657" i="11"/>
  <c r="D658" i="11"/>
  <c r="D659" i="11"/>
  <c r="D660" i="11"/>
  <c r="D661" i="11"/>
  <c r="D662" i="11"/>
  <c r="D663" i="11"/>
  <c r="D664" i="11"/>
  <c r="D665" i="11"/>
  <c r="D666" i="11"/>
  <c r="D667" i="11"/>
  <c r="D668" i="11"/>
  <c r="D669" i="11"/>
  <c r="D670" i="11"/>
  <c r="D671" i="11"/>
  <c r="D672" i="11"/>
  <c r="D673" i="11"/>
  <c r="D674" i="11"/>
  <c r="D675" i="11"/>
  <c r="D676" i="11"/>
  <c r="D677" i="11"/>
  <c r="D678" i="11"/>
  <c r="D679" i="11"/>
  <c r="D680" i="11"/>
  <c r="D681" i="11"/>
  <c r="D682" i="11"/>
  <c r="D683" i="11"/>
  <c r="D684" i="11"/>
  <c r="D685" i="11"/>
  <c r="D686" i="11"/>
  <c r="D687" i="11"/>
  <c r="D688" i="11"/>
  <c r="D689" i="11"/>
  <c r="D690" i="11"/>
  <c r="D691" i="11"/>
  <c r="D692" i="11"/>
  <c r="D693" i="11"/>
  <c r="D694" i="11"/>
  <c r="D695" i="11"/>
  <c r="D696" i="11"/>
  <c r="D697" i="11"/>
  <c r="D698" i="11"/>
  <c r="D699" i="11"/>
  <c r="D700" i="11"/>
  <c r="D701" i="11"/>
  <c r="D702" i="11"/>
  <c r="D703" i="11"/>
  <c r="D704" i="11"/>
  <c r="D705" i="11"/>
  <c r="D706" i="11"/>
  <c r="D707" i="11"/>
  <c r="D708" i="11"/>
  <c r="D709" i="11"/>
  <c r="D710" i="11"/>
  <c r="D711" i="11"/>
  <c r="D712" i="11"/>
  <c r="D713" i="11"/>
  <c r="D714" i="11"/>
  <c r="D715" i="11"/>
  <c r="D716" i="11"/>
  <c r="D717" i="11"/>
  <c r="D718" i="11"/>
  <c r="D719" i="11"/>
  <c r="D720" i="11"/>
  <c r="D721" i="11"/>
  <c r="D722" i="11"/>
  <c r="D723" i="11"/>
  <c r="D724" i="11"/>
  <c r="D725" i="11"/>
  <c r="D726" i="11"/>
  <c r="D727" i="11"/>
  <c r="D728" i="11"/>
  <c r="D729" i="11"/>
  <c r="D730" i="11"/>
  <c r="D731" i="11"/>
  <c r="D732" i="11"/>
  <c r="D733" i="11"/>
  <c r="D734" i="11"/>
  <c r="D735" i="11"/>
  <c r="D736" i="11"/>
  <c r="G166" i="11"/>
  <c r="E634" i="11"/>
  <c r="G167" i="11"/>
  <c r="E635" i="11"/>
  <c r="G168" i="11"/>
  <c r="E636" i="11"/>
  <c r="G169" i="11"/>
  <c r="E637" i="11"/>
  <c r="E638" i="11"/>
  <c r="E639" i="11"/>
  <c r="E640" i="11"/>
  <c r="E641" i="11"/>
  <c r="E642" i="11"/>
  <c r="E643" i="11"/>
  <c r="E644" i="11"/>
  <c r="E645" i="11"/>
  <c r="E646" i="11"/>
  <c r="E647" i="11"/>
  <c r="E648" i="11"/>
  <c r="E649" i="11"/>
  <c r="E650" i="11"/>
  <c r="E651" i="11"/>
  <c r="E652" i="11"/>
  <c r="E653" i="11"/>
  <c r="E654" i="11"/>
  <c r="E655" i="11"/>
  <c r="E656" i="11"/>
  <c r="E657" i="11"/>
  <c r="E658" i="11"/>
  <c r="E659" i="11"/>
  <c r="E660" i="11"/>
  <c r="E661" i="11"/>
  <c r="E662" i="11"/>
  <c r="E663" i="11"/>
  <c r="E664" i="11"/>
  <c r="E665" i="11"/>
  <c r="E666" i="11"/>
  <c r="E667" i="11"/>
  <c r="E668" i="11"/>
  <c r="E669" i="11"/>
  <c r="E670" i="11"/>
  <c r="E671" i="11"/>
  <c r="E672" i="11"/>
  <c r="E673" i="11"/>
  <c r="E674" i="11"/>
  <c r="E675" i="11"/>
  <c r="E676" i="11"/>
  <c r="E677" i="11"/>
  <c r="E678" i="11"/>
  <c r="E679" i="11"/>
  <c r="E680" i="11"/>
  <c r="E681" i="11"/>
  <c r="E682" i="11"/>
  <c r="E683" i="11"/>
  <c r="E684" i="11"/>
  <c r="E685" i="11"/>
  <c r="E686" i="11"/>
  <c r="E687" i="11"/>
  <c r="E688" i="11"/>
  <c r="E689" i="11"/>
  <c r="E690" i="11"/>
  <c r="E691" i="11"/>
  <c r="E692" i="11"/>
  <c r="E693" i="11"/>
  <c r="E694" i="11"/>
  <c r="E695" i="11"/>
  <c r="E696" i="11"/>
  <c r="E697" i="11"/>
  <c r="E698" i="11"/>
  <c r="E699" i="11"/>
  <c r="E700" i="11"/>
  <c r="E701" i="11"/>
  <c r="E702" i="11"/>
  <c r="E703" i="11"/>
  <c r="E704" i="11"/>
  <c r="E705" i="11"/>
  <c r="E706" i="11"/>
  <c r="E707" i="11"/>
  <c r="E708" i="11"/>
  <c r="E709" i="11"/>
  <c r="E710" i="11"/>
  <c r="E711" i="11"/>
  <c r="E712" i="11"/>
  <c r="E713" i="11"/>
  <c r="E714" i="11"/>
  <c r="E715" i="11"/>
  <c r="E716" i="11"/>
  <c r="E717" i="11"/>
  <c r="E718" i="11"/>
  <c r="E719" i="11"/>
  <c r="E720" i="11"/>
  <c r="E721" i="11"/>
  <c r="E722" i="11"/>
  <c r="E723" i="11"/>
  <c r="E724" i="11"/>
  <c r="E725" i="11"/>
  <c r="E726" i="11"/>
  <c r="E727" i="11"/>
  <c r="E728" i="11"/>
  <c r="E729" i="11"/>
  <c r="E730" i="11"/>
  <c r="E731" i="11"/>
  <c r="E732" i="11"/>
  <c r="E733" i="11"/>
  <c r="E734" i="11"/>
  <c r="E735" i="11"/>
  <c r="E736" i="11"/>
  <c r="C534" i="11"/>
  <c r="J634" i="11"/>
  <c r="J635" i="11"/>
  <c r="J636" i="11"/>
  <c r="J637" i="11"/>
  <c r="J638" i="11"/>
  <c r="J639" i="11"/>
  <c r="J640" i="11"/>
  <c r="J641" i="11"/>
  <c r="J642" i="11"/>
  <c r="J643" i="11"/>
  <c r="J644" i="11"/>
  <c r="J645" i="11"/>
  <c r="J646" i="11"/>
  <c r="J647" i="11"/>
  <c r="J648" i="11"/>
  <c r="J649" i="11"/>
  <c r="J650" i="11"/>
  <c r="J651" i="11"/>
  <c r="J652" i="11"/>
  <c r="J653" i="11"/>
  <c r="J654" i="11"/>
  <c r="J655" i="11"/>
  <c r="J656" i="11"/>
  <c r="J657" i="11"/>
  <c r="J658" i="11"/>
  <c r="J659" i="11"/>
  <c r="J660" i="11"/>
  <c r="J661" i="11"/>
  <c r="J662" i="11"/>
  <c r="J663" i="11"/>
  <c r="J664" i="11"/>
  <c r="J665" i="11"/>
  <c r="J666" i="11"/>
  <c r="J667" i="11"/>
  <c r="J668" i="11"/>
  <c r="J669" i="11"/>
  <c r="J670" i="11"/>
  <c r="J671" i="11"/>
  <c r="J672" i="11"/>
  <c r="J673" i="11"/>
  <c r="J674" i="11"/>
  <c r="J675" i="11"/>
  <c r="J676" i="11"/>
  <c r="J677" i="11"/>
  <c r="J678" i="11"/>
  <c r="J679" i="11"/>
  <c r="J680" i="11"/>
  <c r="J681" i="11"/>
  <c r="J682" i="11"/>
  <c r="J683" i="11"/>
  <c r="J684" i="11"/>
  <c r="J685" i="11"/>
  <c r="J686" i="11"/>
  <c r="J687" i="11"/>
  <c r="J688" i="11"/>
  <c r="J689" i="11"/>
  <c r="J690" i="11"/>
  <c r="J691" i="11"/>
  <c r="J692" i="11"/>
  <c r="J693" i="11"/>
  <c r="J694" i="11"/>
  <c r="J695" i="11"/>
  <c r="J696" i="11"/>
  <c r="J697" i="11"/>
  <c r="J698" i="11"/>
  <c r="J699" i="11"/>
  <c r="J700" i="11"/>
  <c r="J701" i="11"/>
  <c r="J702" i="11"/>
  <c r="J703" i="11"/>
  <c r="J704" i="11"/>
  <c r="J705" i="11"/>
  <c r="J706" i="11"/>
  <c r="J707" i="11"/>
  <c r="J708" i="11"/>
  <c r="J709" i="11"/>
  <c r="J710" i="11"/>
  <c r="J711" i="11"/>
  <c r="J712" i="11"/>
  <c r="J713" i="11"/>
  <c r="J714" i="11"/>
  <c r="J715" i="11"/>
  <c r="J716" i="11"/>
  <c r="J717" i="11"/>
  <c r="J718" i="11"/>
  <c r="J719" i="11"/>
  <c r="J720" i="11"/>
  <c r="J721" i="11"/>
  <c r="J722" i="11"/>
  <c r="J723" i="11"/>
  <c r="J724" i="11"/>
  <c r="J725" i="11"/>
  <c r="J726" i="11"/>
  <c r="J727" i="11"/>
  <c r="J728" i="11"/>
  <c r="J729" i="11"/>
  <c r="J730" i="11"/>
  <c r="J731" i="11"/>
  <c r="J732" i="11"/>
  <c r="J733" i="11"/>
  <c r="J734" i="11"/>
  <c r="J735" i="11"/>
  <c r="J736" i="11"/>
  <c r="K634" i="11"/>
  <c r="K635" i="11"/>
  <c r="K636" i="11"/>
  <c r="K637" i="11"/>
  <c r="K638" i="11"/>
  <c r="K639" i="11"/>
  <c r="K640" i="11"/>
  <c r="K641" i="11"/>
  <c r="K642" i="11"/>
  <c r="K643" i="11"/>
  <c r="K644" i="11"/>
  <c r="K645" i="11"/>
  <c r="K646" i="11"/>
  <c r="K647" i="11"/>
  <c r="K648" i="11"/>
  <c r="K649" i="11"/>
  <c r="K650" i="11"/>
  <c r="K651" i="11"/>
  <c r="K652" i="11"/>
  <c r="K653" i="11"/>
  <c r="K654" i="11"/>
  <c r="K655" i="11"/>
  <c r="K656" i="11"/>
  <c r="K657" i="11"/>
  <c r="K658" i="11"/>
  <c r="K659" i="11"/>
  <c r="K660" i="11"/>
  <c r="K661" i="11"/>
  <c r="K662" i="11"/>
  <c r="K663" i="11"/>
  <c r="K664" i="11"/>
  <c r="K665" i="11"/>
  <c r="K666" i="11"/>
  <c r="K667" i="11"/>
  <c r="K668" i="11"/>
  <c r="K669" i="11"/>
  <c r="K670" i="11"/>
  <c r="K671" i="11"/>
  <c r="K672" i="11"/>
  <c r="K673" i="11"/>
  <c r="K674" i="11"/>
  <c r="K675" i="11"/>
  <c r="K676" i="11"/>
  <c r="K677" i="11"/>
  <c r="K678" i="11"/>
  <c r="K679" i="11"/>
  <c r="K680" i="11"/>
  <c r="K681" i="11"/>
  <c r="K682" i="11"/>
  <c r="K683" i="11"/>
  <c r="K684" i="11"/>
  <c r="K685" i="11"/>
  <c r="K686" i="11"/>
  <c r="K687" i="11"/>
  <c r="K688" i="11"/>
  <c r="K689" i="11"/>
  <c r="K690" i="11"/>
  <c r="K691" i="11"/>
  <c r="K692" i="11"/>
  <c r="K693" i="11"/>
  <c r="K694" i="11"/>
  <c r="K695" i="11"/>
  <c r="K696" i="11"/>
  <c r="K697" i="11"/>
  <c r="K698" i="11"/>
  <c r="K699" i="11"/>
  <c r="K700" i="11"/>
  <c r="K701" i="11"/>
  <c r="K702" i="11"/>
  <c r="K703" i="11"/>
  <c r="K704" i="11"/>
  <c r="K705" i="11"/>
  <c r="K706" i="11"/>
  <c r="K707" i="11"/>
  <c r="K708" i="11"/>
  <c r="K709" i="11"/>
  <c r="K710" i="11"/>
  <c r="K711" i="11"/>
  <c r="K712" i="11"/>
  <c r="K713" i="11"/>
  <c r="K714" i="11"/>
  <c r="K715" i="11"/>
  <c r="K716" i="11"/>
  <c r="K717" i="11"/>
  <c r="K718" i="11"/>
  <c r="K719" i="11"/>
  <c r="K720" i="11"/>
  <c r="K721" i="11"/>
  <c r="K722" i="11"/>
  <c r="K723" i="11"/>
  <c r="K724" i="11"/>
  <c r="K725" i="11"/>
  <c r="K726" i="11"/>
  <c r="K727" i="11"/>
  <c r="K728" i="11"/>
  <c r="K729" i="11"/>
  <c r="K730" i="11"/>
  <c r="K731" i="11"/>
  <c r="K732" i="11"/>
  <c r="K733" i="11"/>
  <c r="K734" i="11"/>
  <c r="K735" i="11"/>
  <c r="K736" i="11"/>
  <c r="E534" i="11"/>
  <c r="B742" i="11"/>
  <c r="B743" i="11"/>
  <c r="B744" i="11"/>
  <c r="B745" i="11"/>
  <c r="B746" i="11"/>
  <c r="B747" i="11"/>
  <c r="B748" i="11"/>
  <c r="B749" i="11"/>
  <c r="B750" i="11"/>
  <c r="B751" i="11"/>
  <c r="B752" i="11"/>
  <c r="B753" i="11"/>
  <c r="B754" i="11"/>
  <c r="B755" i="11"/>
  <c r="B756" i="11"/>
  <c r="B757" i="11"/>
  <c r="B758" i="11"/>
  <c r="B759" i="11"/>
  <c r="B760" i="11"/>
  <c r="B761" i="11"/>
  <c r="B762" i="11"/>
  <c r="B763" i="11"/>
  <c r="B764" i="11"/>
  <c r="B765" i="11"/>
  <c r="B766" i="11"/>
  <c r="B767" i="11"/>
  <c r="B768" i="11"/>
  <c r="B769" i="11"/>
  <c r="B770" i="11"/>
  <c r="B771" i="11"/>
  <c r="B772" i="11"/>
  <c r="B773" i="11"/>
  <c r="B774" i="11"/>
  <c r="B775" i="11"/>
  <c r="B776" i="11"/>
  <c r="B777" i="11"/>
  <c r="B778" i="11"/>
  <c r="B779" i="11"/>
  <c r="B780" i="11"/>
  <c r="B781" i="11"/>
  <c r="B782" i="11"/>
  <c r="B783" i="11"/>
  <c r="B784" i="11"/>
  <c r="B785" i="11"/>
  <c r="B786" i="11"/>
  <c r="B787" i="11"/>
  <c r="B788" i="11"/>
  <c r="B789" i="11"/>
  <c r="B790" i="11"/>
  <c r="B791" i="11"/>
  <c r="B792" i="11"/>
  <c r="B793" i="11"/>
  <c r="B794" i="11"/>
  <c r="B795" i="11"/>
  <c r="B796" i="11"/>
  <c r="B797" i="11"/>
  <c r="B798" i="11"/>
  <c r="B799" i="11"/>
  <c r="B800" i="11"/>
  <c r="B801" i="11"/>
  <c r="B802" i="11"/>
  <c r="B803" i="11"/>
  <c r="B804" i="11"/>
  <c r="B805" i="11"/>
  <c r="B806" i="11"/>
  <c r="B807" i="11"/>
  <c r="B808" i="11"/>
  <c r="B809" i="11"/>
  <c r="B810" i="11"/>
  <c r="B811" i="11"/>
  <c r="B812" i="11"/>
  <c r="B813" i="11"/>
  <c r="B814" i="11"/>
  <c r="B815" i="11"/>
  <c r="B816" i="11"/>
  <c r="B817" i="11"/>
  <c r="B818" i="11"/>
  <c r="B819" i="11"/>
  <c r="B820" i="11"/>
  <c r="B821" i="11"/>
  <c r="B822" i="11"/>
  <c r="B823" i="11"/>
  <c r="B824" i="11"/>
  <c r="B825" i="11"/>
  <c r="B826" i="11"/>
  <c r="B827" i="11"/>
  <c r="B828" i="11"/>
  <c r="B829" i="11"/>
  <c r="B830" i="11"/>
  <c r="B831" i="11"/>
  <c r="B832" i="11"/>
  <c r="B833" i="11"/>
  <c r="B834" i="11"/>
  <c r="B835" i="11"/>
  <c r="B836" i="11"/>
  <c r="B837" i="11"/>
  <c r="B838" i="11"/>
  <c r="B839" i="11"/>
  <c r="B840" i="11"/>
  <c r="B841" i="11"/>
  <c r="B842" i="11"/>
  <c r="B843" i="11"/>
  <c r="B844" i="11"/>
  <c r="C742" i="11"/>
  <c r="C743" i="11"/>
  <c r="C744" i="11"/>
  <c r="C745" i="11"/>
  <c r="C746" i="11"/>
  <c r="C747" i="11"/>
  <c r="C748" i="11"/>
  <c r="C749" i="11"/>
  <c r="C750" i="11"/>
  <c r="C751" i="11"/>
  <c r="C752" i="11"/>
  <c r="C753" i="11"/>
  <c r="C754" i="11"/>
  <c r="C755" i="11"/>
  <c r="C756" i="11"/>
  <c r="C757" i="11"/>
  <c r="C758" i="11"/>
  <c r="C759" i="11"/>
  <c r="C760" i="11"/>
  <c r="C761" i="11"/>
  <c r="C762" i="11"/>
  <c r="C763" i="11"/>
  <c r="C764" i="11"/>
  <c r="C765" i="11"/>
  <c r="C766" i="11"/>
  <c r="C767" i="11"/>
  <c r="C768" i="11"/>
  <c r="C769" i="11"/>
  <c r="C770" i="11"/>
  <c r="C771" i="11"/>
  <c r="C772" i="11"/>
  <c r="C773" i="11"/>
  <c r="C774" i="11"/>
  <c r="C775" i="11"/>
  <c r="C776" i="11"/>
  <c r="C777" i="11"/>
  <c r="C778" i="11"/>
  <c r="C779" i="11"/>
  <c r="C780" i="11"/>
  <c r="C781" i="11"/>
  <c r="C782" i="11"/>
  <c r="C783" i="11"/>
  <c r="C784" i="11"/>
  <c r="C785" i="11"/>
  <c r="C786" i="11"/>
  <c r="C787" i="11"/>
  <c r="C788" i="11"/>
  <c r="C789" i="11"/>
  <c r="C790" i="11"/>
  <c r="C791" i="11"/>
  <c r="C792" i="11"/>
  <c r="C793" i="11"/>
  <c r="C794" i="11"/>
  <c r="C795" i="11"/>
  <c r="C796" i="11"/>
  <c r="C797" i="11"/>
  <c r="C798" i="11"/>
  <c r="C799" i="11"/>
  <c r="C800" i="11"/>
  <c r="C801" i="11"/>
  <c r="C802" i="11"/>
  <c r="C803" i="11"/>
  <c r="C804" i="11"/>
  <c r="C805" i="11"/>
  <c r="C806" i="11"/>
  <c r="C807" i="11"/>
  <c r="C808" i="11"/>
  <c r="C809" i="11"/>
  <c r="C810" i="11"/>
  <c r="C811" i="11"/>
  <c r="C812" i="11"/>
  <c r="C813" i="11"/>
  <c r="C814" i="11"/>
  <c r="C815" i="11"/>
  <c r="C816" i="11"/>
  <c r="C817" i="11"/>
  <c r="C818" i="11"/>
  <c r="C819" i="11"/>
  <c r="C820" i="11"/>
  <c r="C821" i="11"/>
  <c r="C822" i="11"/>
  <c r="C823" i="11"/>
  <c r="C824" i="11"/>
  <c r="C825" i="11"/>
  <c r="C826" i="11"/>
  <c r="C827" i="11"/>
  <c r="C828" i="11"/>
  <c r="C829" i="11"/>
  <c r="C830" i="11"/>
  <c r="C831" i="11"/>
  <c r="C832" i="11"/>
  <c r="C833" i="11"/>
  <c r="C834" i="11"/>
  <c r="C835" i="11"/>
  <c r="C836" i="11"/>
  <c r="C837" i="11"/>
  <c r="C838" i="11"/>
  <c r="C839" i="11"/>
  <c r="C840" i="11"/>
  <c r="C841" i="11"/>
  <c r="C842" i="11"/>
  <c r="C843" i="11"/>
  <c r="C844" i="11"/>
  <c r="G534" i="11"/>
  <c r="H742" i="11"/>
  <c r="H743" i="11"/>
  <c r="H744" i="11"/>
  <c r="H745" i="11"/>
  <c r="H746" i="11"/>
  <c r="H747" i="11"/>
  <c r="H748" i="11"/>
  <c r="H749" i="11"/>
  <c r="H750" i="11"/>
  <c r="H751" i="11"/>
  <c r="H752" i="11"/>
  <c r="H753" i="11"/>
  <c r="H754" i="11"/>
  <c r="H755" i="11"/>
  <c r="H756" i="11"/>
  <c r="H757" i="11"/>
  <c r="H758" i="11"/>
  <c r="H759" i="11"/>
  <c r="H760" i="11"/>
  <c r="H761" i="11"/>
  <c r="H762" i="11"/>
  <c r="H763" i="11"/>
  <c r="H764" i="11"/>
  <c r="H765" i="11"/>
  <c r="H766" i="11"/>
  <c r="H767" i="11"/>
  <c r="H768" i="11"/>
  <c r="H769" i="11"/>
  <c r="H770" i="11"/>
  <c r="H771" i="11"/>
  <c r="H772" i="11"/>
  <c r="H773" i="11"/>
  <c r="H774" i="11"/>
  <c r="H775" i="11"/>
  <c r="H776" i="11"/>
  <c r="H777" i="11"/>
  <c r="H778" i="11"/>
  <c r="H779" i="11"/>
  <c r="H780" i="11"/>
  <c r="H781" i="11"/>
  <c r="H782" i="11"/>
  <c r="H783" i="11"/>
  <c r="H784" i="11"/>
  <c r="H785" i="11"/>
  <c r="H786" i="11"/>
  <c r="H787" i="11"/>
  <c r="H788" i="11"/>
  <c r="H789" i="11"/>
  <c r="H790" i="11"/>
  <c r="H791" i="11"/>
  <c r="H792" i="11"/>
  <c r="H793" i="11"/>
  <c r="H794" i="11"/>
  <c r="H795" i="11"/>
  <c r="H796" i="11"/>
  <c r="H797" i="11"/>
  <c r="H798" i="11"/>
  <c r="H799" i="11"/>
  <c r="H800" i="11"/>
  <c r="H801" i="11"/>
  <c r="H802" i="11"/>
  <c r="H803" i="11"/>
  <c r="H804" i="11"/>
  <c r="H805" i="11"/>
  <c r="H806" i="11"/>
  <c r="H807" i="11"/>
  <c r="H808" i="11"/>
  <c r="H809" i="11"/>
  <c r="H810" i="11"/>
  <c r="H811" i="11"/>
  <c r="H812" i="11"/>
  <c r="H813" i="11"/>
  <c r="H814" i="11"/>
  <c r="H815" i="11"/>
  <c r="H816" i="11"/>
  <c r="H817" i="11"/>
  <c r="H818" i="11"/>
  <c r="H819" i="11"/>
  <c r="H820" i="11"/>
  <c r="H821" i="11"/>
  <c r="H822" i="11"/>
  <c r="H823" i="11"/>
  <c r="H824" i="11"/>
  <c r="H825" i="11"/>
  <c r="H826" i="11"/>
  <c r="H827" i="11"/>
  <c r="H828" i="11"/>
  <c r="H829" i="11"/>
  <c r="H830" i="11"/>
  <c r="H831" i="11"/>
  <c r="H832" i="11"/>
  <c r="H833" i="11"/>
  <c r="H834" i="11"/>
  <c r="H835" i="11"/>
  <c r="H836" i="11"/>
  <c r="H837" i="11"/>
  <c r="H838" i="11"/>
  <c r="H839" i="11"/>
  <c r="H840" i="11"/>
  <c r="H841" i="11"/>
  <c r="H842" i="11"/>
  <c r="H843" i="11"/>
  <c r="H844" i="11"/>
  <c r="I742" i="11"/>
  <c r="I743" i="11"/>
  <c r="I744" i="11"/>
  <c r="I745" i="11"/>
  <c r="I746" i="11"/>
  <c r="I747" i="11"/>
  <c r="I748" i="11"/>
  <c r="I749" i="11"/>
  <c r="I750" i="11"/>
  <c r="I751" i="11"/>
  <c r="I752" i="11"/>
  <c r="I753" i="11"/>
  <c r="I754" i="11"/>
  <c r="I755" i="11"/>
  <c r="I756" i="11"/>
  <c r="I757" i="11"/>
  <c r="I758" i="11"/>
  <c r="I759" i="11"/>
  <c r="I760" i="11"/>
  <c r="I761" i="11"/>
  <c r="I762" i="11"/>
  <c r="I763" i="11"/>
  <c r="I764" i="11"/>
  <c r="I765" i="11"/>
  <c r="I766" i="11"/>
  <c r="I767" i="11"/>
  <c r="I768" i="11"/>
  <c r="I769" i="11"/>
  <c r="I770" i="11"/>
  <c r="I771" i="11"/>
  <c r="I772" i="11"/>
  <c r="I773" i="11"/>
  <c r="I774" i="11"/>
  <c r="I775" i="11"/>
  <c r="I776" i="11"/>
  <c r="I777" i="11"/>
  <c r="I778" i="11"/>
  <c r="I779" i="11"/>
  <c r="I780" i="11"/>
  <c r="I781" i="11"/>
  <c r="I782" i="11"/>
  <c r="I783" i="11"/>
  <c r="I784" i="11"/>
  <c r="I785" i="11"/>
  <c r="I786" i="11"/>
  <c r="I787" i="11"/>
  <c r="I788" i="11"/>
  <c r="I789" i="11"/>
  <c r="I790" i="11"/>
  <c r="I791" i="11"/>
  <c r="I792" i="11"/>
  <c r="I793" i="11"/>
  <c r="I794" i="11"/>
  <c r="I795" i="11"/>
  <c r="I796" i="11"/>
  <c r="I797" i="11"/>
  <c r="I798" i="11"/>
  <c r="I799" i="11"/>
  <c r="I800" i="11"/>
  <c r="I801" i="11"/>
  <c r="I802" i="11"/>
  <c r="I803" i="11"/>
  <c r="I804" i="11"/>
  <c r="I805" i="11"/>
  <c r="I806" i="11"/>
  <c r="I807" i="11"/>
  <c r="I808" i="11"/>
  <c r="I809" i="11"/>
  <c r="I810" i="11"/>
  <c r="I811" i="11"/>
  <c r="I812" i="11"/>
  <c r="I813" i="11"/>
  <c r="I814" i="11"/>
  <c r="I815" i="11"/>
  <c r="I816" i="11"/>
  <c r="I817" i="11"/>
  <c r="I818" i="11"/>
  <c r="I819" i="11"/>
  <c r="I820" i="11"/>
  <c r="I821" i="11"/>
  <c r="I822" i="11"/>
  <c r="I823" i="11"/>
  <c r="I824" i="11"/>
  <c r="I825" i="11"/>
  <c r="I826" i="11"/>
  <c r="I827" i="11"/>
  <c r="I828" i="11"/>
  <c r="I829" i="11"/>
  <c r="I830" i="11"/>
  <c r="I831" i="11"/>
  <c r="I832" i="11"/>
  <c r="I833" i="11"/>
  <c r="I834" i="11"/>
  <c r="I835" i="11"/>
  <c r="I836" i="11"/>
  <c r="I837" i="11"/>
  <c r="I838" i="11"/>
  <c r="I839" i="11"/>
  <c r="I840" i="11"/>
  <c r="I841" i="11"/>
  <c r="I842" i="11"/>
  <c r="I843" i="11"/>
  <c r="I844" i="11"/>
  <c r="I534" i="11"/>
  <c r="L534" i="11"/>
  <c r="A489" i="11"/>
  <c r="C489" i="11"/>
  <c r="I11" i="11"/>
  <c r="E489" i="11"/>
  <c r="G489" i="11"/>
  <c r="I489" i="11"/>
  <c r="L489" i="11"/>
  <c r="A587" i="11"/>
  <c r="E293" i="11"/>
  <c r="E587" i="11"/>
  <c r="I587" i="11"/>
  <c r="G587" i="11"/>
  <c r="K587" i="11"/>
  <c r="G338" i="11"/>
  <c r="I338" i="11"/>
  <c r="I397" i="1"/>
  <c r="G848" i="1"/>
  <c r="E52" i="14"/>
  <c r="F89" i="13"/>
  <c r="F83" i="13"/>
  <c r="E55" i="10"/>
  <c r="E55" i="13"/>
  <c r="L919" i="1"/>
  <c r="G919" i="1"/>
  <c r="H74" i="13"/>
  <c r="A930" i="1"/>
  <c r="B930" i="1"/>
  <c r="C930" i="1"/>
  <c r="A464" i="13"/>
  <c r="F118" i="13"/>
  <c r="F121" i="13"/>
  <c r="F146" i="13"/>
  <c r="C464" i="13"/>
  <c r="E930" i="1"/>
  <c r="G930" i="1"/>
  <c r="G52" i="14"/>
  <c r="I52" i="14"/>
  <c r="A91" i="2"/>
  <c r="F74" i="2"/>
  <c r="H74" i="2"/>
  <c r="F75" i="2"/>
  <c r="H75" i="2"/>
  <c r="C91" i="2"/>
  <c r="B91" i="2"/>
  <c r="F78" i="2"/>
  <c r="H78" i="2"/>
  <c r="F79" i="2"/>
  <c r="H79" i="2"/>
  <c r="D91" i="2"/>
  <c r="E91" i="2"/>
  <c r="J364" i="6"/>
  <c r="A533" i="6"/>
  <c r="F59" i="6"/>
  <c r="C533" i="6"/>
  <c r="E533" i="6"/>
  <c r="A499" i="1"/>
  <c r="E499" i="1"/>
  <c r="G533" i="6"/>
  <c r="G499" i="1"/>
  <c r="I533" i="6"/>
  <c r="I499" i="1"/>
  <c r="E848" i="1"/>
  <c r="I90" i="3"/>
  <c r="K90" i="3"/>
  <c r="G239" i="1"/>
  <c r="L848" i="1"/>
  <c r="C178" i="7"/>
  <c r="H131" i="4"/>
  <c r="J239" i="1"/>
  <c r="H90" i="3"/>
  <c r="D239" i="1"/>
  <c r="G69" i="10"/>
  <c r="H69" i="10"/>
  <c r="I69" i="10"/>
  <c r="J69" i="10"/>
  <c r="D312" i="1"/>
  <c r="B239" i="1"/>
  <c r="B103" i="15"/>
  <c r="F48" i="15"/>
  <c r="F42" i="15"/>
  <c r="D103" i="15"/>
  <c r="F312" i="1"/>
  <c r="F84" i="15"/>
  <c r="F78" i="15"/>
  <c r="F103" i="15"/>
  <c r="H312" i="1"/>
  <c r="L312" i="1"/>
  <c r="J848" i="1"/>
  <c r="F91" i="2"/>
  <c r="G91" i="2"/>
  <c r="H91" i="2"/>
  <c r="K364" i="6"/>
  <c r="B533" i="6"/>
  <c r="F60" i="6"/>
  <c r="D533" i="6"/>
  <c r="F533" i="6"/>
  <c r="B499" i="1"/>
  <c r="F499" i="1"/>
  <c r="H533" i="6"/>
  <c r="H499" i="1"/>
  <c r="J533" i="6"/>
  <c r="J499" i="1"/>
  <c r="F848" i="1"/>
  <c r="J90" i="3"/>
  <c r="L90" i="3"/>
  <c r="H239" i="1"/>
  <c r="M848" i="1"/>
  <c r="D178" i="7"/>
  <c r="E178" i="7"/>
  <c r="A178" i="7"/>
  <c r="F178" i="7"/>
  <c r="A509" i="13"/>
  <c r="A510" i="13"/>
  <c r="B509" i="13"/>
  <c r="B510" i="13"/>
  <c r="C509" i="13"/>
  <c r="G464" i="13"/>
  <c r="F509" i="13"/>
  <c r="I509" i="13"/>
  <c r="D509" i="13"/>
  <c r="B464" i="13"/>
  <c r="H464" i="13"/>
  <c r="G509" i="13"/>
  <c r="J509" i="13"/>
  <c r="K509" i="13"/>
  <c r="G178" i="7"/>
  <c r="H178" i="7"/>
  <c r="M113" i="7"/>
  <c r="M114" i="7"/>
  <c r="C226" i="7"/>
  <c r="M115" i="7"/>
  <c r="D226" i="7"/>
  <c r="M116" i="7"/>
  <c r="M126" i="7"/>
  <c r="J115" i="7"/>
  <c r="E226" i="7"/>
  <c r="M117" i="7"/>
  <c r="F226" i="7"/>
  <c r="M118" i="7"/>
  <c r="G226" i="7"/>
  <c r="M119" i="7"/>
  <c r="H226" i="7"/>
  <c r="I226" i="7"/>
  <c r="C499" i="1"/>
  <c r="I178" i="7"/>
  <c r="D499" i="1"/>
  <c r="J178" i="7"/>
  <c r="K226" i="7"/>
  <c r="K52" i="14"/>
  <c r="D52" i="14"/>
  <c r="B458" i="5"/>
  <c r="D458" i="5"/>
  <c r="F458" i="5"/>
  <c r="I458" i="5"/>
  <c r="B504" i="5"/>
  <c r="F703" i="5"/>
  <c r="F704" i="5"/>
  <c r="F705" i="5"/>
  <c r="F706" i="5"/>
  <c r="F707" i="5"/>
  <c r="F708" i="5"/>
  <c r="F709" i="5"/>
  <c r="F710" i="5"/>
  <c r="F711" i="5"/>
  <c r="F712" i="5"/>
  <c r="F713" i="5"/>
  <c r="F714" i="5"/>
  <c r="F715" i="5"/>
  <c r="F716" i="5"/>
  <c r="F717" i="5"/>
  <c r="F718" i="5"/>
  <c r="F719" i="5"/>
  <c r="F720" i="5"/>
  <c r="F721" i="5"/>
  <c r="F722" i="5"/>
  <c r="F723" i="5"/>
  <c r="F724" i="5"/>
  <c r="F725" i="5"/>
  <c r="F726" i="5"/>
  <c r="F727" i="5"/>
  <c r="F728" i="5"/>
  <c r="F729" i="5"/>
  <c r="F730" i="5"/>
  <c r="F731" i="5"/>
  <c r="F732" i="5"/>
  <c r="F733" i="5"/>
  <c r="F734" i="5"/>
  <c r="F735" i="5"/>
  <c r="F736" i="5"/>
  <c r="F737" i="5"/>
  <c r="F738" i="5"/>
  <c r="F739" i="5"/>
  <c r="F740" i="5"/>
  <c r="F741" i="5"/>
  <c r="F742" i="5"/>
  <c r="F743" i="5"/>
  <c r="F744" i="5"/>
  <c r="F745" i="5"/>
  <c r="F746" i="5"/>
  <c r="F747" i="5"/>
  <c r="F748" i="5"/>
  <c r="F749" i="5"/>
  <c r="F750" i="5"/>
  <c r="F751" i="5"/>
  <c r="F752" i="5"/>
  <c r="F753" i="5"/>
  <c r="F754" i="5"/>
  <c r="F755" i="5"/>
  <c r="F756" i="5"/>
  <c r="F757" i="5"/>
  <c r="F758" i="5"/>
  <c r="F759" i="5"/>
  <c r="F760" i="5"/>
  <c r="F761" i="5"/>
  <c r="F762" i="5"/>
  <c r="F763" i="5"/>
  <c r="F764" i="5"/>
  <c r="F765" i="5"/>
  <c r="F766" i="5"/>
  <c r="F767" i="5"/>
  <c r="F768" i="5"/>
  <c r="F769" i="5"/>
  <c r="F770" i="5"/>
  <c r="F771" i="5"/>
  <c r="F772" i="5"/>
  <c r="F773" i="5"/>
  <c r="F774" i="5"/>
  <c r="F775" i="5"/>
  <c r="F776" i="5"/>
  <c r="F777" i="5"/>
  <c r="F778" i="5"/>
  <c r="F779" i="5"/>
  <c r="F780" i="5"/>
  <c r="F781" i="5"/>
  <c r="F782" i="5"/>
  <c r="F783" i="5"/>
  <c r="F784" i="5"/>
  <c r="F785" i="5"/>
  <c r="F786" i="5"/>
  <c r="F787" i="5"/>
  <c r="F788" i="5"/>
  <c r="F789" i="5"/>
  <c r="F790" i="5"/>
  <c r="F791" i="5"/>
  <c r="F792" i="5"/>
  <c r="F793" i="5"/>
  <c r="F794" i="5"/>
  <c r="F795" i="5"/>
  <c r="F796" i="5"/>
  <c r="F797" i="5"/>
  <c r="F798" i="5"/>
  <c r="F799" i="5"/>
  <c r="F800" i="5"/>
  <c r="F801" i="5"/>
  <c r="F802" i="5"/>
  <c r="F803" i="5"/>
  <c r="G703" i="5"/>
  <c r="G704" i="5"/>
  <c r="G705" i="5"/>
  <c r="G706" i="5"/>
  <c r="G707" i="5"/>
  <c r="M240" i="5"/>
  <c r="G708" i="5"/>
  <c r="G709" i="5"/>
  <c r="G710" i="5"/>
  <c r="G711" i="5"/>
  <c r="G712" i="5"/>
  <c r="G713" i="5"/>
  <c r="G714" i="5"/>
  <c r="G715" i="5"/>
  <c r="G716" i="5"/>
  <c r="G717" i="5"/>
  <c r="G718" i="5"/>
  <c r="G719" i="5"/>
  <c r="G720" i="5"/>
  <c r="G721" i="5"/>
  <c r="G722" i="5"/>
  <c r="G723" i="5"/>
  <c r="G724" i="5"/>
  <c r="G725" i="5"/>
  <c r="G726" i="5"/>
  <c r="G727" i="5"/>
  <c r="G728" i="5"/>
  <c r="G729" i="5"/>
  <c r="G730" i="5"/>
  <c r="G731" i="5"/>
  <c r="G732" i="5"/>
  <c r="G733" i="5"/>
  <c r="G734" i="5"/>
  <c r="G735" i="5"/>
  <c r="G736" i="5"/>
  <c r="G737" i="5"/>
  <c r="G738" i="5"/>
  <c r="G739" i="5"/>
  <c r="G740" i="5"/>
  <c r="G741" i="5"/>
  <c r="G742" i="5"/>
  <c r="G743" i="5"/>
  <c r="G744" i="5"/>
  <c r="G745" i="5"/>
  <c r="G746" i="5"/>
  <c r="G747" i="5"/>
  <c r="G748" i="5"/>
  <c r="G749" i="5"/>
  <c r="G750" i="5"/>
  <c r="G751" i="5"/>
  <c r="G752" i="5"/>
  <c r="G753" i="5"/>
  <c r="G754" i="5"/>
  <c r="G755" i="5"/>
  <c r="G756" i="5"/>
  <c r="G757" i="5"/>
  <c r="G758" i="5"/>
  <c r="G759" i="5"/>
  <c r="G760" i="5"/>
  <c r="G761" i="5"/>
  <c r="G762" i="5"/>
  <c r="G763" i="5"/>
  <c r="G764" i="5"/>
  <c r="G765" i="5"/>
  <c r="G766" i="5"/>
  <c r="G767" i="5"/>
  <c r="G768" i="5"/>
  <c r="G769" i="5"/>
  <c r="G770" i="5"/>
  <c r="G771" i="5"/>
  <c r="G772" i="5"/>
  <c r="G773" i="5"/>
  <c r="G774" i="5"/>
  <c r="G775" i="5"/>
  <c r="G776" i="5"/>
  <c r="G777" i="5"/>
  <c r="G778" i="5"/>
  <c r="G779" i="5"/>
  <c r="G780" i="5"/>
  <c r="G781" i="5"/>
  <c r="G782" i="5"/>
  <c r="G783" i="5"/>
  <c r="G784" i="5"/>
  <c r="G785" i="5"/>
  <c r="G786" i="5"/>
  <c r="G787" i="5"/>
  <c r="G788" i="5"/>
  <c r="G789" i="5"/>
  <c r="G790" i="5"/>
  <c r="G791" i="5"/>
  <c r="G792" i="5"/>
  <c r="G793" i="5"/>
  <c r="G794" i="5"/>
  <c r="G795" i="5"/>
  <c r="G796" i="5"/>
  <c r="G797" i="5"/>
  <c r="G798" i="5"/>
  <c r="G799" i="5"/>
  <c r="G800" i="5"/>
  <c r="G801" i="5"/>
  <c r="G802" i="5"/>
  <c r="G803" i="5"/>
  <c r="G804" i="5"/>
  <c r="G805" i="5"/>
  <c r="D504" i="5"/>
  <c r="J811" i="5"/>
  <c r="J812" i="5"/>
  <c r="J813" i="5"/>
  <c r="J814" i="5"/>
  <c r="J815" i="5"/>
  <c r="J816" i="5"/>
  <c r="J817" i="5"/>
  <c r="J818" i="5"/>
  <c r="J819" i="5"/>
  <c r="J820" i="5"/>
  <c r="J821" i="5"/>
  <c r="J822" i="5"/>
  <c r="J823" i="5"/>
  <c r="J824" i="5"/>
  <c r="J825" i="5"/>
  <c r="J826" i="5"/>
  <c r="J827" i="5"/>
  <c r="J828" i="5"/>
  <c r="J829" i="5"/>
  <c r="J830" i="5"/>
  <c r="J831" i="5"/>
  <c r="J832" i="5"/>
  <c r="J833" i="5"/>
  <c r="J834" i="5"/>
  <c r="J835" i="5"/>
  <c r="J836" i="5"/>
  <c r="J837" i="5"/>
  <c r="J838" i="5"/>
  <c r="J839" i="5"/>
  <c r="J840" i="5"/>
  <c r="J841" i="5"/>
  <c r="J842" i="5"/>
  <c r="J843" i="5"/>
  <c r="J844" i="5"/>
  <c r="J845" i="5"/>
  <c r="J846" i="5"/>
  <c r="J847" i="5"/>
  <c r="J848" i="5"/>
  <c r="J849" i="5"/>
  <c r="J850" i="5"/>
  <c r="J851" i="5"/>
  <c r="J852" i="5"/>
  <c r="J853" i="5"/>
  <c r="J854" i="5"/>
  <c r="J855" i="5"/>
  <c r="J856" i="5"/>
  <c r="J857" i="5"/>
  <c r="J858" i="5"/>
  <c r="J859" i="5"/>
  <c r="J860" i="5"/>
  <c r="J861" i="5"/>
  <c r="J862" i="5"/>
  <c r="J863" i="5"/>
  <c r="J864" i="5"/>
  <c r="J865" i="5"/>
  <c r="J866" i="5"/>
  <c r="J867" i="5"/>
  <c r="J868" i="5"/>
  <c r="J869" i="5"/>
  <c r="J870" i="5"/>
  <c r="J871" i="5"/>
  <c r="J872" i="5"/>
  <c r="J873" i="5"/>
  <c r="J874" i="5"/>
  <c r="J875" i="5"/>
  <c r="J876" i="5"/>
  <c r="J877" i="5"/>
  <c r="J878" i="5"/>
  <c r="J879" i="5"/>
  <c r="J880" i="5"/>
  <c r="J881" i="5"/>
  <c r="J882" i="5"/>
  <c r="J883" i="5"/>
  <c r="J884" i="5"/>
  <c r="J885" i="5"/>
  <c r="J886" i="5"/>
  <c r="J887" i="5"/>
  <c r="J888" i="5"/>
  <c r="J889" i="5"/>
  <c r="J890" i="5"/>
  <c r="J891" i="5"/>
  <c r="J892" i="5"/>
  <c r="J893" i="5"/>
  <c r="J894" i="5"/>
  <c r="J895" i="5"/>
  <c r="J896" i="5"/>
  <c r="J897" i="5"/>
  <c r="J898" i="5"/>
  <c r="J899" i="5"/>
  <c r="J900" i="5"/>
  <c r="J901" i="5"/>
  <c r="J902" i="5"/>
  <c r="J903" i="5"/>
  <c r="J904" i="5"/>
  <c r="J905" i="5"/>
  <c r="J906" i="5"/>
  <c r="J907" i="5"/>
  <c r="J908" i="5"/>
  <c r="J909" i="5"/>
  <c r="J910" i="5"/>
  <c r="J911" i="5"/>
  <c r="J912" i="5"/>
  <c r="J913" i="5"/>
  <c r="K811" i="5"/>
  <c r="K812" i="5"/>
  <c r="K813" i="5"/>
  <c r="K814" i="5"/>
  <c r="K815" i="5"/>
  <c r="K816" i="5"/>
  <c r="K817" i="5"/>
  <c r="K818" i="5"/>
  <c r="K819" i="5"/>
  <c r="K820" i="5"/>
  <c r="K821" i="5"/>
  <c r="K822" i="5"/>
  <c r="K823" i="5"/>
  <c r="K824" i="5"/>
  <c r="K825" i="5"/>
  <c r="K826" i="5"/>
  <c r="K827" i="5"/>
  <c r="K828" i="5"/>
  <c r="K829" i="5"/>
  <c r="K830" i="5"/>
  <c r="K831" i="5"/>
  <c r="K832" i="5"/>
  <c r="K833" i="5"/>
  <c r="K834" i="5"/>
  <c r="K835" i="5"/>
  <c r="K836" i="5"/>
  <c r="K837" i="5"/>
  <c r="K838" i="5"/>
  <c r="K839" i="5"/>
  <c r="K840" i="5"/>
  <c r="K841" i="5"/>
  <c r="K842" i="5"/>
  <c r="K843" i="5"/>
  <c r="K844" i="5"/>
  <c r="K845" i="5"/>
  <c r="K846" i="5"/>
  <c r="K847" i="5"/>
  <c r="K848" i="5"/>
  <c r="K849" i="5"/>
  <c r="K850" i="5"/>
  <c r="K851" i="5"/>
  <c r="K852" i="5"/>
  <c r="K853" i="5"/>
  <c r="K854" i="5"/>
  <c r="K855" i="5"/>
  <c r="K856" i="5"/>
  <c r="K857" i="5"/>
  <c r="K858" i="5"/>
  <c r="K859" i="5"/>
  <c r="K860" i="5"/>
  <c r="K861" i="5"/>
  <c r="K862" i="5"/>
  <c r="K863" i="5"/>
  <c r="K864" i="5"/>
  <c r="K865" i="5"/>
  <c r="K866" i="5"/>
  <c r="K867" i="5"/>
  <c r="K868" i="5"/>
  <c r="K869" i="5"/>
  <c r="K870" i="5"/>
  <c r="K871" i="5"/>
  <c r="K872" i="5"/>
  <c r="K873" i="5"/>
  <c r="K874" i="5"/>
  <c r="K875" i="5"/>
  <c r="K876" i="5"/>
  <c r="K877" i="5"/>
  <c r="K878" i="5"/>
  <c r="K879" i="5"/>
  <c r="K880" i="5"/>
  <c r="K881" i="5"/>
  <c r="K882" i="5"/>
  <c r="K883" i="5"/>
  <c r="K884" i="5"/>
  <c r="K885" i="5"/>
  <c r="K886" i="5"/>
  <c r="K887" i="5"/>
  <c r="K888" i="5"/>
  <c r="K889" i="5"/>
  <c r="K890" i="5"/>
  <c r="K891" i="5"/>
  <c r="K892" i="5"/>
  <c r="K893" i="5"/>
  <c r="K894" i="5"/>
  <c r="K895" i="5"/>
  <c r="K896" i="5"/>
  <c r="K897" i="5"/>
  <c r="K898" i="5"/>
  <c r="K899" i="5"/>
  <c r="K900" i="5"/>
  <c r="K901" i="5"/>
  <c r="K902" i="5"/>
  <c r="K903" i="5"/>
  <c r="K904" i="5"/>
  <c r="K905" i="5"/>
  <c r="K906" i="5"/>
  <c r="K907" i="5"/>
  <c r="K908" i="5"/>
  <c r="K909" i="5"/>
  <c r="K910" i="5"/>
  <c r="K911" i="5"/>
  <c r="K912" i="5"/>
  <c r="K913" i="5"/>
  <c r="F504" i="5"/>
  <c r="I504" i="5"/>
  <c r="F407" i="5"/>
  <c r="B558" i="5"/>
  <c r="I174" i="5"/>
  <c r="I186" i="5"/>
  <c r="J174" i="5"/>
  <c r="J186" i="5"/>
  <c r="D558" i="5"/>
  <c r="F558" i="5"/>
  <c r="H558" i="5"/>
  <c r="J558" i="5"/>
  <c r="M558" i="5"/>
  <c r="B603" i="5"/>
  <c r="H703" i="5"/>
  <c r="H704" i="5"/>
  <c r="H705" i="5"/>
  <c r="H706" i="5"/>
  <c r="H707" i="5"/>
  <c r="H708" i="5"/>
  <c r="H709" i="5"/>
  <c r="H710" i="5"/>
  <c r="H711" i="5"/>
  <c r="H712" i="5"/>
  <c r="H713" i="5"/>
  <c r="H714" i="5"/>
  <c r="H715" i="5"/>
  <c r="H716" i="5"/>
  <c r="H717" i="5"/>
  <c r="H718" i="5"/>
  <c r="H719" i="5"/>
  <c r="H720" i="5"/>
  <c r="H721" i="5"/>
  <c r="H722" i="5"/>
  <c r="H723" i="5"/>
  <c r="H724" i="5"/>
  <c r="H725" i="5"/>
  <c r="H726" i="5"/>
  <c r="H727" i="5"/>
  <c r="H728" i="5"/>
  <c r="H729" i="5"/>
  <c r="H730" i="5"/>
  <c r="H731" i="5"/>
  <c r="H732" i="5"/>
  <c r="H733" i="5"/>
  <c r="H734" i="5"/>
  <c r="H735" i="5"/>
  <c r="H736" i="5"/>
  <c r="H737" i="5"/>
  <c r="H738" i="5"/>
  <c r="H739" i="5"/>
  <c r="H740" i="5"/>
  <c r="H741" i="5"/>
  <c r="H742" i="5"/>
  <c r="H743" i="5"/>
  <c r="H744" i="5"/>
  <c r="H745" i="5"/>
  <c r="H746" i="5"/>
  <c r="H747" i="5"/>
  <c r="H748" i="5"/>
  <c r="H749" i="5"/>
  <c r="H750" i="5"/>
  <c r="H751" i="5"/>
  <c r="H752" i="5"/>
  <c r="H753" i="5"/>
  <c r="H754" i="5"/>
  <c r="H755" i="5"/>
  <c r="H756" i="5"/>
  <c r="H757" i="5"/>
  <c r="H758" i="5"/>
  <c r="H759" i="5"/>
  <c r="H760" i="5"/>
  <c r="H761" i="5"/>
  <c r="H762" i="5"/>
  <c r="H763" i="5"/>
  <c r="H764" i="5"/>
  <c r="H765" i="5"/>
  <c r="H766" i="5"/>
  <c r="H767" i="5"/>
  <c r="H768" i="5"/>
  <c r="H769" i="5"/>
  <c r="H770" i="5"/>
  <c r="H771" i="5"/>
  <c r="H772" i="5"/>
  <c r="H773" i="5"/>
  <c r="H774" i="5"/>
  <c r="H775" i="5"/>
  <c r="H776" i="5"/>
  <c r="H777" i="5"/>
  <c r="H778" i="5"/>
  <c r="H779" i="5"/>
  <c r="H780" i="5"/>
  <c r="H781" i="5"/>
  <c r="H782" i="5"/>
  <c r="H783" i="5"/>
  <c r="H784" i="5"/>
  <c r="H785" i="5"/>
  <c r="H786" i="5"/>
  <c r="H787" i="5"/>
  <c r="H788" i="5"/>
  <c r="H789" i="5"/>
  <c r="H790" i="5"/>
  <c r="H791" i="5"/>
  <c r="H792" i="5"/>
  <c r="H793" i="5"/>
  <c r="H794" i="5"/>
  <c r="H795" i="5"/>
  <c r="H796" i="5"/>
  <c r="H797" i="5"/>
  <c r="H798" i="5"/>
  <c r="H799" i="5"/>
  <c r="H800" i="5"/>
  <c r="H801" i="5"/>
  <c r="H802" i="5"/>
  <c r="H803" i="5"/>
  <c r="H804" i="5"/>
  <c r="H805" i="5"/>
  <c r="M235" i="5"/>
  <c r="I703" i="5"/>
  <c r="I704" i="5"/>
  <c r="M237" i="5"/>
  <c r="I705" i="5"/>
  <c r="M238" i="5"/>
  <c r="I706" i="5"/>
  <c r="M239" i="5"/>
  <c r="I707" i="5"/>
  <c r="I708" i="5"/>
  <c r="I709" i="5"/>
  <c r="I710" i="5"/>
  <c r="I711" i="5"/>
  <c r="I712" i="5"/>
  <c r="I713" i="5"/>
  <c r="I714" i="5"/>
  <c r="I715" i="5"/>
  <c r="I716" i="5"/>
  <c r="I717" i="5"/>
  <c r="I718" i="5"/>
  <c r="I719" i="5"/>
  <c r="I720" i="5"/>
  <c r="I721" i="5"/>
  <c r="I722" i="5"/>
  <c r="I723" i="5"/>
  <c r="I724" i="5"/>
  <c r="I725" i="5"/>
  <c r="I726" i="5"/>
  <c r="I727" i="5"/>
  <c r="I728" i="5"/>
  <c r="I729" i="5"/>
  <c r="I730" i="5"/>
  <c r="I731" i="5"/>
  <c r="I732" i="5"/>
  <c r="I733" i="5"/>
  <c r="I734" i="5"/>
  <c r="I735" i="5"/>
  <c r="I736" i="5"/>
  <c r="I737" i="5"/>
  <c r="I738" i="5"/>
  <c r="I739" i="5"/>
  <c r="I740" i="5"/>
  <c r="I741" i="5"/>
  <c r="I742" i="5"/>
  <c r="I743" i="5"/>
  <c r="I744" i="5"/>
  <c r="I745" i="5"/>
  <c r="I746" i="5"/>
  <c r="I747" i="5"/>
  <c r="I748" i="5"/>
  <c r="I749" i="5"/>
  <c r="I750" i="5"/>
  <c r="I751" i="5"/>
  <c r="I752" i="5"/>
  <c r="I753" i="5"/>
  <c r="I754" i="5"/>
  <c r="I755" i="5"/>
  <c r="I756" i="5"/>
  <c r="I757" i="5"/>
  <c r="I758" i="5"/>
  <c r="I759" i="5"/>
  <c r="I760" i="5"/>
  <c r="I761" i="5"/>
  <c r="I762" i="5"/>
  <c r="I763" i="5"/>
  <c r="I764" i="5"/>
  <c r="I765" i="5"/>
  <c r="I766" i="5"/>
  <c r="I767" i="5"/>
  <c r="I768" i="5"/>
  <c r="I769" i="5"/>
  <c r="I770" i="5"/>
  <c r="I771" i="5"/>
  <c r="I772" i="5"/>
  <c r="I773" i="5"/>
  <c r="I774" i="5"/>
  <c r="I775" i="5"/>
  <c r="I776" i="5"/>
  <c r="I777" i="5"/>
  <c r="I778" i="5"/>
  <c r="I779" i="5"/>
  <c r="I780" i="5"/>
  <c r="I781" i="5"/>
  <c r="I782" i="5"/>
  <c r="I783" i="5"/>
  <c r="I784" i="5"/>
  <c r="I785" i="5"/>
  <c r="I786" i="5"/>
  <c r="I787" i="5"/>
  <c r="I788" i="5"/>
  <c r="I789" i="5"/>
  <c r="I790" i="5"/>
  <c r="I791" i="5"/>
  <c r="I792" i="5"/>
  <c r="I793" i="5"/>
  <c r="I794" i="5"/>
  <c r="I795" i="5"/>
  <c r="I796" i="5"/>
  <c r="I797" i="5"/>
  <c r="I798" i="5"/>
  <c r="I799" i="5"/>
  <c r="I800" i="5"/>
  <c r="I801" i="5"/>
  <c r="I802" i="5"/>
  <c r="I803" i="5"/>
  <c r="D603" i="5"/>
  <c r="L703" i="5"/>
  <c r="L704" i="5"/>
  <c r="L705" i="5"/>
  <c r="L706" i="5"/>
  <c r="L707" i="5"/>
  <c r="L708" i="5"/>
  <c r="L709" i="5"/>
  <c r="L710" i="5"/>
  <c r="L711" i="5"/>
  <c r="L712" i="5"/>
  <c r="L713" i="5"/>
  <c r="L714" i="5"/>
  <c r="L715" i="5"/>
  <c r="L716" i="5"/>
  <c r="L717" i="5"/>
  <c r="L718" i="5"/>
  <c r="L719" i="5"/>
  <c r="L720" i="5"/>
  <c r="L721" i="5"/>
  <c r="L722" i="5"/>
  <c r="L723" i="5"/>
  <c r="L724" i="5"/>
  <c r="L725" i="5"/>
  <c r="L726" i="5"/>
  <c r="L727" i="5"/>
  <c r="L728" i="5"/>
  <c r="L729" i="5"/>
  <c r="L730" i="5"/>
  <c r="L731" i="5"/>
  <c r="L732" i="5"/>
  <c r="L733" i="5"/>
  <c r="L734" i="5"/>
  <c r="L735" i="5"/>
  <c r="L736" i="5"/>
  <c r="L737" i="5"/>
  <c r="L738" i="5"/>
  <c r="L739" i="5"/>
  <c r="L740" i="5"/>
  <c r="L741" i="5"/>
  <c r="L742" i="5"/>
  <c r="L743" i="5"/>
  <c r="L744" i="5"/>
  <c r="L745" i="5"/>
  <c r="L746" i="5"/>
  <c r="L747" i="5"/>
  <c r="L748" i="5"/>
  <c r="L749" i="5"/>
  <c r="L750" i="5"/>
  <c r="L751" i="5"/>
  <c r="L752" i="5"/>
  <c r="L753" i="5"/>
  <c r="L754" i="5"/>
  <c r="L755" i="5"/>
  <c r="L756" i="5"/>
  <c r="L757" i="5"/>
  <c r="L758" i="5"/>
  <c r="L759" i="5"/>
  <c r="L760" i="5"/>
  <c r="L761" i="5"/>
  <c r="L762" i="5"/>
  <c r="L763" i="5"/>
  <c r="L764" i="5"/>
  <c r="L765" i="5"/>
  <c r="L766" i="5"/>
  <c r="L767" i="5"/>
  <c r="L768" i="5"/>
  <c r="L769" i="5"/>
  <c r="L770" i="5"/>
  <c r="L771" i="5"/>
  <c r="L772" i="5"/>
  <c r="L773" i="5"/>
  <c r="L774" i="5"/>
  <c r="L775" i="5"/>
  <c r="L776" i="5"/>
  <c r="L777" i="5"/>
  <c r="L778" i="5"/>
  <c r="L779" i="5"/>
  <c r="L780" i="5"/>
  <c r="L781" i="5"/>
  <c r="L782" i="5"/>
  <c r="L783" i="5"/>
  <c r="L784" i="5"/>
  <c r="L785" i="5"/>
  <c r="L786" i="5"/>
  <c r="L787" i="5"/>
  <c r="L788" i="5"/>
  <c r="L789" i="5"/>
  <c r="L790" i="5"/>
  <c r="L791" i="5"/>
  <c r="L792" i="5"/>
  <c r="L793" i="5"/>
  <c r="L794" i="5"/>
  <c r="L795" i="5"/>
  <c r="L796" i="5"/>
  <c r="L797" i="5"/>
  <c r="L798" i="5"/>
  <c r="L799" i="5"/>
  <c r="L800" i="5"/>
  <c r="L801" i="5"/>
  <c r="L802" i="5"/>
  <c r="L803" i="5"/>
  <c r="L804" i="5"/>
  <c r="L805" i="5"/>
  <c r="M703" i="5"/>
  <c r="M704" i="5"/>
  <c r="M705" i="5"/>
  <c r="M706" i="5"/>
  <c r="M707" i="5"/>
  <c r="M708" i="5"/>
  <c r="M709" i="5"/>
  <c r="M710" i="5"/>
  <c r="M711" i="5"/>
  <c r="M712" i="5"/>
  <c r="M713" i="5"/>
  <c r="M714" i="5"/>
  <c r="M715" i="5"/>
  <c r="M716" i="5"/>
  <c r="M717" i="5"/>
  <c r="M718" i="5"/>
  <c r="M719" i="5"/>
  <c r="M720" i="5"/>
  <c r="M721" i="5"/>
  <c r="M722" i="5"/>
  <c r="M723" i="5"/>
  <c r="M724" i="5"/>
  <c r="M725" i="5"/>
  <c r="M726" i="5"/>
  <c r="M727" i="5"/>
  <c r="M728" i="5"/>
  <c r="M729" i="5"/>
  <c r="M730" i="5"/>
  <c r="M731" i="5"/>
  <c r="M732" i="5"/>
  <c r="M733" i="5"/>
  <c r="M734" i="5"/>
  <c r="M735" i="5"/>
  <c r="M736" i="5"/>
  <c r="M737" i="5"/>
  <c r="M738" i="5"/>
  <c r="M739" i="5"/>
  <c r="M740" i="5"/>
  <c r="M741" i="5"/>
  <c r="M742" i="5"/>
  <c r="M743" i="5"/>
  <c r="M744" i="5"/>
  <c r="M745" i="5"/>
  <c r="M746" i="5"/>
  <c r="M747" i="5"/>
  <c r="M748" i="5"/>
  <c r="M749" i="5"/>
  <c r="M750" i="5"/>
  <c r="M751" i="5"/>
  <c r="M752" i="5"/>
  <c r="M753" i="5"/>
  <c r="M754" i="5"/>
  <c r="M755" i="5"/>
  <c r="M756" i="5"/>
  <c r="M757" i="5"/>
  <c r="M758" i="5"/>
  <c r="M759" i="5"/>
  <c r="M760" i="5"/>
  <c r="M761" i="5"/>
  <c r="M762" i="5"/>
  <c r="M763" i="5"/>
  <c r="M764" i="5"/>
  <c r="M765" i="5"/>
  <c r="M766" i="5"/>
  <c r="M767" i="5"/>
  <c r="M768" i="5"/>
  <c r="M769" i="5"/>
  <c r="M770" i="5"/>
  <c r="M771" i="5"/>
  <c r="M772" i="5"/>
  <c r="M773" i="5"/>
  <c r="M774" i="5"/>
  <c r="M775" i="5"/>
  <c r="M776" i="5"/>
  <c r="M777" i="5"/>
  <c r="M778" i="5"/>
  <c r="M779" i="5"/>
  <c r="M780" i="5"/>
  <c r="M781" i="5"/>
  <c r="M782" i="5"/>
  <c r="M783" i="5"/>
  <c r="M784" i="5"/>
  <c r="M785" i="5"/>
  <c r="M786" i="5"/>
  <c r="M787" i="5"/>
  <c r="M788" i="5"/>
  <c r="M789" i="5"/>
  <c r="M790" i="5"/>
  <c r="M791" i="5"/>
  <c r="M792" i="5"/>
  <c r="M793" i="5"/>
  <c r="M794" i="5"/>
  <c r="M795" i="5"/>
  <c r="M796" i="5"/>
  <c r="M797" i="5"/>
  <c r="M798" i="5"/>
  <c r="M799" i="5"/>
  <c r="M800" i="5"/>
  <c r="M801" i="5"/>
  <c r="M802" i="5"/>
  <c r="M803" i="5"/>
  <c r="M804" i="5"/>
  <c r="M805" i="5"/>
  <c r="F603" i="5"/>
  <c r="D811" i="5"/>
  <c r="D812" i="5"/>
  <c r="D813" i="5"/>
  <c r="D814" i="5"/>
  <c r="D815" i="5"/>
  <c r="D816" i="5"/>
  <c r="D817" i="5"/>
  <c r="D818" i="5"/>
  <c r="D819" i="5"/>
  <c r="D820" i="5"/>
  <c r="D821" i="5"/>
  <c r="D822" i="5"/>
  <c r="D823" i="5"/>
  <c r="D824" i="5"/>
  <c r="D825" i="5"/>
  <c r="D826" i="5"/>
  <c r="D827" i="5"/>
  <c r="D828" i="5"/>
  <c r="D829" i="5"/>
  <c r="D830" i="5"/>
  <c r="D831" i="5"/>
  <c r="D832" i="5"/>
  <c r="D833" i="5"/>
  <c r="D834" i="5"/>
  <c r="D835" i="5"/>
  <c r="D836" i="5"/>
  <c r="D837" i="5"/>
  <c r="D838" i="5"/>
  <c r="D839" i="5"/>
  <c r="D840" i="5"/>
  <c r="D841" i="5"/>
  <c r="D842" i="5"/>
  <c r="D843" i="5"/>
  <c r="D844" i="5"/>
  <c r="D845" i="5"/>
  <c r="D846" i="5"/>
  <c r="D847" i="5"/>
  <c r="D848" i="5"/>
  <c r="D849" i="5"/>
  <c r="D850" i="5"/>
  <c r="D851" i="5"/>
  <c r="D852" i="5"/>
  <c r="D853" i="5"/>
  <c r="D854" i="5"/>
  <c r="D855" i="5"/>
  <c r="D856" i="5"/>
  <c r="D857" i="5"/>
  <c r="D858" i="5"/>
  <c r="D859" i="5"/>
  <c r="D860" i="5"/>
  <c r="D861" i="5"/>
  <c r="D862" i="5"/>
  <c r="D863" i="5"/>
  <c r="D864" i="5"/>
  <c r="D865" i="5"/>
  <c r="D866" i="5"/>
  <c r="D867" i="5"/>
  <c r="D868" i="5"/>
  <c r="D869" i="5"/>
  <c r="D870" i="5"/>
  <c r="D871" i="5"/>
  <c r="D872" i="5"/>
  <c r="D873" i="5"/>
  <c r="D874" i="5"/>
  <c r="D875" i="5"/>
  <c r="D876" i="5"/>
  <c r="D877" i="5"/>
  <c r="D878" i="5"/>
  <c r="D879" i="5"/>
  <c r="D880" i="5"/>
  <c r="D881" i="5"/>
  <c r="D882" i="5"/>
  <c r="D883" i="5"/>
  <c r="D884" i="5"/>
  <c r="D885" i="5"/>
  <c r="D886" i="5"/>
  <c r="D887" i="5"/>
  <c r="D888" i="5"/>
  <c r="D889" i="5"/>
  <c r="D890" i="5"/>
  <c r="D891" i="5"/>
  <c r="D892" i="5"/>
  <c r="D893" i="5"/>
  <c r="D894" i="5"/>
  <c r="D895" i="5"/>
  <c r="D896" i="5"/>
  <c r="D897" i="5"/>
  <c r="D898" i="5"/>
  <c r="D899" i="5"/>
  <c r="D900" i="5"/>
  <c r="D901" i="5"/>
  <c r="D902" i="5"/>
  <c r="D903" i="5"/>
  <c r="D904" i="5"/>
  <c r="D905" i="5"/>
  <c r="D906" i="5"/>
  <c r="D907" i="5"/>
  <c r="D908" i="5"/>
  <c r="D909" i="5"/>
  <c r="D910" i="5"/>
  <c r="D911" i="5"/>
  <c r="D912" i="5"/>
  <c r="D913" i="5"/>
  <c r="E811" i="5"/>
  <c r="E812" i="5"/>
  <c r="E813" i="5"/>
  <c r="E814" i="5"/>
  <c r="E815" i="5"/>
  <c r="E816" i="5"/>
  <c r="E817" i="5"/>
  <c r="E818" i="5"/>
  <c r="E819" i="5"/>
  <c r="E820" i="5"/>
  <c r="E821" i="5"/>
  <c r="E822" i="5"/>
  <c r="E823" i="5"/>
  <c r="E824" i="5"/>
  <c r="E825" i="5"/>
  <c r="E826" i="5"/>
  <c r="E827" i="5"/>
  <c r="E828" i="5"/>
  <c r="E829" i="5"/>
  <c r="E830" i="5"/>
  <c r="E831" i="5"/>
  <c r="E832" i="5"/>
  <c r="E833" i="5"/>
  <c r="E834" i="5"/>
  <c r="E835" i="5"/>
  <c r="E836" i="5"/>
  <c r="E837" i="5"/>
  <c r="E838" i="5"/>
  <c r="E839" i="5"/>
  <c r="E840" i="5"/>
  <c r="E841" i="5"/>
  <c r="E842" i="5"/>
  <c r="E843" i="5"/>
  <c r="E844" i="5"/>
  <c r="E845" i="5"/>
  <c r="E846" i="5"/>
  <c r="E847" i="5"/>
  <c r="E848" i="5"/>
  <c r="E849" i="5"/>
  <c r="E850" i="5"/>
  <c r="E851" i="5"/>
  <c r="E852" i="5"/>
  <c r="E853" i="5"/>
  <c r="E854" i="5"/>
  <c r="E855" i="5"/>
  <c r="E856" i="5"/>
  <c r="E857" i="5"/>
  <c r="E858" i="5"/>
  <c r="E859" i="5"/>
  <c r="E860" i="5"/>
  <c r="E861" i="5"/>
  <c r="E862" i="5"/>
  <c r="E863" i="5"/>
  <c r="E864" i="5"/>
  <c r="E865" i="5"/>
  <c r="E866" i="5"/>
  <c r="E867" i="5"/>
  <c r="E868" i="5"/>
  <c r="E869" i="5"/>
  <c r="E870" i="5"/>
  <c r="E871" i="5"/>
  <c r="E872" i="5"/>
  <c r="E873" i="5"/>
  <c r="E874" i="5"/>
  <c r="E875" i="5"/>
  <c r="E876" i="5"/>
  <c r="E877" i="5"/>
  <c r="E878" i="5"/>
  <c r="E879" i="5"/>
  <c r="E880" i="5"/>
  <c r="E881" i="5"/>
  <c r="E882" i="5"/>
  <c r="E883" i="5"/>
  <c r="E884" i="5"/>
  <c r="E885" i="5"/>
  <c r="E886" i="5"/>
  <c r="E887" i="5"/>
  <c r="E888" i="5"/>
  <c r="E889" i="5"/>
  <c r="E890" i="5"/>
  <c r="E891" i="5"/>
  <c r="E892" i="5"/>
  <c r="E893" i="5"/>
  <c r="E894" i="5"/>
  <c r="E895" i="5"/>
  <c r="E896" i="5"/>
  <c r="E897" i="5"/>
  <c r="E898" i="5"/>
  <c r="E899" i="5"/>
  <c r="E900" i="5"/>
  <c r="E901" i="5"/>
  <c r="E902" i="5"/>
  <c r="E903" i="5"/>
  <c r="E904" i="5"/>
  <c r="E905" i="5"/>
  <c r="E906" i="5"/>
  <c r="E907" i="5"/>
  <c r="E908" i="5"/>
  <c r="E909" i="5"/>
  <c r="E910" i="5"/>
  <c r="E911" i="5"/>
  <c r="E912" i="5"/>
  <c r="E913" i="5"/>
  <c r="H603" i="5"/>
  <c r="L811" i="5"/>
  <c r="L812" i="5"/>
  <c r="L813" i="5"/>
  <c r="L814" i="5"/>
  <c r="L815" i="5"/>
  <c r="L816" i="5"/>
  <c r="L817" i="5"/>
  <c r="L818" i="5"/>
  <c r="L819" i="5"/>
  <c r="L820" i="5"/>
  <c r="L821" i="5"/>
  <c r="L822" i="5"/>
  <c r="L823" i="5"/>
  <c r="L824" i="5"/>
  <c r="L825" i="5"/>
  <c r="L826" i="5"/>
  <c r="L827" i="5"/>
  <c r="L828" i="5"/>
  <c r="L829" i="5"/>
  <c r="L830" i="5"/>
  <c r="L831" i="5"/>
  <c r="L832" i="5"/>
  <c r="L833" i="5"/>
  <c r="L834" i="5"/>
  <c r="L835" i="5"/>
  <c r="L836" i="5"/>
  <c r="L837" i="5"/>
  <c r="L838" i="5"/>
  <c r="L839" i="5"/>
  <c r="L840" i="5"/>
  <c r="L841" i="5"/>
  <c r="L842" i="5"/>
  <c r="L843" i="5"/>
  <c r="L844" i="5"/>
  <c r="L845" i="5"/>
  <c r="L846" i="5"/>
  <c r="L847" i="5"/>
  <c r="L848" i="5"/>
  <c r="L849" i="5"/>
  <c r="L850" i="5"/>
  <c r="L851" i="5"/>
  <c r="L852" i="5"/>
  <c r="L853" i="5"/>
  <c r="L854" i="5"/>
  <c r="L855" i="5"/>
  <c r="L856" i="5"/>
  <c r="L857" i="5"/>
  <c r="L858" i="5"/>
  <c r="L859" i="5"/>
  <c r="L860" i="5"/>
  <c r="L861" i="5"/>
  <c r="L862" i="5"/>
  <c r="L863" i="5"/>
  <c r="L864" i="5"/>
  <c r="L865" i="5"/>
  <c r="L866" i="5"/>
  <c r="L867" i="5"/>
  <c r="L868" i="5"/>
  <c r="L869" i="5"/>
  <c r="L870" i="5"/>
  <c r="L871" i="5"/>
  <c r="L872" i="5"/>
  <c r="L873" i="5"/>
  <c r="L874" i="5"/>
  <c r="L875" i="5"/>
  <c r="L876" i="5"/>
  <c r="L877" i="5"/>
  <c r="L878" i="5"/>
  <c r="L879" i="5"/>
  <c r="L880" i="5"/>
  <c r="L881" i="5"/>
  <c r="L882" i="5"/>
  <c r="L883" i="5"/>
  <c r="L884" i="5"/>
  <c r="L885" i="5"/>
  <c r="L886" i="5"/>
  <c r="L887" i="5"/>
  <c r="L888" i="5"/>
  <c r="L889" i="5"/>
  <c r="L890" i="5"/>
  <c r="L891" i="5"/>
  <c r="L892" i="5"/>
  <c r="L893" i="5"/>
  <c r="L894" i="5"/>
  <c r="L895" i="5"/>
  <c r="L896" i="5"/>
  <c r="L897" i="5"/>
  <c r="L898" i="5"/>
  <c r="L899" i="5"/>
  <c r="L900" i="5"/>
  <c r="L901" i="5"/>
  <c r="L902" i="5"/>
  <c r="L903" i="5"/>
  <c r="L904" i="5"/>
  <c r="L905" i="5"/>
  <c r="L906" i="5"/>
  <c r="L907" i="5"/>
  <c r="L908" i="5"/>
  <c r="L909" i="5"/>
  <c r="L910" i="5"/>
  <c r="L911" i="5"/>
  <c r="L912" i="5"/>
  <c r="L913" i="5"/>
  <c r="M811" i="5"/>
  <c r="M812" i="5"/>
  <c r="M813" i="5"/>
  <c r="M814" i="5"/>
  <c r="M815" i="5"/>
  <c r="M816" i="5"/>
  <c r="M817" i="5"/>
  <c r="M818" i="5"/>
  <c r="M819" i="5"/>
  <c r="M820" i="5"/>
  <c r="M821" i="5"/>
  <c r="M822" i="5"/>
  <c r="M823" i="5"/>
  <c r="M824" i="5"/>
  <c r="M825" i="5"/>
  <c r="M826" i="5"/>
  <c r="M827" i="5"/>
  <c r="M828" i="5"/>
  <c r="M829" i="5"/>
  <c r="M830" i="5"/>
  <c r="M831" i="5"/>
  <c r="M832" i="5"/>
  <c r="M833" i="5"/>
  <c r="M834" i="5"/>
  <c r="M835" i="5"/>
  <c r="M836" i="5"/>
  <c r="M837" i="5"/>
  <c r="M838" i="5"/>
  <c r="M839" i="5"/>
  <c r="M840" i="5"/>
  <c r="M841" i="5"/>
  <c r="M842" i="5"/>
  <c r="M843" i="5"/>
  <c r="M844" i="5"/>
  <c r="M845" i="5"/>
  <c r="M846" i="5"/>
  <c r="M847" i="5"/>
  <c r="M848" i="5"/>
  <c r="M849" i="5"/>
  <c r="M850" i="5"/>
  <c r="M851" i="5"/>
  <c r="M852" i="5"/>
  <c r="M853" i="5"/>
  <c r="M854" i="5"/>
  <c r="M855" i="5"/>
  <c r="M856" i="5"/>
  <c r="M857" i="5"/>
  <c r="M858" i="5"/>
  <c r="M859" i="5"/>
  <c r="M860" i="5"/>
  <c r="M861" i="5"/>
  <c r="M862" i="5"/>
  <c r="M863" i="5"/>
  <c r="M864" i="5"/>
  <c r="M865" i="5"/>
  <c r="M866" i="5"/>
  <c r="M867" i="5"/>
  <c r="M868" i="5"/>
  <c r="M869" i="5"/>
  <c r="M870" i="5"/>
  <c r="M871" i="5"/>
  <c r="M872" i="5"/>
  <c r="M873" i="5"/>
  <c r="M874" i="5"/>
  <c r="M875" i="5"/>
  <c r="M876" i="5"/>
  <c r="M877" i="5"/>
  <c r="M878" i="5"/>
  <c r="M879" i="5"/>
  <c r="M880" i="5"/>
  <c r="M881" i="5"/>
  <c r="M882" i="5"/>
  <c r="M883" i="5"/>
  <c r="M884" i="5"/>
  <c r="M885" i="5"/>
  <c r="M886" i="5"/>
  <c r="M887" i="5"/>
  <c r="M888" i="5"/>
  <c r="M889" i="5"/>
  <c r="M890" i="5"/>
  <c r="M891" i="5"/>
  <c r="M892" i="5"/>
  <c r="M893" i="5"/>
  <c r="M894" i="5"/>
  <c r="M895" i="5"/>
  <c r="M896" i="5"/>
  <c r="M897" i="5"/>
  <c r="M898" i="5"/>
  <c r="M899" i="5"/>
  <c r="M900" i="5"/>
  <c r="M901" i="5"/>
  <c r="M902" i="5"/>
  <c r="M903" i="5"/>
  <c r="M904" i="5"/>
  <c r="M905" i="5"/>
  <c r="M906" i="5"/>
  <c r="M907" i="5"/>
  <c r="M908" i="5"/>
  <c r="M909" i="5"/>
  <c r="M910" i="5"/>
  <c r="M911" i="5"/>
  <c r="M912" i="5"/>
  <c r="M913" i="5"/>
  <c r="J603" i="5"/>
  <c r="M603" i="5"/>
  <c r="B656" i="5"/>
  <c r="J656" i="5"/>
  <c r="D363" i="5"/>
  <c r="D656" i="5"/>
  <c r="B363" i="5"/>
  <c r="B362" i="5"/>
  <c r="F362" i="5"/>
  <c r="F656" i="5"/>
  <c r="H656" i="5"/>
  <c r="J363" i="5"/>
  <c r="L656" i="5"/>
  <c r="H407" i="5"/>
  <c r="J407" i="5"/>
  <c r="F397" i="1"/>
  <c r="B316" i="6"/>
  <c r="F411" i="6"/>
  <c r="F412" i="6"/>
  <c r="F413" i="6"/>
  <c r="F414" i="6"/>
  <c r="F415" i="6"/>
  <c r="F416" i="6"/>
  <c r="F417" i="6"/>
  <c r="F418" i="6"/>
  <c r="F419" i="6"/>
  <c r="F420" i="6"/>
  <c r="F421" i="6"/>
  <c r="F422" i="6"/>
  <c r="F423" i="6"/>
  <c r="F424" i="6"/>
  <c r="F425" i="6"/>
  <c r="F426" i="6"/>
  <c r="F427" i="6"/>
  <c r="F428" i="6"/>
  <c r="F429" i="6"/>
  <c r="F430" i="6"/>
  <c r="F431" i="6"/>
  <c r="F432" i="6"/>
  <c r="F433" i="6"/>
  <c r="F434" i="6"/>
  <c r="F435" i="6"/>
  <c r="F436" i="6"/>
  <c r="F437" i="6"/>
  <c r="F438" i="6"/>
  <c r="F439" i="6"/>
  <c r="F440" i="6"/>
  <c r="F441" i="6"/>
  <c r="F442" i="6"/>
  <c r="F443" i="6"/>
  <c r="F444" i="6"/>
  <c r="F445" i="6"/>
  <c r="F446" i="6"/>
  <c r="F447" i="6"/>
  <c r="F448" i="6"/>
  <c r="F449" i="6"/>
  <c r="F450" i="6"/>
  <c r="F451" i="6"/>
  <c r="F452" i="6"/>
  <c r="F453" i="6"/>
  <c r="F454" i="6"/>
  <c r="F455" i="6"/>
  <c r="F456" i="6"/>
  <c r="F457" i="6"/>
  <c r="F458" i="6"/>
  <c r="F459" i="6"/>
  <c r="F460" i="6"/>
  <c r="F461" i="6"/>
  <c r="F462" i="6"/>
  <c r="F463" i="6"/>
  <c r="F464" i="6"/>
  <c r="F465" i="6"/>
  <c r="F466" i="6"/>
  <c r="F467" i="6"/>
  <c r="F468" i="6"/>
  <c r="F469" i="6"/>
  <c r="F470" i="6"/>
  <c r="F471" i="6"/>
  <c r="F472" i="6"/>
  <c r="F473" i="6"/>
  <c r="F474" i="6"/>
  <c r="F475" i="6"/>
  <c r="F476" i="6"/>
  <c r="F477" i="6"/>
  <c r="F478" i="6"/>
  <c r="F479" i="6"/>
  <c r="F480" i="6"/>
  <c r="F481" i="6"/>
  <c r="F482" i="6"/>
  <c r="F483" i="6"/>
  <c r="F484" i="6"/>
  <c r="F485" i="6"/>
  <c r="F486" i="6"/>
  <c r="F487" i="6"/>
  <c r="F488" i="6"/>
  <c r="F489" i="6"/>
  <c r="F490" i="6"/>
  <c r="F491" i="6"/>
  <c r="F492" i="6"/>
  <c r="F493" i="6"/>
  <c r="F494" i="6"/>
  <c r="F495" i="6"/>
  <c r="F496" i="6"/>
  <c r="F497" i="6"/>
  <c r="F498" i="6"/>
  <c r="F499" i="6"/>
  <c r="F500" i="6"/>
  <c r="F501" i="6"/>
  <c r="F502" i="6"/>
  <c r="F503" i="6"/>
  <c r="F504" i="6"/>
  <c r="F505" i="6"/>
  <c r="F506" i="6"/>
  <c r="F507" i="6"/>
  <c r="F508" i="6"/>
  <c r="F509" i="6"/>
  <c r="F510" i="6"/>
  <c r="F511" i="6"/>
  <c r="F512" i="6"/>
  <c r="F513" i="6"/>
  <c r="G411" i="6"/>
  <c r="G412" i="6"/>
  <c r="G413" i="6"/>
  <c r="G414" i="6"/>
  <c r="G415" i="6"/>
  <c r="G416" i="6"/>
  <c r="L206" i="6"/>
  <c r="G417" i="6"/>
  <c r="G418" i="6"/>
  <c r="G419" i="6"/>
  <c r="G420" i="6"/>
  <c r="G421" i="6"/>
  <c r="G422" i="6"/>
  <c r="G423" i="6"/>
  <c r="G424" i="6"/>
  <c r="G425" i="6"/>
  <c r="G426" i="6"/>
  <c r="G427" i="6"/>
  <c r="G428" i="6"/>
  <c r="G429" i="6"/>
  <c r="G430" i="6"/>
  <c r="G431" i="6"/>
  <c r="G432" i="6"/>
  <c r="G433" i="6"/>
  <c r="G434" i="6"/>
  <c r="G435" i="6"/>
  <c r="G436" i="6"/>
  <c r="G437" i="6"/>
  <c r="G438" i="6"/>
  <c r="G439" i="6"/>
  <c r="G440" i="6"/>
  <c r="G441" i="6"/>
  <c r="G442" i="6"/>
  <c r="G443" i="6"/>
  <c r="G444" i="6"/>
  <c r="G445" i="6"/>
  <c r="G446" i="6"/>
  <c r="G447" i="6"/>
  <c r="G448" i="6"/>
  <c r="G449" i="6"/>
  <c r="G450" i="6"/>
  <c r="G451" i="6"/>
  <c r="G452" i="6"/>
  <c r="G453" i="6"/>
  <c r="G454" i="6"/>
  <c r="G455" i="6"/>
  <c r="G456" i="6"/>
  <c r="L246" i="6"/>
  <c r="G457" i="6"/>
  <c r="L247" i="6"/>
  <c r="G458" i="6"/>
  <c r="G459" i="6"/>
  <c r="G460" i="6"/>
  <c r="G461" i="6"/>
  <c r="G462" i="6"/>
  <c r="G463" i="6"/>
  <c r="G464" i="6"/>
  <c r="G465" i="6"/>
  <c r="G466" i="6"/>
  <c r="G467" i="6"/>
  <c r="G468" i="6"/>
  <c r="G469" i="6"/>
  <c r="G470" i="6"/>
  <c r="G471" i="6"/>
  <c r="G472" i="6"/>
  <c r="G473" i="6"/>
  <c r="G474" i="6"/>
  <c r="G475" i="6"/>
  <c r="G476" i="6"/>
  <c r="G477" i="6"/>
  <c r="G478" i="6"/>
  <c r="G479" i="6"/>
  <c r="G480" i="6"/>
  <c r="G481" i="6"/>
  <c r="G482" i="6"/>
  <c r="G483" i="6"/>
  <c r="G484" i="6"/>
  <c r="G485" i="6"/>
  <c r="G486" i="6"/>
  <c r="G487" i="6"/>
  <c r="G488" i="6"/>
  <c r="G489" i="6"/>
  <c r="G490" i="6"/>
  <c r="G491" i="6"/>
  <c r="G492" i="6"/>
  <c r="G493" i="6"/>
  <c r="G494" i="6"/>
  <c r="G495" i="6"/>
  <c r="G496" i="6"/>
  <c r="G497" i="6"/>
  <c r="G498" i="6"/>
  <c r="G499" i="6"/>
  <c r="G500" i="6"/>
  <c r="G501" i="6"/>
  <c r="G502" i="6"/>
  <c r="G503" i="6"/>
  <c r="G504" i="6"/>
  <c r="G505" i="6"/>
  <c r="G506" i="6"/>
  <c r="G507" i="6"/>
  <c r="G508" i="6"/>
  <c r="G509" i="6"/>
  <c r="G510" i="6"/>
  <c r="G511" i="6"/>
  <c r="G512" i="6"/>
  <c r="G513" i="6"/>
  <c r="D316" i="6"/>
  <c r="L204" i="6"/>
  <c r="I415" i="6"/>
  <c r="I440" i="6"/>
  <c r="H411" i="6"/>
  <c r="H412" i="6"/>
  <c r="H413" i="6"/>
  <c r="H414" i="6"/>
  <c r="H415" i="6"/>
  <c r="H416" i="6"/>
  <c r="H417" i="6"/>
  <c r="H418" i="6"/>
  <c r="H419" i="6"/>
  <c r="H420" i="6"/>
  <c r="H421" i="6"/>
  <c r="H422" i="6"/>
  <c r="H423" i="6"/>
  <c r="H424" i="6"/>
  <c r="H425" i="6"/>
  <c r="H426" i="6"/>
  <c r="H427" i="6"/>
  <c r="H428" i="6"/>
  <c r="H429" i="6"/>
  <c r="H430" i="6"/>
  <c r="H431" i="6"/>
  <c r="H432" i="6"/>
  <c r="H433" i="6"/>
  <c r="H434" i="6"/>
  <c r="H435" i="6"/>
  <c r="H436" i="6"/>
  <c r="H437" i="6"/>
  <c r="H438" i="6"/>
  <c r="H439" i="6"/>
  <c r="H440" i="6"/>
  <c r="H441" i="6"/>
  <c r="H442" i="6"/>
  <c r="H443" i="6"/>
  <c r="H444" i="6"/>
  <c r="H445" i="6"/>
  <c r="H446" i="6"/>
  <c r="H447" i="6"/>
  <c r="H448" i="6"/>
  <c r="H449" i="6"/>
  <c r="H450" i="6"/>
  <c r="H451" i="6"/>
  <c r="H452" i="6"/>
  <c r="H453" i="6"/>
  <c r="H454" i="6"/>
  <c r="H455" i="6"/>
  <c r="H456" i="6"/>
  <c r="H457" i="6"/>
  <c r="H458" i="6"/>
  <c r="H459" i="6"/>
  <c r="H460" i="6"/>
  <c r="H461" i="6"/>
  <c r="H462" i="6"/>
  <c r="H463" i="6"/>
  <c r="H464" i="6"/>
  <c r="H465" i="6"/>
  <c r="H466" i="6"/>
  <c r="H467" i="6"/>
  <c r="H468" i="6"/>
  <c r="H469" i="6"/>
  <c r="H470" i="6"/>
  <c r="H471" i="6"/>
  <c r="H472" i="6"/>
  <c r="H473" i="6"/>
  <c r="H474" i="6"/>
  <c r="H475" i="6"/>
  <c r="H476" i="6"/>
  <c r="H477" i="6"/>
  <c r="H478" i="6"/>
  <c r="H479" i="6"/>
  <c r="H480" i="6"/>
  <c r="H481" i="6"/>
  <c r="H482" i="6"/>
  <c r="H483" i="6"/>
  <c r="H484" i="6"/>
  <c r="H485" i="6"/>
  <c r="H486" i="6"/>
  <c r="H487" i="6"/>
  <c r="H488" i="6"/>
  <c r="H489" i="6"/>
  <c r="H490" i="6"/>
  <c r="H491" i="6"/>
  <c r="H492" i="6"/>
  <c r="H493" i="6"/>
  <c r="H494" i="6"/>
  <c r="H495" i="6"/>
  <c r="H496" i="6"/>
  <c r="H497" i="6"/>
  <c r="H498" i="6"/>
  <c r="H499" i="6"/>
  <c r="H500" i="6"/>
  <c r="H501" i="6"/>
  <c r="H502" i="6"/>
  <c r="H503" i="6"/>
  <c r="H504" i="6"/>
  <c r="H505" i="6"/>
  <c r="H506" i="6"/>
  <c r="H507" i="6"/>
  <c r="H508" i="6"/>
  <c r="H509" i="6"/>
  <c r="H510" i="6"/>
  <c r="H511" i="6"/>
  <c r="H512" i="6"/>
  <c r="H513" i="6"/>
  <c r="L200" i="6"/>
  <c r="I411" i="6"/>
  <c r="L201" i="6"/>
  <c r="I412" i="6"/>
  <c r="L202" i="6"/>
  <c r="I413" i="6"/>
  <c r="L203" i="6"/>
  <c r="I414" i="6"/>
  <c r="L205" i="6"/>
  <c r="I416" i="6"/>
  <c r="I417" i="6"/>
  <c r="I418" i="6"/>
  <c r="L208" i="6"/>
  <c r="I419" i="6"/>
  <c r="I420" i="6"/>
  <c r="I421" i="6"/>
  <c r="I422" i="6"/>
  <c r="I423" i="6"/>
  <c r="I424" i="6"/>
  <c r="L214" i="6"/>
  <c r="I425" i="6"/>
  <c r="L215" i="6"/>
  <c r="I426" i="6"/>
  <c r="I427" i="6"/>
  <c r="L217" i="6"/>
  <c r="I428" i="6"/>
  <c r="L218" i="6"/>
  <c r="I429" i="6"/>
  <c r="L219" i="6"/>
  <c r="I430" i="6"/>
  <c r="L220" i="6"/>
  <c r="I431" i="6"/>
  <c r="I432" i="6"/>
  <c r="I433" i="6"/>
  <c r="L223" i="6"/>
  <c r="I434" i="6"/>
  <c r="L224" i="6"/>
  <c r="I435" i="6"/>
  <c r="L225" i="6"/>
  <c r="I436" i="6"/>
  <c r="L226" i="6"/>
  <c r="I437" i="6"/>
  <c r="I438" i="6"/>
  <c r="I439" i="6"/>
  <c r="I441" i="6"/>
  <c r="I442" i="6"/>
  <c r="I443" i="6"/>
  <c r="I444" i="6"/>
  <c r="I445" i="6"/>
  <c r="I446" i="6"/>
  <c r="I447" i="6"/>
  <c r="I448" i="6"/>
  <c r="I449" i="6"/>
  <c r="I450" i="6"/>
  <c r="I451" i="6"/>
  <c r="I452" i="6"/>
  <c r="I453" i="6"/>
  <c r="I454" i="6"/>
  <c r="I455" i="6"/>
  <c r="I456" i="6"/>
  <c r="I457" i="6"/>
  <c r="I458" i="6"/>
  <c r="I459" i="6"/>
  <c r="I460" i="6"/>
  <c r="I461" i="6"/>
  <c r="I462" i="6"/>
  <c r="I463" i="6"/>
  <c r="I464" i="6"/>
  <c r="I465" i="6"/>
  <c r="I466" i="6"/>
  <c r="I467" i="6"/>
  <c r="I468" i="6"/>
  <c r="I469" i="6"/>
  <c r="I470" i="6"/>
  <c r="I471" i="6"/>
  <c r="I472" i="6"/>
  <c r="I473" i="6"/>
  <c r="I474" i="6"/>
  <c r="I475" i="6"/>
  <c r="I476" i="6"/>
  <c r="I477" i="6"/>
  <c r="I478" i="6"/>
  <c r="I479" i="6"/>
  <c r="I480" i="6"/>
  <c r="I481" i="6"/>
  <c r="I482" i="6"/>
  <c r="I483" i="6"/>
  <c r="I484" i="6"/>
  <c r="I485" i="6"/>
  <c r="I486" i="6"/>
  <c r="I487" i="6"/>
  <c r="I488" i="6"/>
  <c r="I489" i="6"/>
  <c r="I490" i="6"/>
  <c r="I491" i="6"/>
  <c r="I492" i="6"/>
  <c r="I493" i="6"/>
  <c r="I494" i="6"/>
  <c r="I495" i="6"/>
  <c r="I496" i="6"/>
  <c r="I497" i="6"/>
  <c r="I498" i="6"/>
  <c r="I499" i="6"/>
  <c r="I500" i="6"/>
  <c r="I501" i="6"/>
  <c r="I502" i="6"/>
  <c r="I503" i="6"/>
  <c r="I504" i="6"/>
  <c r="I505" i="6"/>
  <c r="I506" i="6"/>
  <c r="I507" i="6"/>
  <c r="I508" i="6"/>
  <c r="I509" i="6"/>
  <c r="I510" i="6"/>
  <c r="I511" i="6"/>
  <c r="I512" i="6"/>
  <c r="I513" i="6"/>
  <c r="F316" i="6"/>
  <c r="H316" i="6"/>
  <c r="L499" i="1"/>
  <c r="B364" i="6"/>
  <c r="G142" i="6"/>
  <c r="G136" i="6"/>
  <c r="D364" i="6"/>
  <c r="F158" i="6"/>
  <c r="F152" i="6"/>
  <c r="F364" i="6"/>
  <c r="H364" i="6"/>
  <c r="J316" i="6"/>
  <c r="N499" i="1"/>
  <c r="B435" i="11"/>
  <c r="F634" i="11"/>
  <c r="F635" i="11"/>
  <c r="F636" i="11"/>
  <c r="F637" i="11"/>
  <c r="F638" i="11"/>
  <c r="F639" i="11"/>
  <c r="F640" i="11"/>
  <c r="F641" i="11"/>
  <c r="F642" i="11"/>
  <c r="F643" i="11"/>
  <c r="F644" i="11"/>
  <c r="F645" i="11"/>
  <c r="F646" i="11"/>
  <c r="F647" i="11"/>
  <c r="F648" i="11"/>
  <c r="F649" i="11"/>
  <c r="F650" i="11"/>
  <c r="F651" i="11"/>
  <c r="F652" i="11"/>
  <c r="F653" i="11"/>
  <c r="F654" i="11"/>
  <c r="F655" i="11"/>
  <c r="F656" i="11"/>
  <c r="F657" i="11"/>
  <c r="F658" i="11"/>
  <c r="F659" i="11"/>
  <c r="F660" i="11"/>
  <c r="F661" i="11"/>
  <c r="F662" i="11"/>
  <c r="F663" i="11"/>
  <c r="F664" i="11"/>
  <c r="F665" i="11"/>
  <c r="F666" i="11"/>
  <c r="F667" i="11"/>
  <c r="F668" i="11"/>
  <c r="F669" i="11"/>
  <c r="F670" i="11"/>
  <c r="F671" i="11"/>
  <c r="F672" i="11"/>
  <c r="F673" i="11"/>
  <c r="F674" i="11"/>
  <c r="F675" i="11"/>
  <c r="F676" i="11"/>
  <c r="F677" i="11"/>
  <c r="F678" i="11"/>
  <c r="F679" i="11"/>
  <c r="F680" i="11"/>
  <c r="F681" i="11"/>
  <c r="F682" i="11"/>
  <c r="F683" i="11"/>
  <c r="F684" i="11"/>
  <c r="F685" i="11"/>
  <c r="F686" i="11"/>
  <c r="F687" i="11"/>
  <c r="F688" i="11"/>
  <c r="F689" i="11"/>
  <c r="F690" i="11"/>
  <c r="F691" i="11"/>
  <c r="F692" i="11"/>
  <c r="F693" i="11"/>
  <c r="F694" i="11"/>
  <c r="F695" i="11"/>
  <c r="F696" i="11"/>
  <c r="F697" i="11"/>
  <c r="F698" i="11"/>
  <c r="F699" i="11"/>
  <c r="F700" i="11"/>
  <c r="F701" i="11"/>
  <c r="F702" i="11"/>
  <c r="F703" i="11"/>
  <c r="F704" i="11"/>
  <c r="F705" i="11"/>
  <c r="F706" i="11"/>
  <c r="F707" i="11"/>
  <c r="F708" i="11"/>
  <c r="F709" i="11"/>
  <c r="F710" i="11"/>
  <c r="F711" i="11"/>
  <c r="F712" i="11"/>
  <c r="F713" i="11"/>
  <c r="F714" i="11"/>
  <c r="F715" i="11"/>
  <c r="F716" i="11"/>
  <c r="F717" i="11"/>
  <c r="F718" i="11"/>
  <c r="F719" i="11"/>
  <c r="F720" i="11"/>
  <c r="F721" i="11"/>
  <c r="F722" i="11"/>
  <c r="F723" i="11"/>
  <c r="F724" i="11"/>
  <c r="F725" i="11"/>
  <c r="F726" i="11"/>
  <c r="F727" i="11"/>
  <c r="F728" i="11"/>
  <c r="F729" i="11"/>
  <c r="F730" i="11"/>
  <c r="F731" i="11"/>
  <c r="F732" i="11"/>
  <c r="F733" i="11"/>
  <c r="F734" i="11"/>
  <c r="F735" i="11"/>
  <c r="F736" i="11"/>
  <c r="G634" i="11"/>
  <c r="G635" i="11"/>
  <c r="M168" i="11"/>
  <c r="G636" i="11"/>
  <c r="G637" i="11"/>
  <c r="G638" i="11"/>
  <c r="G639" i="11"/>
  <c r="G640" i="11"/>
  <c r="G641" i="11"/>
  <c r="G642" i="11"/>
  <c r="G643" i="11"/>
  <c r="G644" i="11"/>
  <c r="G645" i="11"/>
  <c r="G646" i="11"/>
  <c r="G647" i="11"/>
  <c r="G648" i="11"/>
  <c r="G649" i="11"/>
  <c r="G650" i="11"/>
  <c r="G651" i="11"/>
  <c r="G652" i="11"/>
  <c r="G653" i="11"/>
  <c r="G654" i="11"/>
  <c r="G655" i="11"/>
  <c r="G656" i="11"/>
  <c r="G657" i="11"/>
  <c r="G658" i="11"/>
  <c r="G659" i="11"/>
  <c r="G660" i="11"/>
  <c r="G661" i="11"/>
  <c r="G662" i="11"/>
  <c r="G663" i="11"/>
  <c r="G664" i="11"/>
  <c r="G665" i="11"/>
  <c r="G666" i="11"/>
  <c r="G667" i="11"/>
  <c r="G668" i="11"/>
  <c r="G669" i="11"/>
  <c r="G670" i="11"/>
  <c r="G671" i="11"/>
  <c r="G672" i="11"/>
  <c r="G673" i="11"/>
  <c r="G674" i="11"/>
  <c r="G675" i="11"/>
  <c r="G676" i="11"/>
  <c r="G677" i="11"/>
  <c r="G678" i="11"/>
  <c r="G679" i="11"/>
  <c r="G680" i="11"/>
  <c r="G681" i="11"/>
  <c r="G682" i="11"/>
  <c r="G683" i="11"/>
  <c r="G684" i="11"/>
  <c r="G685" i="11"/>
  <c r="G686" i="11"/>
  <c r="G687" i="11"/>
  <c r="G688" i="11"/>
  <c r="G689" i="11"/>
  <c r="G690" i="11"/>
  <c r="G691" i="11"/>
  <c r="G692" i="11"/>
  <c r="G693" i="11"/>
  <c r="G694" i="11"/>
  <c r="G695" i="11"/>
  <c r="G696" i="11"/>
  <c r="G697" i="11"/>
  <c r="G698" i="11"/>
  <c r="G699" i="11"/>
  <c r="G700" i="11"/>
  <c r="G701" i="11"/>
  <c r="G702" i="11"/>
  <c r="G703" i="11"/>
  <c r="G704" i="11"/>
  <c r="G705" i="11"/>
  <c r="G706" i="11"/>
  <c r="G707" i="11"/>
  <c r="G708" i="11"/>
  <c r="G709" i="11"/>
  <c r="G710" i="11"/>
  <c r="G711" i="11"/>
  <c r="G712" i="11"/>
  <c r="G713" i="11"/>
  <c r="G714" i="11"/>
  <c r="G715" i="11"/>
  <c r="G716" i="11"/>
  <c r="G717" i="11"/>
  <c r="G718" i="11"/>
  <c r="G719" i="11"/>
  <c r="G720" i="11"/>
  <c r="G721" i="11"/>
  <c r="G722" i="11"/>
  <c r="G723" i="11"/>
  <c r="G724" i="11"/>
  <c r="G725" i="11"/>
  <c r="G726" i="11"/>
  <c r="G727" i="11"/>
  <c r="G728" i="11"/>
  <c r="G729" i="11"/>
  <c r="G730" i="11"/>
  <c r="G731" i="11"/>
  <c r="G732" i="11"/>
  <c r="G733" i="11"/>
  <c r="G734" i="11"/>
  <c r="G735" i="11"/>
  <c r="G736" i="11"/>
  <c r="D435" i="11"/>
  <c r="J742" i="11"/>
  <c r="J743" i="11"/>
  <c r="J744" i="11"/>
  <c r="J745" i="11"/>
  <c r="J746" i="11"/>
  <c r="J747" i="11"/>
  <c r="J748" i="11"/>
  <c r="J749" i="11"/>
  <c r="J750" i="11"/>
  <c r="J751" i="11"/>
  <c r="J752" i="11"/>
  <c r="J753" i="11"/>
  <c r="J754" i="11"/>
  <c r="J755" i="11"/>
  <c r="J756" i="11"/>
  <c r="J757" i="11"/>
  <c r="J758" i="11"/>
  <c r="J759" i="11"/>
  <c r="J760" i="11"/>
  <c r="J761" i="11"/>
  <c r="J762" i="11"/>
  <c r="J763" i="11"/>
  <c r="J764" i="11"/>
  <c r="J765" i="11"/>
  <c r="J766" i="11"/>
  <c r="J767" i="11"/>
  <c r="J768" i="11"/>
  <c r="J769" i="11"/>
  <c r="J770" i="11"/>
  <c r="J771" i="11"/>
  <c r="J772" i="11"/>
  <c r="J773" i="11"/>
  <c r="J774" i="11"/>
  <c r="J775" i="11"/>
  <c r="J776" i="11"/>
  <c r="J777" i="11"/>
  <c r="J778" i="11"/>
  <c r="J779" i="11"/>
  <c r="J780" i="11"/>
  <c r="J781" i="11"/>
  <c r="J782" i="11"/>
  <c r="J783" i="11"/>
  <c r="J784" i="11"/>
  <c r="J785" i="11"/>
  <c r="J786" i="11"/>
  <c r="J787" i="11"/>
  <c r="J788" i="11"/>
  <c r="J789" i="11"/>
  <c r="J790" i="11"/>
  <c r="J791" i="11"/>
  <c r="J792" i="11"/>
  <c r="J793" i="11"/>
  <c r="J794" i="11"/>
  <c r="J795" i="11"/>
  <c r="J796" i="11"/>
  <c r="J797" i="11"/>
  <c r="J798" i="11"/>
  <c r="J799" i="11"/>
  <c r="J800" i="11"/>
  <c r="J801" i="11"/>
  <c r="J802" i="11"/>
  <c r="J803" i="11"/>
  <c r="J804" i="11"/>
  <c r="J805" i="11"/>
  <c r="J806" i="11"/>
  <c r="J807" i="11"/>
  <c r="J808" i="11"/>
  <c r="J809" i="11"/>
  <c r="J810" i="11"/>
  <c r="J811" i="11"/>
  <c r="J812" i="11"/>
  <c r="J813" i="11"/>
  <c r="J814" i="11"/>
  <c r="J815" i="11"/>
  <c r="J816" i="11"/>
  <c r="J817" i="11"/>
  <c r="J818" i="11"/>
  <c r="J819" i="11"/>
  <c r="J820" i="11"/>
  <c r="J821" i="11"/>
  <c r="J822" i="11"/>
  <c r="J823" i="11"/>
  <c r="J824" i="11"/>
  <c r="J825" i="11"/>
  <c r="J826" i="11"/>
  <c r="J827" i="11"/>
  <c r="J828" i="11"/>
  <c r="J829" i="11"/>
  <c r="J830" i="11"/>
  <c r="J831" i="11"/>
  <c r="J832" i="11"/>
  <c r="J833" i="11"/>
  <c r="J834" i="11"/>
  <c r="J835" i="11"/>
  <c r="J836" i="11"/>
  <c r="J837" i="11"/>
  <c r="J838" i="11"/>
  <c r="J839" i="11"/>
  <c r="J840" i="11"/>
  <c r="J841" i="11"/>
  <c r="J842" i="11"/>
  <c r="J843" i="11"/>
  <c r="J844" i="11"/>
  <c r="K742" i="11"/>
  <c r="K743" i="11"/>
  <c r="K744" i="11"/>
  <c r="K745" i="11"/>
  <c r="K746" i="11"/>
  <c r="K747" i="11"/>
  <c r="K748" i="11"/>
  <c r="K749" i="11"/>
  <c r="K750" i="11"/>
  <c r="K751" i="11"/>
  <c r="K752" i="11"/>
  <c r="K753" i="11"/>
  <c r="K754" i="11"/>
  <c r="K755" i="11"/>
  <c r="K756" i="11"/>
  <c r="K757" i="11"/>
  <c r="K758" i="11"/>
  <c r="K759" i="11"/>
  <c r="K760" i="11"/>
  <c r="K761" i="11"/>
  <c r="K762" i="11"/>
  <c r="K763" i="11"/>
  <c r="K764" i="11"/>
  <c r="K765" i="11"/>
  <c r="K766" i="11"/>
  <c r="K767" i="11"/>
  <c r="K768" i="11"/>
  <c r="K769" i="11"/>
  <c r="K770" i="11"/>
  <c r="K771" i="11"/>
  <c r="K772" i="11"/>
  <c r="K773" i="11"/>
  <c r="K774" i="11"/>
  <c r="K775" i="11"/>
  <c r="K776" i="11"/>
  <c r="K777" i="11"/>
  <c r="K778" i="11"/>
  <c r="K779" i="11"/>
  <c r="K780" i="11"/>
  <c r="K781" i="11"/>
  <c r="K782" i="11"/>
  <c r="K783" i="11"/>
  <c r="K784" i="11"/>
  <c r="K785" i="11"/>
  <c r="K786" i="11"/>
  <c r="K787" i="11"/>
  <c r="K788" i="11"/>
  <c r="K789" i="11"/>
  <c r="K790" i="11"/>
  <c r="K791" i="11"/>
  <c r="K792" i="11"/>
  <c r="K793" i="11"/>
  <c r="K794" i="11"/>
  <c r="K795" i="11"/>
  <c r="K796" i="11"/>
  <c r="K797" i="11"/>
  <c r="K798" i="11"/>
  <c r="K799" i="11"/>
  <c r="K800" i="11"/>
  <c r="K801" i="11"/>
  <c r="K802" i="11"/>
  <c r="K803" i="11"/>
  <c r="K804" i="11"/>
  <c r="K805" i="11"/>
  <c r="K806" i="11"/>
  <c r="K807" i="11"/>
  <c r="K808" i="11"/>
  <c r="K809" i="11"/>
  <c r="K810" i="11"/>
  <c r="K811" i="11"/>
  <c r="K812" i="11"/>
  <c r="K813" i="11"/>
  <c r="K814" i="11"/>
  <c r="K815" i="11"/>
  <c r="K816" i="11"/>
  <c r="K817" i="11"/>
  <c r="K818" i="11"/>
  <c r="K819" i="11"/>
  <c r="K820" i="11"/>
  <c r="K821" i="11"/>
  <c r="K822" i="11"/>
  <c r="K823" i="11"/>
  <c r="K824" i="11"/>
  <c r="K825" i="11"/>
  <c r="K826" i="11"/>
  <c r="K827" i="11"/>
  <c r="K828" i="11"/>
  <c r="K829" i="11"/>
  <c r="K830" i="11"/>
  <c r="K831" i="11"/>
  <c r="K832" i="11"/>
  <c r="K833" i="11"/>
  <c r="K834" i="11"/>
  <c r="K835" i="11"/>
  <c r="K836" i="11"/>
  <c r="K837" i="11"/>
  <c r="K838" i="11"/>
  <c r="K839" i="11"/>
  <c r="K840" i="11"/>
  <c r="K841" i="11"/>
  <c r="K842" i="11"/>
  <c r="K843" i="11"/>
  <c r="K844" i="11"/>
  <c r="F435" i="11"/>
  <c r="I435" i="11"/>
  <c r="B389" i="11"/>
  <c r="D389" i="11"/>
  <c r="F389" i="11"/>
  <c r="I389" i="11"/>
  <c r="F338" i="11"/>
  <c r="B534" i="11"/>
  <c r="H634" i="11"/>
  <c r="H635" i="11"/>
  <c r="H636" i="11"/>
  <c r="H637" i="11"/>
  <c r="H638" i="11"/>
  <c r="H639" i="11"/>
  <c r="H640" i="11"/>
  <c r="H641" i="11"/>
  <c r="H642" i="11"/>
  <c r="H643" i="11"/>
  <c r="H644" i="11"/>
  <c r="H645" i="11"/>
  <c r="H646" i="11"/>
  <c r="H647" i="11"/>
  <c r="H648" i="11"/>
  <c r="H649" i="11"/>
  <c r="H650" i="11"/>
  <c r="H651" i="11"/>
  <c r="H652" i="11"/>
  <c r="H653" i="11"/>
  <c r="H654" i="11"/>
  <c r="H655" i="11"/>
  <c r="H656" i="11"/>
  <c r="H657" i="11"/>
  <c r="H658" i="11"/>
  <c r="H659" i="11"/>
  <c r="H660" i="11"/>
  <c r="H661" i="11"/>
  <c r="H662" i="11"/>
  <c r="H663" i="11"/>
  <c r="H664" i="11"/>
  <c r="H665" i="11"/>
  <c r="H666" i="11"/>
  <c r="H667" i="11"/>
  <c r="H668" i="11"/>
  <c r="H669" i="11"/>
  <c r="H670" i="11"/>
  <c r="H671" i="11"/>
  <c r="H672" i="11"/>
  <c r="H673" i="11"/>
  <c r="H674" i="11"/>
  <c r="H675" i="11"/>
  <c r="H676" i="11"/>
  <c r="H677" i="11"/>
  <c r="H678" i="11"/>
  <c r="H679" i="11"/>
  <c r="H680" i="11"/>
  <c r="H681" i="11"/>
  <c r="H682" i="11"/>
  <c r="H683" i="11"/>
  <c r="H684" i="11"/>
  <c r="H685" i="11"/>
  <c r="H686" i="11"/>
  <c r="H687" i="11"/>
  <c r="H688" i="11"/>
  <c r="H689" i="11"/>
  <c r="H690" i="11"/>
  <c r="H691" i="11"/>
  <c r="H692" i="11"/>
  <c r="H693" i="11"/>
  <c r="H694" i="11"/>
  <c r="H695" i="11"/>
  <c r="H696" i="11"/>
  <c r="H697" i="11"/>
  <c r="H698" i="11"/>
  <c r="H699" i="11"/>
  <c r="H700" i="11"/>
  <c r="H701" i="11"/>
  <c r="H702" i="11"/>
  <c r="H703" i="11"/>
  <c r="H704" i="11"/>
  <c r="H705" i="11"/>
  <c r="H706" i="11"/>
  <c r="H707" i="11"/>
  <c r="H708" i="11"/>
  <c r="H709" i="11"/>
  <c r="H710" i="11"/>
  <c r="H711" i="11"/>
  <c r="H712" i="11"/>
  <c r="H713" i="11"/>
  <c r="H714" i="11"/>
  <c r="H715" i="11"/>
  <c r="H716" i="11"/>
  <c r="H717" i="11"/>
  <c r="H718" i="11"/>
  <c r="H719" i="11"/>
  <c r="H720" i="11"/>
  <c r="H721" i="11"/>
  <c r="H722" i="11"/>
  <c r="H723" i="11"/>
  <c r="H724" i="11"/>
  <c r="H725" i="11"/>
  <c r="H726" i="11"/>
  <c r="H727" i="11"/>
  <c r="H728" i="11"/>
  <c r="H729" i="11"/>
  <c r="H730" i="11"/>
  <c r="H731" i="11"/>
  <c r="H732" i="11"/>
  <c r="H733" i="11"/>
  <c r="H734" i="11"/>
  <c r="H735" i="11"/>
  <c r="H736" i="11"/>
  <c r="M166" i="11"/>
  <c r="I634" i="11"/>
  <c r="M167" i="11"/>
  <c r="I635" i="11"/>
  <c r="I636" i="11"/>
  <c r="I637" i="11"/>
  <c r="I638" i="11"/>
  <c r="I639" i="11"/>
  <c r="I640" i="11"/>
  <c r="I641" i="11"/>
  <c r="I642" i="11"/>
  <c r="I643" i="11"/>
  <c r="I644" i="11"/>
  <c r="I645" i="11"/>
  <c r="I646" i="11"/>
  <c r="I647" i="11"/>
  <c r="I648" i="11"/>
  <c r="I649" i="11"/>
  <c r="I650" i="11"/>
  <c r="I651" i="11"/>
  <c r="I652" i="11"/>
  <c r="I653" i="11"/>
  <c r="I654" i="11"/>
  <c r="I655" i="11"/>
  <c r="I656" i="11"/>
  <c r="I657" i="11"/>
  <c r="I658" i="11"/>
  <c r="I659" i="11"/>
  <c r="I660" i="11"/>
  <c r="I661" i="11"/>
  <c r="I662" i="11"/>
  <c r="I663" i="11"/>
  <c r="I664" i="11"/>
  <c r="I665" i="11"/>
  <c r="I666" i="11"/>
  <c r="I667" i="11"/>
  <c r="I668" i="11"/>
  <c r="I669" i="11"/>
  <c r="I670" i="11"/>
  <c r="I671" i="11"/>
  <c r="I672" i="11"/>
  <c r="I673" i="11"/>
  <c r="I674" i="11"/>
  <c r="I675" i="11"/>
  <c r="I676" i="11"/>
  <c r="I677" i="11"/>
  <c r="I678" i="11"/>
  <c r="I679" i="11"/>
  <c r="I680" i="11"/>
  <c r="I681" i="11"/>
  <c r="I682" i="11"/>
  <c r="I683" i="11"/>
  <c r="I684" i="11"/>
  <c r="I685" i="11"/>
  <c r="I686" i="11"/>
  <c r="I687" i="11"/>
  <c r="I688" i="11"/>
  <c r="I689" i="11"/>
  <c r="I690" i="11"/>
  <c r="I691" i="11"/>
  <c r="I692" i="11"/>
  <c r="I693" i="11"/>
  <c r="I694" i="11"/>
  <c r="I695" i="11"/>
  <c r="I696" i="11"/>
  <c r="I697" i="11"/>
  <c r="I698" i="11"/>
  <c r="I699" i="11"/>
  <c r="I700" i="11"/>
  <c r="I701" i="11"/>
  <c r="I702" i="11"/>
  <c r="I703" i="11"/>
  <c r="I704" i="11"/>
  <c r="I705" i="11"/>
  <c r="I706" i="11"/>
  <c r="I707" i="11"/>
  <c r="I708" i="11"/>
  <c r="I709" i="11"/>
  <c r="I710" i="11"/>
  <c r="I711" i="11"/>
  <c r="I712" i="11"/>
  <c r="I713" i="11"/>
  <c r="I714" i="11"/>
  <c r="I715" i="11"/>
  <c r="I716" i="11"/>
  <c r="I717" i="11"/>
  <c r="I718" i="11"/>
  <c r="I719" i="11"/>
  <c r="I720" i="11"/>
  <c r="I721" i="11"/>
  <c r="I722" i="11"/>
  <c r="I723" i="11"/>
  <c r="I724" i="11"/>
  <c r="I725" i="11"/>
  <c r="I726" i="11"/>
  <c r="I727" i="11"/>
  <c r="I728" i="11"/>
  <c r="I729" i="11"/>
  <c r="I730" i="11"/>
  <c r="I731" i="11"/>
  <c r="I732" i="11"/>
  <c r="I733" i="11"/>
  <c r="I734" i="11"/>
  <c r="I735" i="11"/>
  <c r="I736" i="11"/>
  <c r="D534" i="11"/>
  <c r="L634" i="11"/>
  <c r="L635" i="11"/>
  <c r="L636" i="11"/>
  <c r="L637" i="11"/>
  <c r="L638" i="11"/>
  <c r="L639" i="11"/>
  <c r="L640" i="11"/>
  <c r="L641" i="11"/>
  <c r="L642" i="11"/>
  <c r="L643" i="11"/>
  <c r="L644" i="11"/>
  <c r="L645" i="11"/>
  <c r="L646" i="11"/>
  <c r="L647" i="11"/>
  <c r="L648" i="11"/>
  <c r="L649" i="11"/>
  <c r="L650" i="11"/>
  <c r="L651" i="11"/>
  <c r="L652" i="11"/>
  <c r="L653" i="11"/>
  <c r="L654" i="11"/>
  <c r="L655" i="11"/>
  <c r="L656" i="11"/>
  <c r="L657" i="11"/>
  <c r="L658" i="11"/>
  <c r="L659" i="11"/>
  <c r="L660" i="11"/>
  <c r="L661" i="11"/>
  <c r="L662" i="11"/>
  <c r="L663" i="11"/>
  <c r="L664" i="11"/>
  <c r="L665" i="11"/>
  <c r="L666" i="11"/>
  <c r="L667" i="11"/>
  <c r="L668" i="11"/>
  <c r="L669" i="11"/>
  <c r="L670" i="11"/>
  <c r="L671" i="11"/>
  <c r="L672" i="11"/>
  <c r="L673" i="11"/>
  <c r="L674" i="11"/>
  <c r="L675" i="11"/>
  <c r="L676" i="11"/>
  <c r="L677" i="11"/>
  <c r="L678" i="11"/>
  <c r="L679" i="11"/>
  <c r="L680" i="11"/>
  <c r="L681" i="11"/>
  <c r="L682" i="11"/>
  <c r="L683" i="11"/>
  <c r="L684" i="11"/>
  <c r="L685" i="11"/>
  <c r="L686" i="11"/>
  <c r="L687" i="11"/>
  <c r="L688" i="11"/>
  <c r="L689" i="11"/>
  <c r="L690" i="11"/>
  <c r="L691" i="11"/>
  <c r="L692" i="11"/>
  <c r="L693" i="11"/>
  <c r="L694" i="11"/>
  <c r="L695" i="11"/>
  <c r="L696" i="11"/>
  <c r="L697" i="11"/>
  <c r="L698" i="11"/>
  <c r="L699" i="11"/>
  <c r="L700" i="11"/>
  <c r="L701" i="11"/>
  <c r="L702" i="11"/>
  <c r="L703" i="11"/>
  <c r="L704" i="11"/>
  <c r="L705" i="11"/>
  <c r="L706" i="11"/>
  <c r="L707" i="11"/>
  <c r="L708" i="11"/>
  <c r="L709" i="11"/>
  <c r="L710" i="11"/>
  <c r="L711" i="11"/>
  <c r="L712" i="11"/>
  <c r="L713" i="11"/>
  <c r="L714" i="11"/>
  <c r="L715" i="11"/>
  <c r="L716" i="11"/>
  <c r="L717" i="11"/>
  <c r="L718" i="11"/>
  <c r="L719" i="11"/>
  <c r="L720" i="11"/>
  <c r="L721" i="11"/>
  <c r="L722" i="11"/>
  <c r="L723" i="11"/>
  <c r="L724" i="11"/>
  <c r="L725" i="11"/>
  <c r="L726" i="11"/>
  <c r="L727" i="11"/>
  <c r="L728" i="11"/>
  <c r="L729" i="11"/>
  <c r="L730" i="11"/>
  <c r="L731" i="11"/>
  <c r="L732" i="11"/>
  <c r="L733" i="11"/>
  <c r="L734" i="11"/>
  <c r="L735" i="11"/>
  <c r="L736" i="11"/>
  <c r="M634" i="11"/>
  <c r="M635" i="11"/>
  <c r="M636" i="11"/>
  <c r="M637" i="11"/>
  <c r="M638" i="11"/>
  <c r="M639" i="11"/>
  <c r="M640" i="11"/>
  <c r="M641" i="11"/>
  <c r="M642" i="11"/>
  <c r="M643" i="11"/>
  <c r="M644" i="11"/>
  <c r="M645" i="11"/>
  <c r="M646" i="11"/>
  <c r="M647" i="11"/>
  <c r="M648" i="11"/>
  <c r="M649" i="11"/>
  <c r="M650" i="11"/>
  <c r="M651" i="11"/>
  <c r="M652" i="11"/>
  <c r="M653" i="11"/>
  <c r="M654" i="11"/>
  <c r="M655" i="11"/>
  <c r="M656" i="11"/>
  <c r="M657" i="11"/>
  <c r="M658" i="11"/>
  <c r="M659" i="11"/>
  <c r="M660" i="11"/>
  <c r="M661" i="11"/>
  <c r="M662" i="11"/>
  <c r="M663" i="11"/>
  <c r="M664" i="11"/>
  <c r="M665" i="11"/>
  <c r="M666" i="11"/>
  <c r="M667" i="11"/>
  <c r="M668" i="11"/>
  <c r="M669" i="11"/>
  <c r="M670" i="11"/>
  <c r="M671" i="11"/>
  <c r="M672" i="11"/>
  <c r="M673" i="11"/>
  <c r="M674" i="11"/>
  <c r="M675" i="11"/>
  <c r="M676" i="11"/>
  <c r="M677" i="11"/>
  <c r="M678" i="11"/>
  <c r="M679" i="11"/>
  <c r="M680" i="11"/>
  <c r="M681" i="11"/>
  <c r="M682" i="11"/>
  <c r="M683" i="11"/>
  <c r="M684" i="11"/>
  <c r="M685" i="11"/>
  <c r="M686" i="11"/>
  <c r="M687" i="11"/>
  <c r="M688" i="11"/>
  <c r="M689" i="11"/>
  <c r="M690" i="11"/>
  <c r="M691" i="11"/>
  <c r="M692" i="11"/>
  <c r="M693" i="11"/>
  <c r="M694" i="11"/>
  <c r="M695" i="11"/>
  <c r="M696" i="11"/>
  <c r="M697" i="11"/>
  <c r="M698" i="11"/>
  <c r="M699" i="11"/>
  <c r="M700" i="11"/>
  <c r="M701" i="11"/>
  <c r="M702" i="11"/>
  <c r="M703" i="11"/>
  <c r="M704" i="11"/>
  <c r="M705" i="11"/>
  <c r="M706" i="11"/>
  <c r="M707" i="11"/>
  <c r="M708" i="11"/>
  <c r="M709" i="11"/>
  <c r="M710" i="11"/>
  <c r="M711" i="11"/>
  <c r="M712" i="11"/>
  <c r="M713" i="11"/>
  <c r="M714" i="11"/>
  <c r="M715" i="11"/>
  <c r="M716" i="11"/>
  <c r="M717" i="11"/>
  <c r="M718" i="11"/>
  <c r="M719" i="11"/>
  <c r="M720" i="11"/>
  <c r="M721" i="11"/>
  <c r="M722" i="11"/>
  <c r="M723" i="11"/>
  <c r="M724" i="11"/>
  <c r="M725" i="11"/>
  <c r="M726" i="11"/>
  <c r="M727" i="11"/>
  <c r="M728" i="11"/>
  <c r="M729" i="11"/>
  <c r="M730" i="11"/>
  <c r="M731" i="11"/>
  <c r="M732" i="11"/>
  <c r="M733" i="11"/>
  <c r="M734" i="11"/>
  <c r="M735" i="11"/>
  <c r="M736" i="11"/>
  <c r="F534" i="11"/>
  <c r="D742" i="11"/>
  <c r="D743" i="11"/>
  <c r="D744" i="11"/>
  <c r="D745" i="11"/>
  <c r="D746" i="11"/>
  <c r="D747" i="11"/>
  <c r="D748" i="11"/>
  <c r="D749" i="11"/>
  <c r="D750" i="11"/>
  <c r="D751" i="11"/>
  <c r="D752" i="11"/>
  <c r="D753" i="11"/>
  <c r="D754" i="11"/>
  <c r="D755" i="11"/>
  <c r="D756" i="11"/>
  <c r="D757" i="11"/>
  <c r="D758" i="11"/>
  <c r="D759" i="11"/>
  <c r="D760" i="11"/>
  <c r="D761" i="11"/>
  <c r="D762" i="11"/>
  <c r="D763" i="11"/>
  <c r="D764" i="11"/>
  <c r="D765" i="11"/>
  <c r="D766" i="11"/>
  <c r="D767" i="11"/>
  <c r="D768" i="11"/>
  <c r="D769" i="11"/>
  <c r="D770" i="11"/>
  <c r="D771" i="11"/>
  <c r="D772" i="11"/>
  <c r="D773" i="11"/>
  <c r="D774" i="11"/>
  <c r="D775" i="11"/>
  <c r="D776" i="11"/>
  <c r="D777" i="11"/>
  <c r="D778" i="11"/>
  <c r="D779" i="11"/>
  <c r="D780" i="11"/>
  <c r="D781" i="11"/>
  <c r="D782" i="11"/>
  <c r="D783" i="11"/>
  <c r="D784" i="11"/>
  <c r="D785" i="11"/>
  <c r="D786" i="11"/>
  <c r="D787" i="11"/>
  <c r="D788" i="11"/>
  <c r="D789" i="11"/>
  <c r="D790" i="11"/>
  <c r="D791" i="11"/>
  <c r="D792" i="11"/>
  <c r="D793" i="11"/>
  <c r="D794" i="11"/>
  <c r="D795" i="11"/>
  <c r="D796" i="11"/>
  <c r="D797" i="11"/>
  <c r="D798" i="11"/>
  <c r="D799" i="11"/>
  <c r="D800" i="11"/>
  <c r="D801" i="11"/>
  <c r="D802" i="11"/>
  <c r="D803" i="11"/>
  <c r="D804" i="11"/>
  <c r="D805" i="11"/>
  <c r="D806" i="11"/>
  <c r="D807" i="11"/>
  <c r="D808" i="11"/>
  <c r="D809" i="11"/>
  <c r="D810" i="11"/>
  <c r="D811" i="11"/>
  <c r="D812" i="11"/>
  <c r="D813" i="11"/>
  <c r="D814" i="11"/>
  <c r="D815" i="11"/>
  <c r="D816" i="11"/>
  <c r="D817" i="11"/>
  <c r="D818" i="11"/>
  <c r="D819" i="11"/>
  <c r="D820" i="11"/>
  <c r="D821" i="11"/>
  <c r="D822" i="11"/>
  <c r="D823" i="11"/>
  <c r="D824" i="11"/>
  <c r="D825" i="11"/>
  <c r="D826" i="11"/>
  <c r="D827" i="11"/>
  <c r="D828" i="11"/>
  <c r="D829" i="11"/>
  <c r="D830" i="11"/>
  <c r="D831" i="11"/>
  <c r="D832" i="11"/>
  <c r="D833" i="11"/>
  <c r="D834" i="11"/>
  <c r="D835" i="11"/>
  <c r="D836" i="11"/>
  <c r="D837" i="11"/>
  <c r="D838" i="11"/>
  <c r="D839" i="11"/>
  <c r="D840" i="11"/>
  <c r="D841" i="11"/>
  <c r="D842" i="11"/>
  <c r="D843" i="11"/>
  <c r="D844" i="11"/>
  <c r="E742" i="11"/>
  <c r="E743" i="11"/>
  <c r="E744" i="11"/>
  <c r="E745" i="11"/>
  <c r="E746" i="11"/>
  <c r="E747" i="11"/>
  <c r="E748" i="11"/>
  <c r="E749" i="11"/>
  <c r="E750" i="11"/>
  <c r="E751" i="11"/>
  <c r="E752" i="11"/>
  <c r="E753" i="11"/>
  <c r="E754" i="11"/>
  <c r="E755" i="11"/>
  <c r="E756" i="11"/>
  <c r="E757" i="11"/>
  <c r="E758" i="11"/>
  <c r="E759" i="11"/>
  <c r="E760" i="11"/>
  <c r="E761" i="11"/>
  <c r="E762" i="11"/>
  <c r="E763" i="11"/>
  <c r="E764" i="11"/>
  <c r="E765" i="11"/>
  <c r="E766" i="11"/>
  <c r="E767" i="11"/>
  <c r="E768" i="11"/>
  <c r="E769" i="11"/>
  <c r="E770" i="11"/>
  <c r="E771" i="11"/>
  <c r="E772" i="11"/>
  <c r="E773" i="11"/>
  <c r="E774" i="11"/>
  <c r="E775" i="11"/>
  <c r="E776" i="11"/>
  <c r="E777" i="11"/>
  <c r="E778" i="11"/>
  <c r="E779" i="11"/>
  <c r="E780" i="11"/>
  <c r="E781" i="11"/>
  <c r="E782" i="11"/>
  <c r="E783" i="11"/>
  <c r="E784" i="11"/>
  <c r="E785" i="11"/>
  <c r="E786" i="11"/>
  <c r="E787" i="11"/>
  <c r="E788" i="11"/>
  <c r="E789" i="11"/>
  <c r="E790" i="11"/>
  <c r="E791" i="11"/>
  <c r="E792" i="11"/>
  <c r="E793" i="11"/>
  <c r="E794" i="11"/>
  <c r="E795" i="11"/>
  <c r="E796" i="11"/>
  <c r="E797" i="11"/>
  <c r="E798" i="11"/>
  <c r="E799" i="11"/>
  <c r="E800" i="11"/>
  <c r="E801" i="11"/>
  <c r="E802" i="11"/>
  <c r="E803" i="11"/>
  <c r="E804" i="11"/>
  <c r="E805" i="11"/>
  <c r="E806" i="11"/>
  <c r="E807" i="11"/>
  <c r="E808" i="11"/>
  <c r="E809" i="11"/>
  <c r="E810" i="11"/>
  <c r="E811" i="11"/>
  <c r="E812" i="11"/>
  <c r="E813" i="11"/>
  <c r="E814" i="11"/>
  <c r="E815" i="11"/>
  <c r="E816" i="11"/>
  <c r="E817" i="11"/>
  <c r="E818" i="11"/>
  <c r="E819" i="11"/>
  <c r="E820" i="11"/>
  <c r="E821" i="11"/>
  <c r="E822" i="11"/>
  <c r="E823" i="11"/>
  <c r="E824" i="11"/>
  <c r="E825" i="11"/>
  <c r="E826" i="11"/>
  <c r="E827" i="11"/>
  <c r="E828" i="11"/>
  <c r="E829" i="11"/>
  <c r="E830" i="11"/>
  <c r="E831" i="11"/>
  <c r="E832" i="11"/>
  <c r="E833" i="11"/>
  <c r="E834" i="11"/>
  <c r="E835" i="11"/>
  <c r="E836" i="11"/>
  <c r="E837" i="11"/>
  <c r="E838" i="11"/>
  <c r="E839" i="11"/>
  <c r="E840" i="11"/>
  <c r="E841" i="11"/>
  <c r="E842" i="11"/>
  <c r="E843" i="11"/>
  <c r="E844" i="11"/>
  <c r="H534" i="11"/>
  <c r="L742" i="11"/>
  <c r="L743" i="11"/>
  <c r="L744" i="11"/>
  <c r="L745" i="11"/>
  <c r="L746" i="11"/>
  <c r="L747" i="11"/>
  <c r="L748" i="11"/>
  <c r="L749" i="11"/>
  <c r="L750" i="11"/>
  <c r="L751" i="11"/>
  <c r="L752" i="11"/>
  <c r="L753" i="11"/>
  <c r="L754" i="11"/>
  <c r="L755" i="11"/>
  <c r="L756" i="11"/>
  <c r="L757" i="11"/>
  <c r="L758" i="11"/>
  <c r="L759" i="11"/>
  <c r="L760" i="11"/>
  <c r="L761" i="11"/>
  <c r="L762" i="11"/>
  <c r="L763" i="11"/>
  <c r="L764" i="11"/>
  <c r="L765" i="11"/>
  <c r="L766" i="11"/>
  <c r="L767" i="11"/>
  <c r="L768" i="11"/>
  <c r="L769" i="11"/>
  <c r="L770" i="11"/>
  <c r="L771" i="11"/>
  <c r="L772" i="11"/>
  <c r="L773" i="11"/>
  <c r="L774" i="11"/>
  <c r="L775" i="11"/>
  <c r="L776" i="11"/>
  <c r="L777" i="11"/>
  <c r="L778" i="11"/>
  <c r="L779" i="11"/>
  <c r="L780" i="11"/>
  <c r="L781" i="11"/>
  <c r="L782" i="11"/>
  <c r="L783" i="11"/>
  <c r="L784" i="11"/>
  <c r="L785" i="11"/>
  <c r="L786" i="11"/>
  <c r="L787" i="11"/>
  <c r="L788" i="11"/>
  <c r="L789" i="11"/>
  <c r="L790" i="11"/>
  <c r="L791" i="11"/>
  <c r="L792" i="11"/>
  <c r="L793" i="11"/>
  <c r="L794" i="11"/>
  <c r="L795" i="11"/>
  <c r="L796" i="11"/>
  <c r="L797" i="11"/>
  <c r="L798" i="11"/>
  <c r="L799" i="11"/>
  <c r="L800" i="11"/>
  <c r="L801" i="11"/>
  <c r="L802" i="11"/>
  <c r="L803" i="11"/>
  <c r="L804" i="11"/>
  <c r="L805" i="11"/>
  <c r="L806" i="11"/>
  <c r="L807" i="11"/>
  <c r="L808" i="11"/>
  <c r="L809" i="11"/>
  <c r="L810" i="11"/>
  <c r="L811" i="11"/>
  <c r="L812" i="11"/>
  <c r="L813" i="11"/>
  <c r="L814" i="11"/>
  <c r="L815" i="11"/>
  <c r="L816" i="11"/>
  <c r="L817" i="11"/>
  <c r="L818" i="11"/>
  <c r="L819" i="11"/>
  <c r="L820" i="11"/>
  <c r="L821" i="11"/>
  <c r="L822" i="11"/>
  <c r="L823" i="11"/>
  <c r="L824" i="11"/>
  <c r="L825" i="11"/>
  <c r="L826" i="11"/>
  <c r="L827" i="11"/>
  <c r="L828" i="11"/>
  <c r="L829" i="11"/>
  <c r="L830" i="11"/>
  <c r="L831" i="11"/>
  <c r="L832" i="11"/>
  <c r="L833" i="11"/>
  <c r="L834" i="11"/>
  <c r="L835" i="11"/>
  <c r="L836" i="11"/>
  <c r="L837" i="11"/>
  <c r="L838" i="11"/>
  <c r="L839" i="11"/>
  <c r="L840" i="11"/>
  <c r="L841" i="11"/>
  <c r="L842" i="11"/>
  <c r="L843" i="11"/>
  <c r="L844" i="11"/>
  <c r="M742" i="11"/>
  <c r="M743" i="11"/>
  <c r="M744" i="11"/>
  <c r="M745" i="11"/>
  <c r="M746" i="11"/>
  <c r="M747" i="11"/>
  <c r="M748" i="11"/>
  <c r="M749" i="11"/>
  <c r="M750" i="11"/>
  <c r="M751" i="11"/>
  <c r="M752" i="11"/>
  <c r="M753" i="11"/>
  <c r="M754" i="11"/>
  <c r="M755" i="11"/>
  <c r="M756" i="11"/>
  <c r="M757" i="11"/>
  <c r="M758" i="11"/>
  <c r="M759" i="11"/>
  <c r="M760" i="11"/>
  <c r="M761" i="11"/>
  <c r="M762" i="11"/>
  <c r="M763" i="11"/>
  <c r="M764" i="11"/>
  <c r="M765" i="11"/>
  <c r="M766" i="11"/>
  <c r="M767" i="11"/>
  <c r="M768" i="11"/>
  <c r="M769" i="11"/>
  <c r="M770" i="11"/>
  <c r="M771" i="11"/>
  <c r="M772" i="11"/>
  <c r="M773" i="11"/>
  <c r="M774" i="11"/>
  <c r="M775" i="11"/>
  <c r="M776" i="11"/>
  <c r="M777" i="11"/>
  <c r="M778" i="11"/>
  <c r="M779" i="11"/>
  <c r="M780" i="11"/>
  <c r="M781" i="11"/>
  <c r="M782" i="11"/>
  <c r="M783" i="11"/>
  <c r="M784" i="11"/>
  <c r="M785" i="11"/>
  <c r="M786" i="11"/>
  <c r="M787" i="11"/>
  <c r="M788" i="11"/>
  <c r="M789" i="11"/>
  <c r="M790" i="11"/>
  <c r="M791" i="11"/>
  <c r="M792" i="11"/>
  <c r="M793" i="11"/>
  <c r="M794" i="11"/>
  <c r="M795" i="11"/>
  <c r="M796" i="11"/>
  <c r="M797" i="11"/>
  <c r="M798" i="11"/>
  <c r="M799" i="11"/>
  <c r="M800" i="11"/>
  <c r="M801" i="11"/>
  <c r="M802" i="11"/>
  <c r="M803" i="11"/>
  <c r="M804" i="11"/>
  <c r="M805" i="11"/>
  <c r="M806" i="11"/>
  <c r="M807" i="11"/>
  <c r="M808" i="11"/>
  <c r="M809" i="11"/>
  <c r="M810" i="11"/>
  <c r="M811" i="11"/>
  <c r="M812" i="11"/>
  <c r="M813" i="11"/>
  <c r="M814" i="11"/>
  <c r="M815" i="11"/>
  <c r="M816" i="11"/>
  <c r="M817" i="11"/>
  <c r="M818" i="11"/>
  <c r="M819" i="11"/>
  <c r="M820" i="11"/>
  <c r="M821" i="11"/>
  <c r="M822" i="11"/>
  <c r="M823" i="11"/>
  <c r="M824" i="11"/>
  <c r="M825" i="11"/>
  <c r="M826" i="11"/>
  <c r="M827" i="11"/>
  <c r="M828" i="11"/>
  <c r="M829" i="11"/>
  <c r="M830" i="11"/>
  <c r="M831" i="11"/>
  <c r="M832" i="11"/>
  <c r="M833" i="11"/>
  <c r="M834" i="11"/>
  <c r="M835" i="11"/>
  <c r="M836" i="11"/>
  <c r="M837" i="11"/>
  <c r="M838" i="11"/>
  <c r="M839" i="11"/>
  <c r="M840" i="11"/>
  <c r="M841" i="11"/>
  <c r="M842" i="11"/>
  <c r="M843" i="11"/>
  <c r="M844" i="11"/>
  <c r="J534" i="11"/>
  <c r="M534" i="11"/>
  <c r="B489" i="11"/>
  <c r="D489" i="11"/>
  <c r="F489" i="11"/>
  <c r="H489" i="11"/>
  <c r="J489" i="11"/>
  <c r="M489" i="11"/>
  <c r="B587" i="11"/>
  <c r="F293" i="11"/>
  <c r="F587" i="11"/>
  <c r="J587" i="11"/>
  <c r="H587" i="11"/>
  <c r="L587" i="11"/>
  <c r="H338" i="11"/>
  <c r="J338" i="11"/>
  <c r="J397" i="1"/>
  <c r="H848" i="1"/>
  <c r="F52" i="14"/>
  <c r="F91" i="13"/>
  <c r="F85" i="13"/>
  <c r="J55" i="10"/>
  <c r="E56" i="13"/>
  <c r="L920" i="1"/>
  <c r="G920" i="1"/>
  <c r="D930" i="1"/>
  <c r="K121" i="13"/>
  <c r="K146" i="13"/>
  <c r="D464" i="13"/>
  <c r="F930" i="1"/>
  <c r="H930" i="1"/>
  <c r="H52" i="14"/>
  <c r="J52" i="14"/>
  <c r="L52" i="14"/>
  <c r="M52" i="14"/>
  <c r="A534" i="6"/>
  <c r="C534" i="6"/>
  <c r="E534" i="6"/>
  <c r="G534" i="6"/>
  <c r="I534" i="6"/>
  <c r="A365" i="6"/>
  <c r="E365" i="6"/>
  <c r="C365" i="6"/>
  <c r="G365" i="6"/>
  <c r="A132" i="4"/>
  <c r="C132" i="4"/>
  <c r="K132" i="4"/>
  <c r="E132" i="4"/>
  <c r="B132" i="4"/>
  <c r="D132" i="4"/>
  <c r="F132" i="4"/>
  <c r="G132" i="4"/>
  <c r="I240" i="1"/>
  <c r="C91" i="3"/>
  <c r="E91" i="3"/>
  <c r="D91" i="3"/>
  <c r="A92" i="3"/>
  <c r="B92" i="3"/>
  <c r="F91" i="3"/>
  <c r="G91" i="3"/>
  <c r="C240" i="1"/>
  <c r="A70" i="10"/>
  <c r="C70" i="10"/>
  <c r="B70" i="10"/>
  <c r="D70" i="10"/>
  <c r="E70" i="10"/>
  <c r="F70" i="10"/>
  <c r="C313" i="1"/>
  <c r="A104" i="15"/>
  <c r="C104" i="15"/>
  <c r="E313" i="1"/>
  <c r="K313" i="1"/>
  <c r="I849" i="1"/>
  <c r="C53" i="14"/>
  <c r="I317" i="6"/>
  <c r="M500" i="1"/>
  <c r="A459" i="5"/>
  <c r="C459" i="5"/>
  <c r="E459" i="5"/>
  <c r="H459" i="5"/>
  <c r="A505" i="5"/>
  <c r="C505" i="5"/>
  <c r="E505" i="5"/>
  <c r="H505" i="5"/>
  <c r="E408" i="5"/>
  <c r="A559" i="5"/>
  <c r="C559" i="5"/>
  <c r="E559" i="5"/>
  <c r="G559" i="5"/>
  <c r="I559" i="5"/>
  <c r="L559" i="5"/>
  <c r="A604" i="5"/>
  <c r="C604" i="5"/>
  <c r="E604" i="5"/>
  <c r="G604" i="5"/>
  <c r="I604" i="5"/>
  <c r="L604" i="5"/>
  <c r="A657" i="5"/>
  <c r="C364" i="5"/>
  <c r="I657" i="5"/>
  <c r="C657" i="5"/>
  <c r="E363" i="5"/>
  <c r="E657" i="5"/>
  <c r="G657" i="5"/>
  <c r="I364" i="5"/>
  <c r="K657" i="5"/>
  <c r="G408" i="5"/>
  <c r="I408" i="5"/>
  <c r="E398" i="1"/>
  <c r="A317" i="6"/>
  <c r="C317" i="6"/>
  <c r="E317" i="6"/>
  <c r="G317" i="6"/>
  <c r="K500" i="1"/>
  <c r="A436" i="11"/>
  <c r="C436" i="11"/>
  <c r="E436" i="11"/>
  <c r="H436" i="11"/>
  <c r="A390" i="11"/>
  <c r="C390" i="11"/>
  <c r="E390" i="11"/>
  <c r="H390" i="11"/>
  <c r="E339" i="11"/>
  <c r="A490" i="11"/>
  <c r="C490" i="11"/>
  <c r="E490" i="11"/>
  <c r="G490" i="11"/>
  <c r="I490" i="11"/>
  <c r="L490" i="11"/>
  <c r="A535" i="11"/>
  <c r="C535" i="11"/>
  <c r="E535" i="11"/>
  <c r="G535" i="11"/>
  <c r="I535" i="11"/>
  <c r="L535" i="11"/>
  <c r="A294" i="11"/>
  <c r="E294" i="11"/>
  <c r="A588" i="11"/>
  <c r="E588" i="11"/>
  <c r="I588" i="11"/>
  <c r="G588" i="11"/>
  <c r="K588" i="11"/>
  <c r="G339" i="11"/>
  <c r="I339" i="11"/>
  <c r="I398" i="1"/>
  <c r="G849" i="1"/>
  <c r="E53" i="14"/>
  <c r="A931" i="1"/>
  <c r="B931" i="1"/>
  <c r="C931" i="1"/>
  <c r="A465" i="13"/>
  <c r="F116" i="13"/>
  <c r="F134" i="13"/>
  <c r="F147" i="13"/>
  <c r="C465" i="13"/>
  <c r="E931" i="1"/>
  <c r="G931" i="1"/>
  <c r="G53" i="14"/>
  <c r="I53" i="14"/>
  <c r="A500" i="1"/>
  <c r="E500" i="1"/>
  <c r="G500" i="1"/>
  <c r="I500" i="1"/>
  <c r="E849" i="1"/>
  <c r="I91" i="3"/>
  <c r="K91" i="3"/>
  <c r="G240" i="1"/>
  <c r="L849" i="1"/>
  <c r="C179" i="7"/>
  <c r="N52" i="14"/>
  <c r="B534" i="6"/>
  <c r="D534" i="6"/>
  <c r="F534" i="6"/>
  <c r="B500" i="1"/>
  <c r="F500" i="1"/>
  <c r="H534" i="6"/>
  <c r="H500" i="1"/>
  <c r="J534" i="6"/>
  <c r="J500" i="1"/>
  <c r="F849" i="1"/>
  <c r="H132" i="4"/>
  <c r="J240" i="1"/>
  <c r="H91" i="3"/>
  <c r="D240" i="1"/>
  <c r="G70" i="10"/>
  <c r="H70" i="10"/>
  <c r="I70" i="10"/>
  <c r="J70" i="10"/>
  <c r="D313" i="1"/>
  <c r="B104" i="15"/>
  <c r="D104" i="15"/>
  <c r="F313" i="1"/>
  <c r="F104" i="15"/>
  <c r="H313" i="1"/>
  <c r="L313" i="1"/>
  <c r="J849" i="1"/>
  <c r="J91" i="3"/>
  <c r="L91" i="3"/>
  <c r="H240" i="1"/>
  <c r="M849" i="1"/>
  <c r="D179" i="7"/>
  <c r="E179" i="7"/>
  <c r="A179" i="7"/>
  <c r="F179" i="7"/>
  <c r="C510" i="13"/>
  <c r="G465" i="13"/>
  <c r="F510" i="13"/>
  <c r="I510" i="13"/>
  <c r="H77" i="13"/>
  <c r="D510" i="13"/>
  <c r="B465" i="13"/>
  <c r="H465" i="13"/>
  <c r="G510" i="13"/>
  <c r="J510" i="13"/>
  <c r="K510" i="13"/>
  <c r="G179" i="7"/>
  <c r="H179" i="7"/>
  <c r="C227" i="7"/>
  <c r="D227" i="7"/>
  <c r="E227" i="7"/>
  <c r="F227" i="7"/>
  <c r="G227" i="7"/>
  <c r="H227" i="7"/>
  <c r="I227" i="7"/>
  <c r="C500" i="1"/>
  <c r="I179" i="7"/>
  <c r="D500" i="1"/>
  <c r="J179" i="7"/>
  <c r="K227" i="7"/>
  <c r="K53" i="14"/>
  <c r="D53" i="14"/>
  <c r="B365" i="6"/>
  <c r="F365" i="6"/>
  <c r="D365" i="6"/>
  <c r="H365" i="6"/>
  <c r="J317" i="6"/>
  <c r="N500" i="1"/>
  <c r="B459" i="5"/>
  <c r="D459" i="5"/>
  <c r="F459" i="5"/>
  <c r="I459" i="5"/>
  <c r="B505" i="5"/>
  <c r="D505" i="5"/>
  <c r="F505" i="5"/>
  <c r="I505" i="5"/>
  <c r="F408" i="5"/>
  <c r="B559" i="5"/>
  <c r="D559" i="5"/>
  <c r="F559" i="5"/>
  <c r="H559" i="5"/>
  <c r="J559" i="5"/>
  <c r="M559" i="5"/>
  <c r="B604" i="5"/>
  <c r="D604" i="5"/>
  <c r="F604" i="5"/>
  <c r="H604" i="5"/>
  <c r="J604" i="5"/>
  <c r="M604" i="5"/>
  <c r="B657" i="5"/>
  <c r="D364" i="5"/>
  <c r="J657" i="5"/>
  <c r="D657" i="5"/>
  <c r="F363" i="5"/>
  <c r="F657" i="5"/>
  <c r="H657" i="5"/>
  <c r="J364" i="5"/>
  <c r="L657" i="5"/>
  <c r="H408" i="5"/>
  <c r="J408" i="5"/>
  <c r="F398" i="1"/>
  <c r="B317" i="6"/>
  <c r="D317" i="6"/>
  <c r="F317" i="6"/>
  <c r="H317" i="6"/>
  <c r="L500" i="1"/>
  <c r="B436" i="11"/>
  <c r="D436" i="11"/>
  <c r="F436" i="11"/>
  <c r="I436" i="11"/>
  <c r="B390" i="11"/>
  <c r="D390" i="11"/>
  <c r="F390" i="11"/>
  <c r="I390" i="11"/>
  <c r="F339" i="11"/>
  <c r="B490" i="11"/>
  <c r="D490" i="11"/>
  <c r="F490" i="11"/>
  <c r="H490" i="11"/>
  <c r="J490" i="11"/>
  <c r="M490" i="11"/>
  <c r="B535" i="11"/>
  <c r="D535" i="11"/>
  <c r="F535" i="11"/>
  <c r="H535" i="11"/>
  <c r="J535" i="11"/>
  <c r="M535" i="11"/>
  <c r="B294" i="11"/>
  <c r="F294" i="11"/>
  <c r="B588" i="11"/>
  <c r="F588" i="11"/>
  <c r="J588" i="11"/>
  <c r="H588" i="11"/>
  <c r="L588" i="11"/>
  <c r="H339" i="11"/>
  <c r="J339" i="11"/>
  <c r="J398" i="1"/>
  <c r="H849" i="1"/>
  <c r="F53" i="14"/>
  <c r="D931" i="1"/>
  <c r="K116" i="13"/>
  <c r="K134" i="13"/>
  <c r="K147" i="13"/>
  <c r="D465" i="13"/>
  <c r="F931" i="1"/>
  <c r="H931" i="1"/>
  <c r="H53" i="14"/>
  <c r="J53" i="14"/>
  <c r="L53" i="14"/>
  <c r="M53" i="14"/>
  <c r="A92" i="2"/>
  <c r="C92" i="2"/>
  <c r="B92" i="2"/>
  <c r="D92" i="2"/>
  <c r="E92" i="2"/>
  <c r="J365" i="6"/>
  <c r="A535" i="6"/>
  <c r="C535" i="6"/>
  <c r="E535" i="6"/>
  <c r="G535" i="6"/>
  <c r="I535" i="6"/>
  <c r="A366" i="6"/>
  <c r="E366" i="6"/>
  <c r="C366" i="6"/>
  <c r="G366" i="6"/>
  <c r="A133" i="4"/>
  <c r="C133" i="4"/>
  <c r="K133" i="4"/>
  <c r="E133" i="4"/>
  <c r="B133" i="4"/>
  <c r="D133" i="4"/>
  <c r="F133" i="4"/>
  <c r="G133" i="4"/>
  <c r="I241" i="1"/>
  <c r="C92" i="3"/>
  <c r="E92" i="3"/>
  <c r="D92" i="3"/>
  <c r="A93" i="3"/>
  <c r="B93" i="3"/>
  <c r="F92" i="3"/>
  <c r="G92" i="3"/>
  <c r="C241" i="1"/>
  <c r="A71" i="10"/>
  <c r="C71" i="10"/>
  <c r="B71" i="10"/>
  <c r="D71" i="10"/>
  <c r="E71" i="10"/>
  <c r="F71" i="10"/>
  <c r="C314" i="1"/>
  <c r="A105" i="15"/>
  <c r="C105" i="15"/>
  <c r="E314" i="1"/>
  <c r="K314" i="1"/>
  <c r="I850" i="1"/>
  <c r="C54" i="14"/>
  <c r="I318" i="6"/>
  <c r="M501" i="1"/>
  <c r="A460" i="5"/>
  <c r="C460" i="5"/>
  <c r="E460" i="5"/>
  <c r="H460" i="5"/>
  <c r="A506" i="5"/>
  <c r="C506" i="5"/>
  <c r="E506" i="5"/>
  <c r="H506" i="5"/>
  <c r="E409" i="5"/>
  <c r="A560" i="5"/>
  <c r="C560" i="5"/>
  <c r="A364" i="5"/>
  <c r="E364" i="5"/>
  <c r="E560" i="5"/>
  <c r="G560" i="5"/>
  <c r="I560" i="5"/>
  <c r="L560" i="5"/>
  <c r="A605" i="5"/>
  <c r="C605" i="5"/>
  <c r="E605" i="5"/>
  <c r="G605" i="5"/>
  <c r="I605" i="5"/>
  <c r="L605" i="5"/>
  <c r="A658" i="5"/>
  <c r="C365" i="5"/>
  <c r="I658" i="5"/>
  <c r="C658" i="5"/>
  <c r="E658" i="5"/>
  <c r="G658" i="5"/>
  <c r="I365" i="5"/>
  <c r="K658" i="5"/>
  <c r="G409" i="5"/>
  <c r="I409" i="5"/>
  <c r="E399" i="1"/>
  <c r="A318" i="6"/>
  <c r="C318" i="6"/>
  <c r="E318" i="6"/>
  <c r="G318" i="6"/>
  <c r="K501" i="1"/>
  <c r="A437" i="11"/>
  <c r="C437" i="11"/>
  <c r="E437" i="11"/>
  <c r="H437" i="11"/>
  <c r="A391" i="11"/>
  <c r="C391" i="11"/>
  <c r="E391" i="11"/>
  <c r="H391" i="11"/>
  <c r="E340" i="11"/>
  <c r="A491" i="11"/>
  <c r="C491" i="11"/>
  <c r="A295" i="11"/>
  <c r="E295" i="11"/>
  <c r="E491" i="11"/>
  <c r="G491" i="11"/>
  <c r="I491" i="11"/>
  <c r="L491" i="11"/>
  <c r="A536" i="11"/>
  <c r="C536" i="11"/>
  <c r="E536" i="11"/>
  <c r="G536" i="11"/>
  <c r="I536" i="11"/>
  <c r="L536" i="11"/>
  <c r="A589" i="11"/>
  <c r="E589" i="11"/>
  <c r="I589" i="11"/>
  <c r="G589" i="11"/>
  <c r="K589" i="11"/>
  <c r="G340" i="11"/>
  <c r="I340" i="11"/>
  <c r="I399" i="1"/>
  <c r="G850" i="1"/>
  <c r="E54" i="14"/>
  <c r="A932" i="1"/>
  <c r="B932" i="1"/>
  <c r="C932" i="1"/>
  <c r="A466" i="13"/>
  <c r="F125" i="13"/>
  <c r="F135" i="13"/>
  <c r="F148" i="13"/>
  <c r="C466" i="13"/>
  <c r="E932" i="1"/>
  <c r="G932" i="1"/>
  <c r="G54" i="14"/>
  <c r="I54" i="14"/>
  <c r="A501" i="1"/>
  <c r="E501" i="1"/>
  <c r="G501" i="1"/>
  <c r="I501" i="1"/>
  <c r="E850" i="1"/>
  <c r="I92" i="3"/>
  <c r="K92" i="3"/>
  <c r="G241" i="1"/>
  <c r="L850" i="1"/>
  <c r="C180" i="7"/>
  <c r="N53" i="14"/>
  <c r="F92" i="2"/>
  <c r="G92" i="2"/>
  <c r="H92" i="2"/>
  <c r="K365" i="6"/>
  <c r="B535" i="6"/>
  <c r="D535" i="6"/>
  <c r="F535" i="6"/>
  <c r="B501" i="1"/>
  <c r="F501" i="1"/>
  <c r="H535" i="6"/>
  <c r="H501" i="1"/>
  <c r="J535" i="6"/>
  <c r="J501" i="1"/>
  <c r="F850" i="1"/>
  <c r="H133" i="4"/>
  <c r="J241" i="1"/>
  <c r="H92" i="3"/>
  <c r="D241" i="1"/>
  <c r="G71" i="10"/>
  <c r="H71" i="10"/>
  <c r="I71" i="10"/>
  <c r="J71" i="10"/>
  <c r="D314" i="1"/>
  <c r="B105" i="15"/>
  <c r="D105" i="15"/>
  <c r="F314" i="1"/>
  <c r="F105" i="15"/>
  <c r="H314" i="1"/>
  <c r="L314" i="1"/>
  <c r="J850" i="1"/>
  <c r="J92" i="3"/>
  <c r="L92" i="3"/>
  <c r="H241" i="1"/>
  <c r="M850" i="1"/>
  <c r="D180" i="7"/>
  <c r="E180" i="7"/>
  <c r="A180" i="7"/>
  <c r="F180" i="7"/>
  <c r="A511" i="13"/>
  <c r="B511" i="13"/>
  <c r="C511" i="13"/>
  <c r="G466" i="13"/>
  <c r="F511" i="13"/>
  <c r="I511" i="13"/>
  <c r="D511" i="13"/>
  <c r="B466" i="13"/>
  <c r="H466" i="13"/>
  <c r="G511" i="13"/>
  <c r="J511" i="13"/>
  <c r="K511" i="13"/>
  <c r="G180" i="7"/>
  <c r="H180" i="7"/>
  <c r="C228" i="7"/>
  <c r="D228" i="7"/>
  <c r="E228" i="7"/>
  <c r="F228" i="7"/>
  <c r="G228" i="7"/>
  <c r="H228" i="7"/>
  <c r="I228" i="7"/>
  <c r="C501" i="1"/>
  <c r="I180" i="7"/>
  <c r="D501" i="1"/>
  <c r="J180" i="7"/>
  <c r="K228" i="7"/>
  <c r="K54" i="14"/>
  <c r="D54" i="14"/>
  <c r="B366" i="6"/>
  <c r="F366" i="6"/>
  <c r="D366" i="6"/>
  <c r="H366" i="6"/>
  <c r="J318" i="6"/>
  <c r="N501" i="1"/>
  <c r="B460" i="5"/>
  <c r="D460" i="5"/>
  <c r="F460" i="5"/>
  <c r="I460" i="5"/>
  <c r="B506" i="5"/>
  <c r="D506" i="5"/>
  <c r="F506" i="5"/>
  <c r="I506" i="5"/>
  <c r="F409" i="5"/>
  <c r="B560" i="5"/>
  <c r="D560" i="5"/>
  <c r="F560" i="5"/>
  <c r="H560" i="5"/>
  <c r="J560" i="5"/>
  <c r="M560" i="5"/>
  <c r="B605" i="5"/>
  <c r="D605" i="5"/>
  <c r="F605" i="5"/>
  <c r="H605" i="5"/>
  <c r="J605" i="5"/>
  <c r="M605" i="5"/>
  <c r="B658" i="5"/>
  <c r="D365" i="5"/>
  <c r="J658" i="5"/>
  <c r="D658" i="5"/>
  <c r="B364" i="5"/>
  <c r="F364" i="5"/>
  <c r="F658" i="5"/>
  <c r="H658" i="5"/>
  <c r="J365" i="5"/>
  <c r="L658" i="5"/>
  <c r="H409" i="5"/>
  <c r="J409" i="5"/>
  <c r="F399" i="1"/>
  <c r="B318" i="6"/>
  <c r="D318" i="6"/>
  <c r="F318" i="6"/>
  <c r="H318" i="6"/>
  <c r="L501" i="1"/>
  <c r="B437" i="11"/>
  <c r="D437" i="11"/>
  <c r="F437" i="11"/>
  <c r="I437" i="11"/>
  <c r="B391" i="11"/>
  <c r="D391" i="11"/>
  <c r="F391" i="11"/>
  <c r="I391" i="11"/>
  <c r="F340" i="11"/>
  <c r="B491" i="11"/>
  <c r="D491" i="11"/>
  <c r="F491" i="11"/>
  <c r="H491" i="11"/>
  <c r="J491" i="11"/>
  <c r="M491" i="11"/>
  <c r="B536" i="11"/>
  <c r="D536" i="11"/>
  <c r="F536" i="11"/>
  <c r="H536" i="11"/>
  <c r="J536" i="11"/>
  <c r="M536" i="11"/>
  <c r="B295" i="11"/>
  <c r="F295" i="11"/>
  <c r="B589" i="11"/>
  <c r="F589" i="11"/>
  <c r="J589" i="11"/>
  <c r="H589" i="11"/>
  <c r="L589" i="11"/>
  <c r="H340" i="11"/>
  <c r="J340" i="11"/>
  <c r="J399" i="1"/>
  <c r="H850" i="1"/>
  <c r="F54" i="14"/>
  <c r="D932" i="1"/>
  <c r="K135" i="13"/>
  <c r="K148" i="13"/>
  <c r="D466" i="13"/>
  <c r="F932" i="1"/>
  <c r="H932" i="1"/>
  <c r="H54" i="14"/>
  <c r="J54" i="14"/>
  <c r="L54" i="14"/>
  <c r="M54" i="14"/>
  <c r="A93" i="2"/>
  <c r="C93" i="2"/>
  <c r="B93" i="2"/>
  <c r="D93" i="2"/>
  <c r="E93" i="2"/>
  <c r="J366" i="6"/>
  <c r="A536" i="6"/>
  <c r="C536" i="6"/>
  <c r="E536" i="6"/>
  <c r="G536" i="6"/>
  <c r="I536" i="6"/>
  <c r="A367" i="6"/>
  <c r="E367" i="6"/>
  <c r="C367" i="6"/>
  <c r="G367" i="6"/>
  <c r="A134" i="4"/>
  <c r="C134" i="4"/>
  <c r="K134" i="4"/>
  <c r="E134" i="4"/>
  <c r="B134" i="4"/>
  <c r="D134" i="4"/>
  <c r="F134" i="4"/>
  <c r="G134" i="4"/>
  <c r="I242" i="1"/>
  <c r="C93" i="3"/>
  <c r="E93" i="3"/>
  <c r="D93" i="3"/>
  <c r="A94" i="3"/>
  <c r="B94" i="3"/>
  <c r="F93" i="3"/>
  <c r="G93" i="3"/>
  <c r="C242" i="1"/>
  <c r="A72" i="10"/>
  <c r="C72" i="10"/>
  <c r="B72" i="10"/>
  <c r="D72" i="10"/>
  <c r="E72" i="10"/>
  <c r="F72" i="10"/>
  <c r="C315" i="1"/>
  <c r="A106" i="15"/>
  <c r="C106" i="15"/>
  <c r="E315" i="1"/>
  <c r="K315" i="1"/>
  <c r="I851" i="1"/>
  <c r="C55" i="14"/>
  <c r="I319" i="6"/>
  <c r="M502" i="1"/>
  <c r="A461" i="5"/>
  <c r="C461" i="5"/>
  <c r="E461" i="5"/>
  <c r="H461" i="5"/>
  <c r="A507" i="5"/>
  <c r="C507" i="5"/>
  <c r="E507" i="5"/>
  <c r="H507" i="5"/>
  <c r="E410" i="5"/>
  <c r="A561" i="5"/>
  <c r="C561" i="5"/>
  <c r="A365" i="5"/>
  <c r="E365" i="5"/>
  <c r="E561" i="5"/>
  <c r="G365" i="5"/>
  <c r="G561" i="5"/>
  <c r="I561" i="5"/>
  <c r="L561" i="5"/>
  <c r="A606" i="5"/>
  <c r="C606" i="5"/>
  <c r="E606" i="5"/>
  <c r="G606" i="5"/>
  <c r="I606" i="5"/>
  <c r="L606" i="5"/>
  <c r="A659" i="5"/>
  <c r="C366" i="5"/>
  <c r="I659" i="5"/>
  <c r="C659" i="5"/>
  <c r="E659" i="5"/>
  <c r="G659" i="5"/>
  <c r="I366" i="5"/>
  <c r="K659" i="5"/>
  <c r="G410" i="5"/>
  <c r="I410" i="5"/>
  <c r="E400" i="1"/>
  <c r="A319" i="6"/>
  <c r="C319" i="6"/>
  <c r="E319" i="6"/>
  <c r="G319" i="6"/>
  <c r="K502" i="1"/>
  <c r="A438" i="11"/>
  <c r="C438" i="11"/>
  <c r="E438" i="11"/>
  <c r="H438" i="11"/>
  <c r="A392" i="11"/>
  <c r="C392" i="11"/>
  <c r="E392" i="11"/>
  <c r="H392" i="11"/>
  <c r="E341" i="11"/>
  <c r="A492" i="11"/>
  <c r="C492" i="11"/>
  <c r="A296" i="11"/>
  <c r="E296" i="11"/>
  <c r="E492" i="11"/>
  <c r="G296" i="11"/>
  <c r="G492" i="11"/>
  <c r="I492" i="11"/>
  <c r="L492" i="11"/>
  <c r="A537" i="11"/>
  <c r="C537" i="11"/>
  <c r="E537" i="11"/>
  <c r="G537" i="11"/>
  <c r="I537" i="11"/>
  <c r="L537" i="11"/>
  <c r="A590" i="11"/>
  <c r="E590" i="11"/>
  <c r="I590" i="11"/>
  <c r="G590" i="11"/>
  <c r="K590" i="11"/>
  <c r="G341" i="11"/>
  <c r="I341" i="11"/>
  <c r="I400" i="1"/>
  <c r="G851" i="1"/>
  <c r="E55" i="14"/>
  <c r="A933" i="1"/>
  <c r="B933" i="1"/>
  <c r="C933" i="1"/>
  <c r="A467" i="13"/>
  <c r="F136" i="13"/>
  <c r="F140" i="13"/>
  <c r="F149" i="13"/>
  <c r="C467" i="13"/>
  <c r="E933" i="1"/>
  <c r="G933" i="1"/>
  <c r="G55" i="14"/>
  <c r="I55" i="14"/>
  <c r="A502" i="1"/>
  <c r="E502" i="1"/>
  <c r="G502" i="1"/>
  <c r="I502" i="1"/>
  <c r="E851" i="1"/>
  <c r="I93" i="3"/>
  <c r="K93" i="3"/>
  <c r="G242" i="1"/>
  <c r="L851" i="1"/>
  <c r="C181" i="7"/>
  <c r="N54" i="14"/>
  <c r="F93" i="2"/>
  <c r="G93" i="2"/>
  <c r="H93" i="2"/>
  <c r="K366" i="6"/>
  <c r="B536" i="6"/>
  <c r="D536" i="6"/>
  <c r="F536" i="6"/>
  <c r="B502" i="1"/>
  <c r="F502" i="1"/>
  <c r="H536" i="6"/>
  <c r="H502" i="1"/>
  <c r="J536" i="6"/>
  <c r="J502" i="1"/>
  <c r="F851" i="1"/>
  <c r="H134" i="4"/>
  <c r="J242" i="1"/>
  <c r="H93" i="3"/>
  <c r="D242" i="1"/>
  <c r="G72" i="10"/>
  <c r="H72" i="10"/>
  <c r="I72" i="10"/>
  <c r="J72" i="10"/>
  <c r="D315" i="1"/>
  <c r="B106" i="15"/>
  <c r="D106" i="15"/>
  <c r="F315" i="1"/>
  <c r="F106" i="15"/>
  <c r="H315" i="1"/>
  <c r="L315" i="1"/>
  <c r="J851" i="1"/>
  <c r="J93" i="3"/>
  <c r="L93" i="3"/>
  <c r="H242" i="1"/>
  <c r="M851" i="1"/>
  <c r="D181" i="7"/>
  <c r="E181" i="7"/>
  <c r="A181" i="7"/>
  <c r="F181" i="7"/>
  <c r="A512" i="13"/>
  <c r="B512" i="13"/>
  <c r="C512" i="13"/>
  <c r="G467" i="13"/>
  <c r="F512" i="13"/>
  <c r="I512" i="13"/>
  <c r="D512" i="13"/>
  <c r="B467" i="13"/>
  <c r="H467" i="13"/>
  <c r="G512" i="13"/>
  <c r="J512" i="13"/>
  <c r="K512" i="13"/>
  <c r="G181" i="7"/>
  <c r="H181" i="7"/>
  <c r="C229" i="7"/>
  <c r="M125" i="7"/>
  <c r="J114" i="7"/>
  <c r="D229" i="7"/>
  <c r="E229" i="7"/>
  <c r="F229" i="7"/>
  <c r="G229" i="7"/>
  <c r="H229" i="7"/>
  <c r="I229" i="7"/>
  <c r="C502" i="1"/>
  <c r="I181" i="7"/>
  <c r="D502" i="1"/>
  <c r="J181" i="7"/>
  <c r="K229" i="7"/>
  <c r="K55" i="14"/>
  <c r="D55" i="14"/>
  <c r="B367" i="6"/>
  <c r="F367" i="6"/>
  <c r="D367" i="6"/>
  <c r="H367" i="6"/>
  <c r="J319" i="6"/>
  <c r="N502" i="1"/>
  <c r="B461" i="5"/>
  <c r="D461" i="5"/>
  <c r="F461" i="5"/>
  <c r="I461" i="5"/>
  <c r="B507" i="5"/>
  <c r="D507" i="5"/>
  <c r="F507" i="5"/>
  <c r="I507" i="5"/>
  <c r="F410" i="5"/>
  <c r="B561" i="5"/>
  <c r="D561" i="5"/>
  <c r="B365" i="5"/>
  <c r="F365" i="5"/>
  <c r="F561" i="5"/>
  <c r="H561" i="5"/>
  <c r="J561" i="5"/>
  <c r="M561" i="5"/>
  <c r="B606" i="5"/>
  <c r="D606" i="5"/>
  <c r="F606" i="5"/>
  <c r="H606" i="5"/>
  <c r="J606" i="5"/>
  <c r="M606" i="5"/>
  <c r="B659" i="5"/>
  <c r="D366" i="5"/>
  <c r="J659" i="5"/>
  <c r="D659" i="5"/>
  <c r="F659" i="5"/>
  <c r="H659" i="5"/>
  <c r="J366" i="5"/>
  <c r="L659" i="5"/>
  <c r="H410" i="5"/>
  <c r="J410" i="5"/>
  <c r="F400" i="1"/>
  <c r="B319" i="6"/>
  <c r="D319" i="6"/>
  <c r="F319" i="6"/>
  <c r="H319" i="6"/>
  <c r="L502" i="1"/>
  <c r="B438" i="11"/>
  <c r="D438" i="11"/>
  <c r="F438" i="11"/>
  <c r="I438" i="11"/>
  <c r="B392" i="11"/>
  <c r="D392" i="11"/>
  <c r="F392" i="11"/>
  <c r="I392" i="11"/>
  <c r="F341" i="11"/>
  <c r="B492" i="11"/>
  <c r="D492" i="11"/>
  <c r="F492" i="11"/>
  <c r="H492" i="11"/>
  <c r="J492" i="11"/>
  <c r="M492" i="11"/>
  <c r="B537" i="11"/>
  <c r="D537" i="11"/>
  <c r="F537" i="11"/>
  <c r="H537" i="11"/>
  <c r="J537" i="11"/>
  <c r="M537" i="11"/>
  <c r="B296" i="11"/>
  <c r="F296" i="11"/>
  <c r="B590" i="11"/>
  <c r="F590" i="11"/>
  <c r="J590" i="11"/>
  <c r="H590" i="11"/>
  <c r="L590" i="11"/>
  <c r="H341" i="11"/>
  <c r="J341" i="11"/>
  <c r="J400" i="1"/>
  <c r="H851" i="1"/>
  <c r="F55" i="14"/>
  <c r="D933" i="1"/>
  <c r="K136" i="13"/>
  <c r="K140" i="13"/>
  <c r="K149" i="13"/>
  <c r="D467" i="13"/>
  <c r="F933" i="1"/>
  <c r="H933" i="1"/>
  <c r="H55" i="14"/>
  <c r="J55" i="14"/>
  <c r="L55" i="14"/>
  <c r="M55" i="14"/>
  <c r="A94" i="2"/>
  <c r="C94" i="2"/>
  <c r="B94" i="2"/>
  <c r="D94" i="2"/>
  <c r="E94" i="2"/>
  <c r="J367" i="6"/>
  <c r="A537" i="6"/>
  <c r="C537" i="6"/>
  <c r="E537" i="6"/>
  <c r="G537" i="6"/>
  <c r="I537" i="6"/>
  <c r="A368" i="6"/>
  <c r="E368" i="6"/>
  <c r="C368" i="6"/>
  <c r="G368" i="6"/>
  <c r="A135" i="4"/>
  <c r="C135" i="4"/>
  <c r="K135" i="4"/>
  <c r="E135" i="4"/>
  <c r="B135" i="4"/>
  <c r="D135" i="4"/>
  <c r="F135" i="4"/>
  <c r="G135" i="4"/>
  <c r="I243" i="1"/>
  <c r="C94" i="3"/>
  <c r="E94" i="3"/>
  <c r="D94" i="3"/>
  <c r="A95" i="3"/>
  <c r="B95" i="3"/>
  <c r="F94" i="3"/>
  <c r="G94" i="3"/>
  <c r="C243" i="1"/>
  <c r="A73" i="10"/>
  <c r="C73" i="10"/>
  <c r="B73" i="10"/>
  <c r="D73" i="10"/>
  <c r="E73" i="10"/>
  <c r="F73" i="10"/>
  <c r="C316" i="1"/>
  <c r="A107" i="15"/>
  <c r="C107" i="15"/>
  <c r="E316" i="1"/>
  <c r="K316" i="1"/>
  <c r="I852" i="1"/>
  <c r="C56" i="14"/>
  <c r="I320" i="6"/>
  <c r="M503" i="1"/>
  <c r="A462" i="5"/>
  <c r="C462" i="5"/>
  <c r="E462" i="5"/>
  <c r="H462" i="5"/>
  <c r="A508" i="5"/>
  <c r="C508" i="5"/>
  <c r="E508" i="5"/>
  <c r="H508" i="5"/>
  <c r="E411" i="5"/>
  <c r="A562" i="5"/>
  <c r="C562" i="5"/>
  <c r="A366" i="5"/>
  <c r="E366" i="5"/>
  <c r="E562" i="5"/>
  <c r="G366" i="5"/>
  <c r="G562" i="5"/>
  <c r="I562" i="5"/>
  <c r="L562" i="5"/>
  <c r="A607" i="5"/>
  <c r="C607" i="5"/>
  <c r="E607" i="5"/>
  <c r="G607" i="5"/>
  <c r="I607" i="5"/>
  <c r="L607" i="5"/>
  <c r="A660" i="5"/>
  <c r="C367" i="5"/>
  <c r="I660" i="5"/>
  <c r="C660" i="5"/>
  <c r="E660" i="5"/>
  <c r="G660" i="5"/>
  <c r="I367" i="5"/>
  <c r="K660" i="5"/>
  <c r="G411" i="5"/>
  <c r="I411" i="5"/>
  <c r="E401" i="1"/>
  <c r="A320" i="6"/>
  <c r="C320" i="6"/>
  <c r="E320" i="6"/>
  <c r="G320" i="6"/>
  <c r="K503" i="1"/>
  <c r="A439" i="11"/>
  <c r="C439" i="11"/>
  <c r="E439" i="11"/>
  <c r="H439" i="11"/>
  <c r="A393" i="11"/>
  <c r="C393" i="11"/>
  <c r="E393" i="11"/>
  <c r="H393" i="11"/>
  <c r="E342" i="11"/>
  <c r="A493" i="11"/>
  <c r="C493" i="11"/>
  <c r="A297" i="11"/>
  <c r="E297" i="11"/>
  <c r="E493" i="11"/>
  <c r="G297" i="11"/>
  <c r="G493" i="11"/>
  <c r="I493" i="11"/>
  <c r="L493" i="11"/>
  <c r="A538" i="11"/>
  <c r="C538" i="11"/>
  <c r="E538" i="11"/>
  <c r="G538" i="11"/>
  <c r="I538" i="11"/>
  <c r="L538" i="11"/>
  <c r="A591" i="11"/>
  <c r="E591" i="11"/>
  <c r="I591" i="11"/>
  <c r="G591" i="11"/>
  <c r="K591" i="11"/>
  <c r="G342" i="11"/>
  <c r="I342" i="11"/>
  <c r="I401" i="1"/>
  <c r="G852" i="1"/>
  <c r="E56" i="14"/>
  <c r="A934" i="1"/>
  <c r="B934" i="1"/>
  <c r="C934" i="1"/>
  <c r="A468" i="13"/>
  <c r="F137" i="13"/>
  <c r="F141" i="13"/>
  <c r="F150" i="13"/>
  <c r="C468" i="13"/>
  <c r="E934" i="1"/>
  <c r="G934" i="1"/>
  <c r="G56" i="14"/>
  <c r="I56" i="14"/>
  <c r="A503" i="1"/>
  <c r="E503" i="1"/>
  <c r="G503" i="1"/>
  <c r="I503" i="1"/>
  <c r="E852" i="1"/>
  <c r="I94" i="3"/>
  <c r="K94" i="3"/>
  <c r="G243" i="1"/>
  <c r="L852" i="1"/>
  <c r="C182" i="7"/>
  <c r="N55" i="14"/>
  <c r="F94" i="2"/>
  <c r="G94" i="2"/>
  <c r="H94" i="2"/>
  <c r="K367" i="6"/>
  <c r="B537" i="6"/>
  <c r="D537" i="6"/>
  <c r="F537" i="6"/>
  <c r="B503" i="1"/>
  <c r="F503" i="1"/>
  <c r="H537" i="6"/>
  <c r="H503" i="1"/>
  <c r="J537" i="6"/>
  <c r="J503" i="1"/>
  <c r="F852" i="1"/>
  <c r="H135" i="4"/>
  <c r="J243" i="1"/>
  <c r="H94" i="3"/>
  <c r="D243" i="1"/>
  <c r="G73" i="10"/>
  <c r="H73" i="10"/>
  <c r="I73" i="10"/>
  <c r="J73" i="10"/>
  <c r="D316" i="1"/>
  <c r="B107" i="15"/>
  <c r="D107" i="15"/>
  <c r="F316" i="1"/>
  <c r="F107" i="15"/>
  <c r="H316" i="1"/>
  <c r="L316" i="1"/>
  <c r="J852" i="1"/>
  <c r="J94" i="3"/>
  <c r="L94" i="3"/>
  <c r="H243" i="1"/>
  <c r="M852" i="1"/>
  <c r="D182" i="7"/>
  <c r="E182" i="7"/>
  <c r="A182" i="7"/>
  <c r="F182" i="7"/>
  <c r="A513" i="13"/>
  <c r="B513" i="13"/>
  <c r="C513" i="13"/>
  <c r="G468" i="13"/>
  <c r="F513" i="13"/>
  <c r="I513" i="13"/>
  <c r="D513" i="13"/>
  <c r="B468" i="13"/>
  <c r="H468" i="13"/>
  <c r="G513" i="13"/>
  <c r="J513" i="13"/>
  <c r="K513" i="13"/>
  <c r="G182" i="7"/>
  <c r="H182" i="7"/>
  <c r="C230" i="7"/>
  <c r="D230" i="7"/>
  <c r="E230" i="7"/>
  <c r="F230" i="7"/>
  <c r="G230" i="7"/>
  <c r="H230" i="7"/>
  <c r="I230" i="7"/>
  <c r="C503" i="1"/>
  <c r="I182" i="7"/>
  <c r="D503" i="1"/>
  <c r="J182" i="7"/>
  <c r="K230" i="7"/>
  <c r="K56" i="14"/>
  <c r="D56" i="14"/>
  <c r="B368" i="6"/>
  <c r="F368" i="6"/>
  <c r="D368" i="6"/>
  <c r="H368" i="6"/>
  <c r="J320" i="6"/>
  <c r="N503" i="1"/>
  <c r="B462" i="5"/>
  <c r="D462" i="5"/>
  <c r="F462" i="5"/>
  <c r="I462" i="5"/>
  <c r="B508" i="5"/>
  <c r="D508" i="5"/>
  <c r="F508" i="5"/>
  <c r="I508" i="5"/>
  <c r="F411" i="5"/>
  <c r="B562" i="5"/>
  <c r="D562" i="5"/>
  <c r="B366" i="5"/>
  <c r="F366" i="5"/>
  <c r="F562" i="5"/>
  <c r="H366" i="5"/>
  <c r="H562" i="5"/>
  <c r="J562" i="5"/>
  <c r="M562" i="5"/>
  <c r="B607" i="5"/>
  <c r="D607" i="5"/>
  <c r="F607" i="5"/>
  <c r="H607" i="5"/>
  <c r="J607" i="5"/>
  <c r="M607" i="5"/>
  <c r="B660" i="5"/>
  <c r="D367" i="5"/>
  <c r="J660" i="5"/>
  <c r="D660" i="5"/>
  <c r="F660" i="5"/>
  <c r="H660" i="5"/>
  <c r="J367" i="5"/>
  <c r="L660" i="5"/>
  <c r="H411" i="5"/>
  <c r="J411" i="5"/>
  <c r="F401" i="1"/>
  <c r="B320" i="6"/>
  <c r="D320" i="6"/>
  <c r="F320" i="6"/>
  <c r="H320" i="6"/>
  <c r="L503" i="1"/>
  <c r="B439" i="11"/>
  <c r="D439" i="11"/>
  <c r="F439" i="11"/>
  <c r="I439" i="11"/>
  <c r="B393" i="11"/>
  <c r="D393" i="11"/>
  <c r="F393" i="11"/>
  <c r="I393" i="11"/>
  <c r="F342" i="11"/>
  <c r="B493" i="11"/>
  <c r="D493" i="11"/>
  <c r="F493" i="11"/>
  <c r="H493" i="11"/>
  <c r="J493" i="11"/>
  <c r="M493" i="11"/>
  <c r="B538" i="11"/>
  <c r="D538" i="11"/>
  <c r="F538" i="11"/>
  <c r="H538" i="11"/>
  <c r="J538" i="11"/>
  <c r="M538" i="11"/>
  <c r="B297" i="11"/>
  <c r="F297" i="11"/>
  <c r="B591" i="11"/>
  <c r="F591" i="11"/>
  <c r="J591" i="11"/>
  <c r="H591" i="11"/>
  <c r="L591" i="11"/>
  <c r="H342" i="11"/>
  <c r="J342" i="11"/>
  <c r="J401" i="1"/>
  <c r="H852" i="1"/>
  <c r="F56" i="14"/>
  <c r="D934" i="1"/>
  <c r="K125" i="13"/>
  <c r="K137" i="13"/>
  <c r="K141" i="13"/>
  <c r="K150" i="13"/>
  <c r="D468" i="13"/>
  <c r="F934" i="1"/>
  <c r="H934" i="1"/>
  <c r="H56" i="14"/>
  <c r="J56" i="14"/>
  <c r="L56" i="14"/>
  <c r="M56" i="14"/>
  <c r="A95" i="2"/>
  <c r="C95" i="2"/>
  <c r="B95" i="2"/>
  <c r="D95" i="2"/>
  <c r="E95" i="2"/>
  <c r="J368" i="6"/>
  <c r="A538" i="6"/>
  <c r="C538" i="6"/>
  <c r="E538" i="6"/>
  <c r="G538" i="6"/>
  <c r="I538" i="6"/>
  <c r="A369" i="6"/>
  <c r="E369" i="6"/>
  <c r="C369" i="6"/>
  <c r="G369" i="6"/>
  <c r="A136" i="4"/>
  <c r="C136" i="4"/>
  <c r="K136" i="4"/>
  <c r="E136" i="4"/>
  <c r="B136" i="4"/>
  <c r="D136" i="4"/>
  <c r="F136" i="4"/>
  <c r="G136" i="4"/>
  <c r="I244" i="1"/>
  <c r="C95" i="3"/>
  <c r="E95" i="3"/>
  <c r="D95" i="3"/>
  <c r="A96" i="3"/>
  <c r="B96" i="3"/>
  <c r="F95" i="3"/>
  <c r="G95" i="3"/>
  <c r="C244" i="1"/>
  <c r="A74" i="10"/>
  <c r="C74" i="10"/>
  <c r="B74" i="10"/>
  <c r="D74" i="10"/>
  <c r="E74" i="10"/>
  <c r="F74" i="10"/>
  <c r="C317" i="1"/>
  <c r="A108" i="15"/>
  <c r="C108" i="15"/>
  <c r="E317" i="1"/>
  <c r="K317" i="1"/>
  <c r="I853" i="1"/>
  <c r="C57" i="14"/>
  <c r="I321" i="6"/>
  <c r="M504" i="1"/>
  <c r="A463" i="5"/>
  <c r="C463" i="5"/>
  <c r="E463" i="5"/>
  <c r="H463" i="5"/>
  <c r="A509" i="5"/>
  <c r="C509" i="5"/>
  <c r="E509" i="5"/>
  <c r="H509" i="5"/>
  <c r="E412" i="5"/>
  <c r="A563" i="5"/>
  <c r="C563" i="5"/>
  <c r="E563" i="5"/>
  <c r="A367" i="5"/>
  <c r="G367" i="5"/>
  <c r="G563" i="5"/>
  <c r="I563" i="5"/>
  <c r="L563" i="5"/>
  <c r="A608" i="5"/>
  <c r="C608" i="5"/>
  <c r="E608" i="5"/>
  <c r="G608" i="5"/>
  <c r="I608" i="5"/>
  <c r="L608" i="5"/>
  <c r="A661" i="5"/>
  <c r="C368" i="5"/>
  <c r="I661" i="5"/>
  <c r="C661" i="5"/>
  <c r="E367" i="5"/>
  <c r="E661" i="5"/>
  <c r="G661" i="5"/>
  <c r="I368" i="5"/>
  <c r="K661" i="5"/>
  <c r="G412" i="5"/>
  <c r="I412" i="5"/>
  <c r="E402" i="1"/>
  <c r="A321" i="6"/>
  <c r="C321" i="6"/>
  <c r="E321" i="6"/>
  <c r="G321" i="6"/>
  <c r="K504" i="1"/>
  <c r="A440" i="11"/>
  <c r="C440" i="11"/>
  <c r="E440" i="11"/>
  <c r="H440" i="11"/>
  <c r="A394" i="11"/>
  <c r="C394" i="11"/>
  <c r="E394" i="11"/>
  <c r="H394" i="11"/>
  <c r="E343" i="11"/>
  <c r="A494" i="11"/>
  <c r="C494" i="11"/>
  <c r="E494" i="11"/>
  <c r="A298" i="11"/>
  <c r="G298" i="11"/>
  <c r="G494" i="11"/>
  <c r="A592" i="11"/>
  <c r="I592" i="11"/>
  <c r="K592" i="11"/>
  <c r="I299" i="11"/>
  <c r="I494" i="11"/>
  <c r="L494" i="11"/>
  <c r="A539" i="11"/>
  <c r="C539" i="11"/>
  <c r="E539" i="11"/>
  <c r="G539" i="11"/>
  <c r="I539" i="11"/>
  <c r="L539" i="11"/>
  <c r="E298" i="11"/>
  <c r="E592" i="11"/>
  <c r="G592" i="11"/>
  <c r="G343" i="11"/>
  <c r="I343" i="11"/>
  <c r="I402" i="1"/>
  <c r="G853" i="1"/>
  <c r="E57" i="14"/>
  <c r="A935" i="1"/>
  <c r="B935" i="1"/>
  <c r="C935" i="1"/>
  <c r="A469" i="13"/>
  <c r="F142" i="13"/>
  <c r="F151" i="13"/>
  <c r="C469" i="13"/>
  <c r="E935" i="1"/>
  <c r="G935" i="1"/>
  <c r="G57" i="14"/>
  <c r="I57" i="14"/>
  <c r="A504" i="1"/>
  <c r="E504" i="1"/>
  <c r="G504" i="1"/>
  <c r="I504" i="1"/>
  <c r="E853" i="1"/>
  <c r="I95" i="3"/>
  <c r="K95" i="3"/>
  <c r="G244" i="1"/>
  <c r="L853" i="1"/>
  <c r="C183" i="7"/>
  <c r="N56" i="14"/>
  <c r="F95" i="2"/>
  <c r="G95" i="2"/>
  <c r="H95" i="2"/>
  <c r="K368" i="6"/>
  <c r="B538" i="6"/>
  <c r="D538" i="6"/>
  <c r="F538" i="6"/>
  <c r="B504" i="1"/>
  <c r="F504" i="1"/>
  <c r="H538" i="6"/>
  <c r="H504" i="1"/>
  <c r="J538" i="6"/>
  <c r="J504" i="1"/>
  <c r="F853" i="1"/>
  <c r="H136" i="4"/>
  <c r="J244" i="1"/>
  <c r="H95" i="3"/>
  <c r="D244" i="1"/>
  <c r="G74" i="10"/>
  <c r="H74" i="10"/>
  <c r="I74" i="10"/>
  <c r="J74" i="10"/>
  <c r="D317" i="1"/>
  <c r="B108" i="15"/>
  <c r="D108" i="15"/>
  <c r="F317" i="1"/>
  <c r="F108" i="15"/>
  <c r="H317" i="1"/>
  <c r="L317" i="1"/>
  <c r="J853" i="1"/>
  <c r="J95" i="3"/>
  <c r="L95" i="3"/>
  <c r="H244" i="1"/>
  <c r="M853" i="1"/>
  <c r="D183" i="7"/>
  <c r="E183" i="7"/>
  <c r="A183" i="7"/>
  <c r="F183" i="7"/>
  <c r="A514" i="13"/>
  <c r="B514" i="13"/>
  <c r="C514" i="13"/>
  <c r="G469" i="13"/>
  <c r="F514" i="13"/>
  <c r="I514" i="13"/>
  <c r="D514" i="13"/>
  <c r="B469" i="13"/>
  <c r="H469" i="13"/>
  <c r="G514" i="13"/>
  <c r="J514" i="13"/>
  <c r="K514" i="13"/>
  <c r="G183" i="7"/>
  <c r="H183" i="7"/>
  <c r="C231" i="7"/>
  <c r="D231" i="7"/>
  <c r="E231" i="7"/>
  <c r="F231" i="7"/>
  <c r="G231" i="7"/>
  <c r="H231" i="7"/>
  <c r="I231" i="7"/>
  <c r="C504" i="1"/>
  <c r="I183" i="7"/>
  <c r="D504" i="1"/>
  <c r="J183" i="7"/>
  <c r="K231" i="7"/>
  <c r="K57" i="14"/>
  <c r="D57" i="14"/>
  <c r="B369" i="6"/>
  <c r="F369" i="6"/>
  <c r="D369" i="6"/>
  <c r="H369" i="6"/>
  <c r="J321" i="6"/>
  <c r="N504" i="1"/>
  <c r="B463" i="5"/>
  <c r="D463" i="5"/>
  <c r="F463" i="5"/>
  <c r="I463" i="5"/>
  <c r="B509" i="5"/>
  <c r="D509" i="5"/>
  <c r="F509" i="5"/>
  <c r="I509" i="5"/>
  <c r="F412" i="5"/>
  <c r="B563" i="5"/>
  <c r="D368" i="5"/>
  <c r="H174" i="5"/>
  <c r="H186" i="5"/>
  <c r="D563" i="5"/>
  <c r="B367" i="5"/>
  <c r="F367" i="5"/>
  <c r="F563" i="5"/>
  <c r="H367" i="5"/>
  <c r="H563" i="5"/>
  <c r="J563" i="5"/>
  <c r="M563" i="5"/>
  <c r="B608" i="5"/>
  <c r="D608" i="5"/>
  <c r="F608" i="5"/>
  <c r="H608" i="5"/>
  <c r="J608" i="5"/>
  <c r="M608" i="5"/>
  <c r="B661" i="5"/>
  <c r="J661" i="5"/>
  <c r="D661" i="5"/>
  <c r="F661" i="5"/>
  <c r="H661" i="5"/>
  <c r="J368" i="5"/>
  <c r="L661" i="5"/>
  <c r="H412" i="5"/>
  <c r="J412" i="5"/>
  <c r="F402" i="1"/>
  <c r="B321" i="6"/>
  <c r="D321" i="6"/>
  <c r="F321" i="6"/>
  <c r="H321" i="6"/>
  <c r="L504" i="1"/>
  <c r="B440" i="11"/>
  <c r="D440" i="11"/>
  <c r="F440" i="11"/>
  <c r="I440" i="11"/>
  <c r="B394" i="11"/>
  <c r="D394" i="11"/>
  <c r="F394" i="11"/>
  <c r="I394" i="11"/>
  <c r="F343" i="11"/>
  <c r="B494" i="11"/>
  <c r="D494" i="11"/>
  <c r="F494" i="11"/>
  <c r="H494" i="11"/>
  <c r="J494" i="11"/>
  <c r="M494" i="11"/>
  <c r="B539" i="11"/>
  <c r="D539" i="11"/>
  <c r="F539" i="11"/>
  <c r="H539" i="11"/>
  <c r="J539" i="11"/>
  <c r="M539" i="11"/>
  <c r="B298" i="11"/>
  <c r="F298" i="11"/>
  <c r="B592" i="11"/>
  <c r="F592" i="11"/>
  <c r="J592" i="11"/>
  <c r="H592" i="11"/>
  <c r="L592" i="11"/>
  <c r="H343" i="11"/>
  <c r="J343" i="11"/>
  <c r="J402" i="1"/>
  <c r="H853" i="1"/>
  <c r="F57" i="14"/>
  <c r="D935" i="1"/>
  <c r="K142" i="13"/>
  <c r="K151" i="13"/>
  <c r="D469" i="13"/>
  <c r="F935" i="1"/>
  <c r="H935" i="1"/>
  <c r="H57" i="14"/>
  <c r="J57" i="14"/>
  <c r="L57" i="14"/>
  <c r="M57" i="14"/>
  <c r="A96" i="2"/>
  <c r="C96" i="2"/>
  <c r="B96" i="2"/>
  <c r="D96" i="2"/>
  <c r="E96" i="2"/>
  <c r="J369" i="6"/>
  <c r="A539" i="6"/>
  <c r="C539" i="6"/>
  <c r="E539" i="6"/>
  <c r="G539" i="6"/>
  <c r="I539" i="6"/>
  <c r="A370" i="6"/>
  <c r="E370" i="6"/>
  <c r="C370" i="6"/>
  <c r="G370" i="6"/>
  <c r="A137" i="4"/>
  <c r="H70" i="4"/>
  <c r="H78" i="4"/>
  <c r="L106" i="4"/>
  <c r="C110" i="4"/>
  <c r="C111" i="4"/>
  <c r="C112" i="4"/>
  <c r="C113" i="4"/>
  <c r="C114" i="4"/>
  <c r="G94" i="4"/>
  <c r="C137" i="4"/>
  <c r="K137" i="4"/>
  <c r="E137" i="4"/>
  <c r="B137" i="4"/>
  <c r="D137" i="4"/>
  <c r="F137" i="4"/>
  <c r="G137" i="4"/>
  <c r="I245" i="1"/>
  <c r="C96" i="3"/>
  <c r="E96" i="3"/>
  <c r="D96" i="3"/>
  <c r="A97" i="3"/>
  <c r="B97" i="3"/>
  <c r="F96" i="3"/>
  <c r="G96" i="3"/>
  <c r="C245" i="1"/>
  <c r="A75" i="10"/>
  <c r="C75" i="10"/>
  <c r="B75" i="10"/>
  <c r="D75" i="10"/>
  <c r="E75" i="10"/>
  <c r="F75" i="10"/>
  <c r="C318" i="1"/>
  <c r="A109" i="15"/>
  <c r="C109" i="15"/>
  <c r="E318" i="1"/>
  <c r="K318" i="1"/>
  <c r="I854" i="1"/>
  <c r="C58" i="14"/>
  <c r="I322" i="6"/>
  <c r="M505" i="1"/>
  <c r="A464" i="5"/>
  <c r="C464" i="5"/>
  <c r="E464" i="5"/>
  <c r="H464" i="5"/>
  <c r="A510" i="5"/>
  <c r="C510" i="5"/>
  <c r="E510" i="5"/>
  <c r="H510" i="5"/>
  <c r="E413" i="5"/>
  <c r="A564" i="5"/>
  <c r="C564" i="5"/>
  <c r="E564" i="5"/>
  <c r="A368" i="5"/>
  <c r="G368" i="5"/>
  <c r="G564" i="5"/>
  <c r="I564" i="5"/>
  <c r="L564" i="5"/>
  <c r="A609" i="5"/>
  <c r="C609" i="5"/>
  <c r="E609" i="5"/>
  <c r="G609" i="5"/>
  <c r="I609" i="5"/>
  <c r="L609" i="5"/>
  <c r="A662" i="5"/>
  <c r="C369" i="5"/>
  <c r="I662" i="5"/>
  <c r="C662" i="5"/>
  <c r="E368" i="5"/>
  <c r="E662" i="5"/>
  <c r="G662" i="5"/>
  <c r="I369" i="5"/>
  <c r="K662" i="5"/>
  <c r="G413" i="5"/>
  <c r="I413" i="5"/>
  <c r="E403" i="1"/>
  <c r="A322" i="6"/>
  <c r="C322" i="6"/>
  <c r="E322" i="6"/>
  <c r="G322" i="6"/>
  <c r="K505" i="1"/>
  <c r="A441" i="11"/>
  <c r="C441" i="11"/>
  <c r="E441" i="11"/>
  <c r="H441" i="11"/>
  <c r="A395" i="11"/>
  <c r="C395" i="11"/>
  <c r="E395" i="11"/>
  <c r="H395" i="11"/>
  <c r="E344" i="11"/>
  <c r="A495" i="11"/>
  <c r="C495" i="11"/>
  <c r="E495" i="11"/>
  <c r="A299" i="11"/>
  <c r="G299" i="11"/>
  <c r="G495" i="11"/>
  <c r="A593" i="11"/>
  <c r="I593" i="11"/>
  <c r="K593" i="11"/>
  <c r="I300" i="11"/>
  <c r="I495" i="11"/>
  <c r="L495" i="11"/>
  <c r="A540" i="11"/>
  <c r="C540" i="11"/>
  <c r="E540" i="11"/>
  <c r="G540" i="11"/>
  <c r="I540" i="11"/>
  <c r="L540" i="11"/>
  <c r="E299" i="11"/>
  <c r="E593" i="11"/>
  <c r="G593" i="11"/>
  <c r="G344" i="11"/>
  <c r="I344" i="11"/>
  <c r="I403" i="1"/>
  <c r="G854" i="1"/>
  <c r="E58" i="14"/>
  <c r="A936" i="1"/>
  <c r="B936" i="1"/>
  <c r="C936" i="1"/>
  <c r="A470" i="13"/>
  <c r="F143" i="13"/>
  <c r="F152" i="13"/>
  <c r="C470" i="13"/>
  <c r="E936" i="1"/>
  <c r="G936" i="1"/>
  <c r="G58" i="14"/>
  <c r="I58" i="14"/>
  <c r="A505" i="1"/>
  <c r="E505" i="1"/>
  <c r="G505" i="1"/>
  <c r="I505" i="1"/>
  <c r="E854" i="1"/>
  <c r="I96" i="3"/>
  <c r="K96" i="3"/>
  <c r="G245" i="1"/>
  <c r="L854" i="1"/>
  <c r="C184" i="7"/>
  <c r="N57" i="14"/>
  <c r="F96" i="2"/>
  <c r="G96" i="2"/>
  <c r="H96" i="2"/>
  <c r="K369" i="6"/>
  <c r="B539" i="6"/>
  <c r="D539" i="6"/>
  <c r="F539" i="6"/>
  <c r="B505" i="1"/>
  <c r="F505" i="1"/>
  <c r="H539" i="6"/>
  <c r="H505" i="1"/>
  <c r="J539" i="6"/>
  <c r="J505" i="1"/>
  <c r="F854" i="1"/>
  <c r="H137" i="4"/>
  <c r="J245" i="1"/>
  <c r="H96" i="3"/>
  <c r="D245" i="1"/>
  <c r="G75" i="10"/>
  <c r="H75" i="10"/>
  <c r="I75" i="10"/>
  <c r="J75" i="10"/>
  <c r="D318" i="1"/>
  <c r="B109" i="15"/>
  <c r="D109" i="15"/>
  <c r="F318" i="1"/>
  <c r="F109" i="15"/>
  <c r="H318" i="1"/>
  <c r="L318" i="1"/>
  <c r="J854" i="1"/>
  <c r="J96" i="3"/>
  <c r="L96" i="3"/>
  <c r="H245" i="1"/>
  <c r="M854" i="1"/>
  <c r="D184" i="7"/>
  <c r="E184" i="7"/>
  <c r="A184" i="7"/>
  <c r="F184" i="7"/>
  <c r="A515" i="13"/>
  <c r="B515" i="13"/>
  <c r="C515" i="13"/>
  <c r="G470" i="13"/>
  <c r="F515" i="13"/>
  <c r="I515" i="13"/>
  <c r="D515" i="13"/>
  <c r="B470" i="13"/>
  <c r="H470" i="13"/>
  <c r="G515" i="13"/>
  <c r="J515" i="13"/>
  <c r="K515" i="13"/>
  <c r="G184" i="7"/>
  <c r="H184" i="7"/>
  <c r="C232" i="7"/>
  <c r="D232" i="7"/>
  <c r="E232" i="7"/>
  <c r="F232" i="7"/>
  <c r="G232" i="7"/>
  <c r="H232" i="7"/>
  <c r="I232" i="7"/>
  <c r="C505" i="1"/>
  <c r="I184" i="7"/>
  <c r="D505" i="1"/>
  <c r="J184" i="7"/>
  <c r="K232" i="7"/>
  <c r="K58" i="14"/>
  <c r="D58" i="14"/>
  <c r="B370" i="6"/>
  <c r="F370" i="6"/>
  <c r="D370" i="6"/>
  <c r="H370" i="6"/>
  <c r="J322" i="6"/>
  <c r="N505" i="1"/>
  <c r="B464" i="5"/>
  <c r="D464" i="5"/>
  <c r="F464" i="5"/>
  <c r="I464" i="5"/>
  <c r="B510" i="5"/>
  <c r="D510" i="5"/>
  <c r="F510" i="5"/>
  <c r="I510" i="5"/>
  <c r="F413" i="5"/>
  <c r="B564" i="5"/>
  <c r="D369" i="5"/>
  <c r="D564" i="5"/>
  <c r="B368" i="5"/>
  <c r="F368" i="5"/>
  <c r="F564" i="5"/>
  <c r="H368" i="5"/>
  <c r="H564" i="5"/>
  <c r="J564" i="5"/>
  <c r="M564" i="5"/>
  <c r="B609" i="5"/>
  <c r="D609" i="5"/>
  <c r="F609" i="5"/>
  <c r="H609" i="5"/>
  <c r="J609" i="5"/>
  <c r="M609" i="5"/>
  <c r="B662" i="5"/>
  <c r="J662" i="5"/>
  <c r="D662" i="5"/>
  <c r="F662" i="5"/>
  <c r="H662" i="5"/>
  <c r="J369" i="5"/>
  <c r="L662" i="5"/>
  <c r="H413" i="5"/>
  <c r="J413" i="5"/>
  <c r="F403" i="1"/>
  <c r="B322" i="6"/>
  <c r="D322" i="6"/>
  <c r="F322" i="6"/>
  <c r="H322" i="6"/>
  <c r="L505" i="1"/>
  <c r="B441" i="11"/>
  <c r="D441" i="11"/>
  <c r="F441" i="11"/>
  <c r="I441" i="11"/>
  <c r="B395" i="11"/>
  <c r="D395" i="11"/>
  <c r="F395" i="11"/>
  <c r="I395" i="11"/>
  <c r="F344" i="11"/>
  <c r="B495" i="11"/>
  <c r="D495" i="11"/>
  <c r="F495" i="11"/>
  <c r="H495" i="11"/>
  <c r="J495" i="11"/>
  <c r="M495" i="11"/>
  <c r="B540" i="11"/>
  <c r="D540" i="11"/>
  <c r="F540" i="11"/>
  <c r="H540" i="11"/>
  <c r="J540" i="11"/>
  <c r="M540" i="11"/>
  <c r="B593" i="11"/>
  <c r="F593" i="11"/>
  <c r="J593" i="11"/>
  <c r="H593" i="11"/>
  <c r="L593" i="11"/>
  <c r="H344" i="11"/>
  <c r="J344" i="11"/>
  <c r="J403" i="1"/>
  <c r="H854" i="1"/>
  <c r="F58" i="14"/>
  <c r="D936" i="1"/>
  <c r="K143" i="13"/>
  <c r="K152" i="13"/>
  <c r="D470" i="13"/>
  <c r="F936" i="1"/>
  <c r="H936" i="1"/>
  <c r="H58" i="14"/>
  <c r="J58" i="14"/>
  <c r="L58" i="14"/>
  <c r="M58" i="14"/>
  <c r="A97" i="2"/>
  <c r="C97" i="2"/>
  <c r="B97" i="2"/>
  <c r="D97" i="2"/>
  <c r="E97" i="2"/>
  <c r="J370" i="6"/>
  <c r="A540" i="6"/>
  <c r="C540" i="6"/>
  <c r="E540" i="6"/>
  <c r="G540" i="6"/>
  <c r="I540" i="6"/>
  <c r="A371" i="6"/>
  <c r="E371" i="6"/>
  <c r="C371" i="6"/>
  <c r="G371" i="6"/>
  <c r="A138" i="4"/>
  <c r="C138" i="4"/>
  <c r="K138" i="4"/>
  <c r="E138" i="4"/>
  <c r="B138" i="4"/>
  <c r="D138" i="4"/>
  <c r="F138" i="4"/>
  <c r="G138" i="4"/>
  <c r="I246" i="1"/>
  <c r="C97" i="3"/>
  <c r="E97" i="3"/>
  <c r="D97" i="3"/>
  <c r="A98" i="3"/>
  <c r="B98" i="3"/>
  <c r="F97" i="3"/>
  <c r="G97" i="3"/>
  <c r="C246" i="1"/>
  <c r="A76" i="10"/>
  <c r="C76" i="10"/>
  <c r="B76" i="10"/>
  <c r="D76" i="10"/>
  <c r="E76" i="10"/>
  <c r="F76" i="10"/>
  <c r="C319" i="1"/>
  <c r="A110" i="15"/>
  <c r="C110" i="15"/>
  <c r="E319" i="1"/>
  <c r="K319" i="1"/>
  <c r="I855" i="1"/>
  <c r="C59" i="14"/>
  <c r="I323" i="6"/>
  <c r="M506" i="1"/>
  <c r="A465" i="5"/>
  <c r="C465" i="5"/>
  <c r="E465" i="5"/>
  <c r="H465" i="5"/>
  <c r="A511" i="5"/>
  <c r="C511" i="5"/>
  <c r="E511" i="5"/>
  <c r="H511" i="5"/>
  <c r="E414" i="5"/>
  <c r="A565" i="5"/>
  <c r="C565" i="5"/>
  <c r="E565" i="5"/>
  <c r="A369" i="5"/>
  <c r="G369" i="5"/>
  <c r="G565" i="5"/>
  <c r="I565" i="5"/>
  <c r="L565" i="5"/>
  <c r="A610" i="5"/>
  <c r="C610" i="5"/>
  <c r="E610" i="5"/>
  <c r="G610" i="5"/>
  <c r="I610" i="5"/>
  <c r="L610" i="5"/>
  <c r="A663" i="5"/>
  <c r="C370" i="5"/>
  <c r="I663" i="5"/>
  <c r="C663" i="5"/>
  <c r="E369" i="5"/>
  <c r="E663" i="5"/>
  <c r="G663" i="5"/>
  <c r="I370" i="5"/>
  <c r="K663" i="5"/>
  <c r="G414" i="5"/>
  <c r="I414" i="5"/>
  <c r="E404" i="1"/>
  <c r="A323" i="6"/>
  <c r="C323" i="6"/>
  <c r="E323" i="6"/>
  <c r="G323" i="6"/>
  <c r="K506" i="1"/>
  <c r="A442" i="11"/>
  <c r="C442" i="11"/>
  <c r="E442" i="11"/>
  <c r="H442" i="11"/>
  <c r="A396" i="11"/>
  <c r="C396" i="11"/>
  <c r="E396" i="11"/>
  <c r="H396" i="11"/>
  <c r="E345" i="11"/>
  <c r="A496" i="11"/>
  <c r="C496" i="11"/>
  <c r="E496" i="11"/>
  <c r="A300" i="11"/>
  <c r="G300" i="11"/>
  <c r="G496" i="11"/>
  <c r="A594" i="11"/>
  <c r="I594" i="11"/>
  <c r="K594" i="11"/>
  <c r="I301" i="11"/>
  <c r="I496" i="11"/>
  <c r="L496" i="11"/>
  <c r="A541" i="11"/>
  <c r="C541" i="11"/>
  <c r="E541" i="11"/>
  <c r="G541" i="11"/>
  <c r="I541" i="11"/>
  <c r="L541" i="11"/>
  <c r="E300" i="11"/>
  <c r="E594" i="11"/>
  <c r="G594" i="11"/>
  <c r="G345" i="11"/>
  <c r="I345" i="11"/>
  <c r="I404" i="1"/>
  <c r="G855" i="1"/>
  <c r="E59" i="14"/>
  <c r="A937" i="1"/>
  <c r="B937" i="1"/>
  <c r="C937" i="1"/>
  <c r="A471" i="13"/>
  <c r="F153" i="13"/>
  <c r="C471" i="13"/>
  <c r="E937" i="1"/>
  <c r="G937" i="1"/>
  <c r="G59" i="14"/>
  <c r="I59" i="14"/>
  <c r="A506" i="1"/>
  <c r="E506" i="1"/>
  <c r="G506" i="1"/>
  <c r="I506" i="1"/>
  <c r="E855" i="1"/>
  <c r="I97" i="3"/>
  <c r="K97" i="3"/>
  <c r="G246" i="1"/>
  <c r="L855" i="1"/>
  <c r="C185" i="7"/>
  <c r="N58" i="14"/>
  <c r="F97" i="2"/>
  <c r="G97" i="2"/>
  <c r="H97" i="2"/>
  <c r="K370" i="6"/>
  <c r="B540" i="6"/>
  <c r="D540" i="6"/>
  <c r="F540" i="6"/>
  <c r="B506" i="1"/>
  <c r="F506" i="1"/>
  <c r="H540" i="6"/>
  <c r="H506" i="1"/>
  <c r="J540" i="6"/>
  <c r="J506" i="1"/>
  <c r="F855" i="1"/>
  <c r="H138" i="4"/>
  <c r="J246" i="1"/>
  <c r="H97" i="3"/>
  <c r="D246" i="1"/>
  <c r="G76" i="10"/>
  <c r="H76" i="10"/>
  <c r="I76" i="10"/>
  <c r="J76" i="10"/>
  <c r="D319" i="1"/>
  <c r="B110" i="15"/>
  <c r="D110" i="15"/>
  <c r="F319" i="1"/>
  <c r="F110" i="15"/>
  <c r="H319" i="1"/>
  <c r="L319" i="1"/>
  <c r="J855" i="1"/>
  <c r="J97" i="3"/>
  <c r="L97" i="3"/>
  <c r="H246" i="1"/>
  <c r="M855" i="1"/>
  <c r="D185" i="7"/>
  <c r="E185" i="7"/>
  <c r="A185" i="7"/>
  <c r="F185" i="7"/>
  <c r="A516" i="13"/>
  <c r="B516" i="13"/>
  <c r="C516" i="13"/>
  <c r="G471" i="13"/>
  <c r="F516" i="13"/>
  <c r="I516" i="13"/>
  <c r="D516" i="13"/>
  <c r="B471" i="13"/>
  <c r="H471" i="13"/>
  <c r="G516" i="13"/>
  <c r="J516" i="13"/>
  <c r="K516" i="13"/>
  <c r="G185" i="7"/>
  <c r="H185" i="7"/>
  <c r="C233" i="7"/>
  <c r="D233" i="7"/>
  <c r="E233" i="7"/>
  <c r="F233" i="7"/>
  <c r="G233" i="7"/>
  <c r="H233" i="7"/>
  <c r="I233" i="7"/>
  <c r="C506" i="1"/>
  <c r="I185" i="7"/>
  <c r="D506" i="1"/>
  <c r="J185" i="7"/>
  <c r="K233" i="7"/>
  <c r="K59" i="14"/>
  <c r="D59" i="14"/>
  <c r="B371" i="6"/>
  <c r="F371" i="6"/>
  <c r="D371" i="6"/>
  <c r="H371" i="6"/>
  <c r="J323" i="6"/>
  <c r="N506" i="1"/>
  <c r="B465" i="5"/>
  <c r="D465" i="5"/>
  <c r="F465" i="5"/>
  <c r="I465" i="5"/>
  <c r="B511" i="5"/>
  <c r="D511" i="5"/>
  <c r="F511" i="5"/>
  <c r="I511" i="5"/>
  <c r="F414" i="5"/>
  <c r="B565" i="5"/>
  <c r="D370" i="5"/>
  <c r="D565" i="5"/>
  <c r="B369" i="5"/>
  <c r="F369" i="5"/>
  <c r="F565" i="5"/>
  <c r="H369" i="5"/>
  <c r="H565" i="5"/>
  <c r="J565" i="5"/>
  <c r="M565" i="5"/>
  <c r="B610" i="5"/>
  <c r="D610" i="5"/>
  <c r="F610" i="5"/>
  <c r="H610" i="5"/>
  <c r="J610" i="5"/>
  <c r="M610" i="5"/>
  <c r="B663" i="5"/>
  <c r="J663" i="5"/>
  <c r="D663" i="5"/>
  <c r="F663" i="5"/>
  <c r="H663" i="5"/>
  <c r="J370" i="5"/>
  <c r="L663" i="5"/>
  <c r="H414" i="5"/>
  <c r="J414" i="5"/>
  <c r="F404" i="1"/>
  <c r="B323" i="6"/>
  <c r="D323" i="6"/>
  <c r="F323" i="6"/>
  <c r="H323" i="6"/>
  <c r="L506" i="1"/>
  <c r="B442" i="11"/>
  <c r="D442" i="11"/>
  <c r="F442" i="11"/>
  <c r="I442" i="11"/>
  <c r="B396" i="11"/>
  <c r="D396" i="11"/>
  <c r="F396" i="11"/>
  <c r="I396" i="11"/>
  <c r="F345" i="11"/>
  <c r="B496" i="11"/>
  <c r="D496" i="11"/>
  <c r="F496" i="11"/>
  <c r="H496" i="11"/>
  <c r="J496" i="11"/>
  <c r="M496" i="11"/>
  <c r="B541" i="11"/>
  <c r="D541" i="11"/>
  <c r="F541" i="11"/>
  <c r="H541" i="11"/>
  <c r="J541" i="11"/>
  <c r="M541" i="11"/>
  <c r="B299" i="11"/>
  <c r="B300" i="11"/>
  <c r="F300" i="11"/>
  <c r="B594" i="11"/>
  <c r="F594" i="11"/>
  <c r="J594" i="11"/>
  <c r="H594" i="11"/>
  <c r="L594" i="11"/>
  <c r="H345" i="11"/>
  <c r="J345" i="11"/>
  <c r="J404" i="1"/>
  <c r="H855" i="1"/>
  <c r="F59" i="14"/>
  <c r="D937" i="1"/>
  <c r="K153" i="13"/>
  <c r="D471" i="13"/>
  <c r="F937" i="1"/>
  <c r="H937" i="1"/>
  <c r="H59" i="14"/>
  <c r="J59" i="14"/>
  <c r="L59" i="14"/>
  <c r="M59" i="14"/>
  <c r="A98" i="2"/>
  <c r="C98" i="2"/>
  <c r="B98" i="2"/>
  <c r="D98" i="2"/>
  <c r="E98" i="2"/>
  <c r="J371" i="6"/>
  <c r="A541" i="6"/>
  <c r="C541" i="6"/>
  <c r="E541" i="6"/>
  <c r="G541" i="6"/>
  <c r="I541" i="6"/>
  <c r="A372" i="6"/>
  <c r="E372" i="6"/>
  <c r="C372" i="6"/>
  <c r="G372" i="6"/>
  <c r="A139" i="4"/>
  <c r="C139" i="4"/>
  <c r="K139" i="4"/>
  <c r="E139" i="4"/>
  <c r="B139" i="4"/>
  <c r="D139" i="4"/>
  <c r="F139" i="4"/>
  <c r="G139" i="4"/>
  <c r="I247" i="1"/>
  <c r="C98" i="3"/>
  <c r="E98" i="3"/>
  <c r="D98" i="3"/>
  <c r="A99" i="3"/>
  <c r="B99" i="3"/>
  <c r="F98" i="3"/>
  <c r="G98" i="3"/>
  <c r="C247" i="1"/>
  <c r="A77" i="10"/>
  <c r="C77" i="10"/>
  <c r="B77" i="10"/>
  <c r="D77" i="10"/>
  <c r="E77" i="10"/>
  <c r="F77" i="10"/>
  <c r="C320" i="1"/>
  <c r="A111" i="15"/>
  <c r="C111" i="15"/>
  <c r="E320" i="1"/>
  <c r="K320" i="1"/>
  <c r="I856" i="1"/>
  <c r="C60" i="14"/>
  <c r="I324" i="6"/>
  <c r="M507" i="1"/>
  <c r="A466" i="5"/>
  <c r="C466" i="5"/>
  <c r="E466" i="5"/>
  <c r="H466" i="5"/>
  <c r="A512" i="5"/>
  <c r="C512" i="5"/>
  <c r="E512" i="5"/>
  <c r="H512" i="5"/>
  <c r="E415" i="5"/>
  <c r="A566" i="5"/>
  <c r="C566" i="5"/>
  <c r="E566" i="5"/>
  <c r="G566" i="5"/>
  <c r="I566" i="5"/>
  <c r="L566" i="5"/>
  <c r="A611" i="5"/>
  <c r="C611" i="5"/>
  <c r="E611" i="5"/>
  <c r="G611" i="5"/>
  <c r="I611" i="5"/>
  <c r="L611" i="5"/>
  <c r="A664" i="5"/>
  <c r="C371" i="5"/>
  <c r="I664" i="5"/>
  <c r="C664" i="5"/>
  <c r="A370" i="5"/>
  <c r="E370" i="5"/>
  <c r="E664" i="5"/>
  <c r="G664" i="5"/>
  <c r="I371" i="5"/>
  <c r="K664" i="5"/>
  <c r="G415" i="5"/>
  <c r="I415" i="5"/>
  <c r="E405" i="1"/>
  <c r="A324" i="6"/>
  <c r="C324" i="6"/>
  <c r="E324" i="6"/>
  <c r="G324" i="6"/>
  <c r="K507" i="1"/>
  <c r="A443" i="11"/>
  <c r="C443" i="11"/>
  <c r="E443" i="11"/>
  <c r="H443" i="11"/>
  <c r="A397" i="11"/>
  <c r="C397" i="11"/>
  <c r="E397" i="11"/>
  <c r="H397" i="11"/>
  <c r="E346" i="11"/>
  <c r="A497" i="11"/>
  <c r="C497" i="11"/>
  <c r="E497" i="11"/>
  <c r="G497" i="11"/>
  <c r="A595" i="11"/>
  <c r="I595" i="11"/>
  <c r="K595" i="11"/>
  <c r="I302" i="11"/>
  <c r="I497" i="11"/>
  <c r="L497" i="11"/>
  <c r="A542" i="11"/>
  <c r="C542" i="11"/>
  <c r="E542" i="11"/>
  <c r="G542" i="11"/>
  <c r="I542" i="11"/>
  <c r="L542" i="11"/>
  <c r="A301" i="11"/>
  <c r="E301" i="11"/>
  <c r="E595" i="11"/>
  <c r="G595" i="11"/>
  <c r="G346" i="11"/>
  <c r="I346" i="11"/>
  <c r="I405" i="1"/>
  <c r="G856" i="1"/>
  <c r="E60" i="14"/>
  <c r="A938" i="1"/>
  <c r="B938" i="1"/>
  <c r="C938" i="1"/>
  <c r="A472" i="13"/>
  <c r="F154" i="13"/>
  <c r="C472" i="13"/>
  <c r="E938" i="1"/>
  <c r="G938" i="1"/>
  <c r="G60" i="14"/>
  <c r="I60" i="14"/>
  <c r="A507" i="1"/>
  <c r="E507" i="1"/>
  <c r="G507" i="1"/>
  <c r="I507" i="1"/>
  <c r="E856" i="1"/>
  <c r="I98" i="3"/>
  <c r="K98" i="3"/>
  <c r="G247" i="1"/>
  <c r="L856" i="1"/>
  <c r="C186" i="7"/>
  <c r="N59" i="14"/>
  <c r="F98" i="2"/>
  <c r="G98" i="2"/>
  <c r="H98" i="2"/>
  <c r="K371" i="6"/>
  <c r="B541" i="6"/>
  <c r="D541" i="6"/>
  <c r="F541" i="6"/>
  <c r="B507" i="1"/>
  <c r="F507" i="1"/>
  <c r="H541" i="6"/>
  <c r="H507" i="1"/>
  <c r="J541" i="6"/>
  <c r="J507" i="1"/>
  <c r="F856" i="1"/>
  <c r="H139" i="4"/>
  <c r="J247" i="1"/>
  <c r="H98" i="3"/>
  <c r="D247" i="1"/>
  <c r="G77" i="10"/>
  <c r="H77" i="10"/>
  <c r="I77" i="10"/>
  <c r="J77" i="10"/>
  <c r="D320" i="1"/>
  <c r="B111" i="15"/>
  <c r="D111" i="15"/>
  <c r="F320" i="1"/>
  <c r="F111" i="15"/>
  <c r="H320" i="1"/>
  <c r="L320" i="1"/>
  <c r="J856" i="1"/>
  <c r="J98" i="3"/>
  <c r="L98" i="3"/>
  <c r="H247" i="1"/>
  <c r="M856" i="1"/>
  <c r="D186" i="7"/>
  <c r="E186" i="7"/>
  <c r="A186" i="7"/>
  <c r="F186" i="7"/>
  <c r="A517" i="13"/>
  <c r="B517" i="13"/>
  <c r="C517" i="13"/>
  <c r="G472" i="13"/>
  <c r="F517" i="13"/>
  <c r="I517" i="13"/>
  <c r="D517" i="13"/>
  <c r="B472" i="13"/>
  <c r="H472" i="13"/>
  <c r="G517" i="13"/>
  <c r="J517" i="13"/>
  <c r="K517" i="13"/>
  <c r="G186" i="7"/>
  <c r="H186" i="7"/>
  <c r="C234" i="7"/>
  <c r="D234" i="7"/>
  <c r="E234" i="7"/>
  <c r="F234" i="7"/>
  <c r="G234" i="7"/>
  <c r="H234" i="7"/>
  <c r="I234" i="7"/>
  <c r="C507" i="1"/>
  <c r="I186" i="7"/>
  <c r="D507" i="1"/>
  <c r="J186" i="7"/>
  <c r="K234" i="7"/>
  <c r="K60" i="14"/>
  <c r="D60" i="14"/>
  <c r="B372" i="6"/>
  <c r="F372" i="6"/>
  <c r="D372" i="6"/>
  <c r="H372" i="6"/>
  <c r="J324" i="6"/>
  <c r="N507" i="1"/>
  <c r="B466" i="5"/>
  <c r="D466" i="5"/>
  <c r="F466" i="5"/>
  <c r="I466" i="5"/>
  <c r="B512" i="5"/>
  <c r="D512" i="5"/>
  <c r="F512" i="5"/>
  <c r="I512" i="5"/>
  <c r="F415" i="5"/>
  <c r="B566" i="5"/>
  <c r="D371" i="5"/>
  <c r="D566" i="5"/>
  <c r="B370" i="5"/>
  <c r="F370" i="5"/>
  <c r="F566" i="5"/>
  <c r="H370" i="5"/>
  <c r="H566" i="5"/>
  <c r="J566" i="5"/>
  <c r="M566" i="5"/>
  <c r="B611" i="5"/>
  <c r="D611" i="5"/>
  <c r="F611" i="5"/>
  <c r="H611" i="5"/>
  <c r="J611" i="5"/>
  <c r="M611" i="5"/>
  <c r="B664" i="5"/>
  <c r="J664" i="5"/>
  <c r="D664" i="5"/>
  <c r="F664" i="5"/>
  <c r="H664" i="5"/>
  <c r="J371" i="5"/>
  <c r="L664" i="5"/>
  <c r="H415" i="5"/>
  <c r="J415" i="5"/>
  <c r="F405" i="1"/>
  <c r="B324" i="6"/>
  <c r="D324" i="6"/>
  <c r="F324" i="6"/>
  <c r="H324" i="6"/>
  <c r="L507" i="1"/>
  <c r="B443" i="11"/>
  <c r="D443" i="11"/>
  <c r="F443" i="11"/>
  <c r="I443" i="11"/>
  <c r="B397" i="11"/>
  <c r="D397" i="11"/>
  <c r="F397" i="11"/>
  <c r="I397" i="11"/>
  <c r="F346" i="11"/>
  <c r="B497" i="11"/>
  <c r="D497" i="11"/>
  <c r="B301" i="11"/>
  <c r="F301" i="11"/>
  <c r="F497" i="11"/>
  <c r="H301" i="11"/>
  <c r="H497" i="11"/>
  <c r="J497" i="11"/>
  <c r="M497" i="11"/>
  <c r="B542" i="11"/>
  <c r="D542" i="11"/>
  <c r="F542" i="11"/>
  <c r="H542" i="11"/>
  <c r="J542" i="11"/>
  <c r="M542" i="11"/>
  <c r="B595" i="11"/>
  <c r="F595" i="11"/>
  <c r="J595" i="11"/>
  <c r="H595" i="11"/>
  <c r="L595" i="11"/>
  <c r="H346" i="11"/>
  <c r="J346" i="11"/>
  <c r="J405" i="1"/>
  <c r="H856" i="1"/>
  <c r="F60" i="14"/>
  <c r="D938" i="1"/>
  <c r="K126" i="13"/>
  <c r="K154" i="13"/>
  <c r="D472" i="13"/>
  <c r="F938" i="1"/>
  <c r="H938" i="1"/>
  <c r="H60" i="14"/>
  <c r="J60" i="14"/>
  <c r="L60" i="14"/>
  <c r="M60" i="14"/>
  <c r="A99" i="2"/>
  <c r="C99" i="2"/>
  <c r="B99" i="2"/>
  <c r="D99" i="2"/>
  <c r="E99" i="2"/>
  <c r="J372" i="6"/>
  <c r="A542" i="6"/>
  <c r="C542" i="6"/>
  <c r="E542" i="6"/>
  <c r="G542" i="6"/>
  <c r="I542" i="6"/>
  <c r="A373" i="6"/>
  <c r="E373" i="6"/>
  <c r="C373" i="6"/>
  <c r="G373" i="6"/>
  <c r="A140" i="4"/>
  <c r="C140" i="4"/>
  <c r="K140" i="4"/>
  <c r="E140" i="4"/>
  <c r="B140" i="4"/>
  <c r="F110" i="4"/>
  <c r="F111" i="4"/>
  <c r="F112" i="4"/>
  <c r="G95" i="4"/>
  <c r="D140" i="4"/>
  <c r="F140" i="4"/>
  <c r="G140" i="4"/>
  <c r="I248" i="1"/>
  <c r="C99" i="3"/>
  <c r="E99" i="3"/>
  <c r="D99" i="3"/>
  <c r="A100" i="3"/>
  <c r="B100" i="3"/>
  <c r="F99" i="3"/>
  <c r="G99" i="3"/>
  <c r="C248" i="1"/>
  <c r="A78" i="10"/>
  <c r="C78" i="10"/>
  <c r="B78" i="10"/>
  <c r="D78" i="10"/>
  <c r="E78" i="10"/>
  <c r="F78" i="10"/>
  <c r="C321" i="1"/>
  <c r="A112" i="15"/>
  <c r="C112" i="15"/>
  <c r="E321" i="1"/>
  <c r="K321" i="1"/>
  <c r="I857" i="1"/>
  <c r="C61" i="14"/>
  <c r="I325" i="6"/>
  <c r="M508" i="1"/>
  <c r="A467" i="5"/>
  <c r="C467" i="5"/>
  <c r="E467" i="5"/>
  <c r="H467" i="5"/>
  <c r="A513" i="5"/>
  <c r="C513" i="5"/>
  <c r="E513" i="5"/>
  <c r="H513" i="5"/>
  <c r="E416" i="5"/>
  <c r="A567" i="5"/>
  <c r="C567" i="5"/>
  <c r="E567" i="5"/>
  <c r="G567" i="5"/>
  <c r="I567" i="5"/>
  <c r="L567" i="5"/>
  <c r="A612" i="5"/>
  <c r="C612" i="5"/>
  <c r="E612" i="5"/>
  <c r="G612" i="5"/>
  <c r="I612" i="5"/>
  <c r="L612" i="5"/>
  <c r="A665" i="5"/>
  <c r="C372" i="5"/>
  <c r="I665" i="5"/>
  <c r="C665" i="5"/>
  <c r="A371" i="5"/>
  <c r="E371" i="5"/>
  <c r="E665" i="5"/>
  <c r="G665" i="5"/>
  <c r="I372" i="5"/>
  <c r="K665" i="5"/>
  <c r="G416" i="5"/>
  <c r="I416" i="5"/>
  <c r="E406" i="1"/>
  <c r="A325" i="6"/>
  <c r="C325" i="6"/>
  <c r="E325" i="6"/>
  <c r="G325" i="6"/>
  <c r="K508" i="1"/>
  <c r="A444" i="11"/>
  <c r="C444" i="11"/>
  <c r="E444" i="11"/>
  <c r="H444" i="11"/>
  <c r="A398" i="11"/>
  <c r="C398" i="11"/>
  <c r="E398" i="11"/>
  <c r="H398" i="11"/>
  <c r="E347" i="11"/>
  <c r="A498" i="11"/>
  <c r="C498" i="11"/>
  <c r="E498" i="11"/>
  <c r="G498" i="11"/>
  <c r="A596" i="11"/>
  <c r="I596" i="11"/>
  <c r="K596" i="11"/>
  <c r="I303" i="11"/>
  <c r="I498" i="11"/>
  <c r="L498" i="11"/>
  <c r="A543" i="11"/>
  <c r="C543" i="11"/>
  <c r="E543" i="11"/>
  <c r="G543" i="11"/>
  <c r="I543" i="11"/>
  <c r="L543" i="11"/>
  <c r="A302" i="11"/>
  <c r="E302" i="11"/>
  <c r="E596" i="11"/>
  <c r="G596" i="11"/>
  <c r="G347" i="11"/>
  <c r="I347" i="11"/>
  <c r="I406" i="1"/>
  <c r="G857" i="1"/>
  <c r="E61" i="14"/>
  <c r="A939" i="1"/>
  <c r="B939" i="1"/>
  <c r="C939" i="1"/>
  <c r="A473" i="13"/>
  <c r="F155" i="13"/>
  <c r="C473" i="13"/>
  <c r="E939" i="1"/>
  <c r="G939" i="1"/>
  <c r="G61" i="14"/>
  <c r="I61" i="14"/>
  <c r="A508" i="1"/>
  <c r="E508" i="1"/>
  <c r="G508" i="1"/>
  <c r="I508" i="1"/>
  <c r="E857" i="1"/>
  <c r="I99" i="3"/>
  <c r="K99" i="3"/>
  <c r="G248" i="1"/>
  <c r="L857" i="1"/>
  <c r="C187" i="7"/>
  <c r="N60" i="14"/>
  <c r="F99" i="2"/>
  <c r="G99" i="2"/>
  <c r="H99" i="2"/>
  <c r="K372" i="6"/>
  <c r="B542" i="6"/>
  <c r="D542" i="6"/>
  <c r="F542" i="6"/>
  <c r="B508" i="1"/>
  <c r="F508" i="1"/>
  <c r="H542" i="6"/>
  <c r="H508" i="1"/>
  <c r="J542" i="6"/>
  <c r="J508" i="1"/>
  <c r="F857" i="1"/>
  <c r="H140" i="4"/>
  <c r="J248" i="1"/>
  <c r="H99" i="3"/>
  <c r="D248" i="1"/>
  <c r="G78" i="10"/>
  <c r="H78" i="10"/>
  <c r="I78" i="10"/>
  <c r="J78" i="10"/>
  <c r="D321" i="1"/>
  <c r="B112" i="15"/>
  <c r="D112" i="15"/>
  <c r="F321" i="1"/>
  <c r="F112" i="15"/>
  <c r="H321" i="1"/>
  <c r="L321" i="1"/>
  <c r="J857" i="1"/>
  <c r="J99" i="3"/>
  <c r="L99" i="3"/>
  <c r="H248" i="1"/>
  <c r="M857" i="1"/>
  <c r="D187" i="7"/>
  <c r="E187" i="7"/>
  <c r="A187" i="7"/>
  <c r="F187" i="7"/>
  <c r="A518" i="13"/>
  <c r="B518" i="13"/>
  <c r="C518" i="13"/>
  <c r="G473" i="13"/>
  <c r="F518" i="13"/>
  <c r="I518" i="13"/>
  <c r="D518" i="13"/>
  <c r="B473" i="13"/>
  <c r="H473" i="13"/>
  <c r="G518" i="13"/>
  <c r="J518" i="13"/>
  <c r="K518" i="13"/>
  <c r="G187" i="7"/>
  <c r="H187" i="7"/>
  <c r="C235" i="7"/>
  <c r="D235" i="7"/>
  <c r="E235" i="7"/>
  <c r="F235" i="7"/>
  <c r="G235" i="7"/>
  <c r="H235" i="7"/>
  <c r="I235" i="7"/>
  <c r="C508" i="1"/>
  <c r="I187" i="7"/>
  <c r="D508" i="1"/>
  <c r="J187" i="7"/>
  <c r="K235" i="7"/>
  <c r="K61" i="14"/>
  <c r="D61" i="14"/>
  <c r="B373" i="6"/>
  <c r="F373" i="6"/>
  <c r="D373" i="6"/>
  <c r="H373" i="6"/>
  <c r="J325" i="6"/>
  <c r="N508" i="1"/>
  <c r="B467" i="5"/>
  <c r="D467" i="5"/>
  <c r="F467" i="5"/>
  <c r="I467" i="5"/>
  <c r="B513" i="5"/>
  <c r="D513" i="5"/>
  <c r="F513" i="5"/>
  <c r="I513" i="5"/>
  <c r="F416" i="5"/>
  <c r="B567" i="5"/>
  <c r="D567" i="5"/>
  <c r="F567" i="5"/>
  <c r="B371" i="5"/>
  <c r="H371" i="5"/>
  <c r="H567" i="5"/>
  <c r="J567" i="5"/>
  <c r="M567" i="5"/>
  <c r="B612" i="5"/>
  <c r="D612" i="5"/>
  <c r="F612" i="5"/>
  <c r="H612" i="5"/>
  <c r="J612" i="5"/>
  <c r="M612" i="5"/>
  <c r="B665" i="5"/>
  <c r="D372" i="5"/>
  <c r="J665" i="5"/>
  <c r="D665" i="5"/>
  <c r="F371" i="5"/>
  <c r="F665" i="5"/>
  <c r="H665" i="5"/>
  <c r="J372" i="5"/>
  <c r="L665" i="5"/>
  <c r="H416" i="5"/>
  <c r="J416" i="5"/>
  <c r="F406" i="1"/>
  <c r="B325" i="6"/>
  <c r="D325" i="6"/>
  <c r="F325" i="6"/>
  <c r="H325" i="6"/>
  <c r="L508" i="1"/>
  <c r="B444" i="11"/>
  <c r="D444" i="11"/>
  <c r="F444" i="11"/>
  <c r="I444" i="11"/>
  <c r="B398" i="11"/>
  <c r="D398" i="11"/>
  <c r="F398" i="11"/>
  <c r="I398" i="11"/>
  <c r="F347" i="11"/>
  <c r="B498" i="11"/>
  <c r="D498" i="11"/>
  <c r="B302" i="11"/>
  <c r="F302" i="11"/>
  <c r="F498" i="11"/>
  <c r="H302" i="11"/>
  <c r="H498" i="11"/>
  <c r="J498" i="11"/>
  <c r="M498" i="11"/>
  <c r="B543" i="11"/>
  <c r="D543" i="11"/>
  <c r="F543" i="11"/>
  <c r="H543" i="11"/>
  <c r="J543" i="11"/>
  <c r="M543" i="11"/>
  <c r="B596" i="11"/>
  <c r="F596" i="11"/>
  <c r="J596" i="11"/>
  <c r="H596" i="11"/>
  <c r="L596" i="11"/>
  <c r="H347" i="11"/>
  <c r="J347" i="11"/>
  <c r="J406" i="1"/>
  <c r="H857" i="1"/>
  <c r="F61" i="14"/>
  <c r="D939" i="1"/>
  <c r="K118" i="13"/>
  <c r="K155" i="13"/>
  <c r="D473" i="13"/>
  <c r="F939" i="1"/>
  <c r="H939" i="1"/>
  <c r="H61" i="14"/>
  <c r="J61" i="14"/>
  <c r="L61" i="14"/>
  <c r="M61" i="14"/>
  <c r="A100" i="2"/>
  <c r="C100" i="2"/>
  <c r="B100" i="2"/>
  <c r="D100" i="2"/>
  <c r="E100" i="2"/>
  <c r="J373" i="6"/>
  <c r="A543" i="6"/>
  <c r="C543" i="6"/>
  <c r="E543" i="6"/>
  <c r="G543" i="6"/>
  <c r="I543" i="6"/>
  <c r="A374" i="6"/>
  <c r="E374" i="6"/>
  <c r="C374" i="6"/>
  <c r="G374" i="6"/>
  <c r="A141" i="4"/>
  <c r="C141" i="4"/>
  <c r="K141" i="4"/>
  <c r="E141" i="4"/>
  <c r="B141" i="4"/>
  <c r="D141" i="4"/>
  <c r="F141" i="4"/>
  <c r="G141" i="4"/>
  <c r="I249" i="1"/>
  <c r="C100" i="3"/>
  <c r="E100" i="3"/>
  <c r="D100" i="3"/>
  <c r="A101" i="3"/>
  <c r="B101" i="3"/>
  <c r="F100" i="3"/>
  <c r="G100" i="3"/>
  <c r="C249" i="1"/>
  <c r="A79" i="10"/>
  <c r="C79" i="10"/>
  <c r="B79" i="10"/>
  <c r="D79" i="10"/>
  <c r="E79" i="10"/>
  <c r="F79" i="10"/>
  <c r="C322" i="1"/>
  <c r="A113" i="15"/>
  <c r="C113" i="15"/>
  <c r="E322" i="1"/>
  <c r="K322" i="1"/>
  <c r="I858" i="1"/>
  <c r="C62" i="14"/>
  <c r="I326" i="6"/>
  <c r="M509" i="1"/>
  <c r="A468" i="5"/>
  <c r="C468" i="5"/>
  <c r="E468" i="5"/>
  <c r="H468" i="5"/>
  <c r="A514" i="5"/>
  <c r="C514" i="5"/>
  <c r="E514" i="5"/>
  <c r="H514" i="5"/>
  <c r="E417" i="5"/>
  <c r="A568" i="5"/>
  <c r="C568" i="5"/>
  <c r="E568" i="5"/>
  <c r="G568" i="5"/>
  <c r="I568" i="5"/>
  <c r="L568" i="5"/>
  <c r="A613" i="5"/>
  <c r="C613" i="5"/>
  <c r="E613" i="5"/>
  <c r="G613" i="5"/>
  <c r="I613" i="5"/>
  <c r="L613" i="5"/>
  <c r="A666" i="5"/>
  <c r="C373" i="5"/>
  <c r="I666" i="5"/>
  <c r="C666" i="5"/>
  <c r="A372" i="5"/>
  <c r="E372" i="5"/>
  <c r="E666" i="5"/>
  <c r="G666" i="5"/>
  <c r="I373" i="5"/>
  <c r="K666" i="5"/>
  <c r="G417" i="5"/>
  <c r="I417" i="5"/>
  <c r="E407" i="1"/>
  <c r="A326" i="6"/>
  <c r="C326" i="6"/>
  <c r="E326" i="6"/>
  <c r="G326" i="6"/>
  <c r="K509" i="1"/>
  <c r="A445" i="11"/>
  <c r="C445" i="11"/>
  <c r="E445" i="11"/>
  <c r="H445" i="11"/>
  <c r="A399" i="11"/>
  <c r="C399" i="11"/>
  <c r="E399" i="11"/>
  <c r="H399" i="11"/>
  <c r="E348" i="11"/>
  <c r="A499" i="11"/>
  <c r="C499" i="11"/>
  <c r="E499" i="11"/>
  <c r="G499" i="11"/>
  <c r="I499" i="11"/>
  <c r="L499" i="11"/>
  <c r="A544" i="11"/>
  <c r="C544" i="11"/>
  <c r="E544" i="11"/>
  <c r="G544" i="11"/>
  <c r="I544" i="11"/>
  <c r="L544" i="11"/>
  <c r="A303" i="11"/>
  <c r="E303" i="11"/>
  <c r="A597" i="11"/>
  <c r="E597" i="11"/>
  <c r="I597" i="11"/>
  <c r="G597" i="11"/>
  <c r="K597" i="11"/>
  <c r="G348" i="11"/>
  <c r="I348" i="11"/>
  <c r="I407" i="1"/>
  <c r="G858" i="1"/>
  <c r="E62" i="14"/>
  <c r="H55" i="13"/>
  <c r="J919" i="1"/>
  <c r="A940" i="1"/>
  <c r="B940" i="1"/>
  <c r="C940" i="1"/>
  <c r="A474" i="13"/>
  <c r="F122" i="13"/>
  <c r="F156" i="13"/>
  <c r="C474" i="13"/>
  <c r="E940" i="1"/>
  <c r="G940" i="1"/>
  <c r="G62" i="14"/>
  <c r="I62" i="14"/>
  <c r="A509" i="1"/>
  <c r="E509" i="1"/>
  <c r="G509" i="1"/>
  <c r="I509" i="1"/>
  <c r="E858" i="1"/>
  <c r="I100" i="3"/>
  <c r="K100" i="3"/>
  <c r="G249" i="1"/>
  <c r="L858" i="1"/>
  <c r="C188" i="7"/>
  <c r="N61" i="14"/>
  <c r="F100" i="2"/>
  <c r="G100" i="2"/>
  <c r="H100" i="2"/>
  <c r="K373" i="6"/>
  <c r="B543" i="6"/>
  <c r="D543" i="6"/>
  <c r="F543" i="6"/>
  <c r="B509" i="1"/>
  <c r="F509" i="1"/>
  <c r="H543" i="6"/>
  <c r="H509" i="1"/>
  <c r="J543" i="6"/>
  <c r="J509" i="1"/>
  <c r="F858" i="1"/>
  <c r="H141" i="4"/>
  <c r="J249" i="1"/>
  <c r="H100" i="3"/>
  <c r="D249" i="1"/>
  <c r="G79" i="10"/>
  <c r="H79" i="10"/>
  <c r="I79" i="10"/>
  <c r="J79" i="10"/>
  <c r="D322" i="1"/>
  <c r="B113" i="15"/>
  <c r="D113" i="15"/>
  <c r="F322" i="1"/>
  <c r="F113" i="15"/>
  <c r="H322" i="1"/>
  <c r="L322" i="1"/>
  <c r="J858" i="1"/>
  <c r="J100" i="3"/>
  <c r="L100" i="3"/>
  <c r="H249" i="1"/>
  <c r="M858" i="1"/>
  <c r="D188" i="7"/>
  <c r="E188" i="7"/>
  <c r="A188" i="7"/>
  <c r="F188" i="7"/>
  <c r="A519" i="13"/>
  <c r="B519" i="13"/>
  <c r="C519" i="13"/>
  <c r="G474" i="13"/>
  <c r="F519" i="13"/>
  <c r="I519" i="13"/>
  <c r="D519" i="13"/>
  <c r="B474" i="13"/>
  <c r="H474" i="13"/>
  <c r="G519" i="13"/>
  <c r="J519" i="13"/>
  <c r="K519" i="13"/>
  <c r="G188" i="7"/>
  <c r="H188" i="7"/>
  <c r="C236" i="7"/>
  <c r="D236" i="7"/>
  <c r="E236" i="7"/>
  <c r="F236" i="7"/>
  <c r="G236" i="7"/>
  <c r="H236" i="7"/>
  <c r="I236" i="7"/>
  <c r="C509" i="1"/>
  <c r="I188" i="7"/>
  <c r="D509" i="1"/>
  <c r="J188" i="7"/>
  <c r="K236" i="7"/>
  <c r="K62" i="14"/>
  <c r="D62" i="14"/>
  <c r="B374" i="6"/>
  <c r="F374" i="6"/>
  <c r="D374" i="6"/>
  <c r="H374" i="6"/>
  <c r="J326" i="6"/>
  <c r="N509" i="1"/>
  <c r="B468" i="5"/>
  <c r="D468" i="5"/>
  <c r="F468" i="5"/>
  <c r="I468" i="5"/>
  <c r="B514" i="5"/>
  <c r="D514" i="5"/>
  <c r="F514" i="5"/>
  <c r="I514" i="5"/>
  <c r="F417" i="5"/>
  <c r="B568" i="5"/>
  <c r="D568" i="5"/>
  <c r="F568" i="5"/>
  <c r="B372" i="5"/>
  <c r="H372" i="5"/>
  <c r="H568" i="5"/>
  <c r="J568" i="5"/>
  <c r="M568" i="5"/>
  <c r="B613" i="5"/>
  <c r="D613" i="5"/>
  <c r="F613" i="5"/>
  <c r="H613" i="5"/>
  <c r="J613" i="5"/>
  <c r="M613" i="5"/>
  <c r="B666" i="5"/>
  <c r="D373" i="5"/>
  <c r="J666" i="5"/>
  <c r="D666" i="5"/>
  <c r="F372" i="5"/>
  <c r="F666" i="5"/>
  <c r="H666" i="5"/>
  <c r="J373" i="5"/>
  <c r="L666" i="5"/>
  <c r="H417" i="5"/>
  <c r="J417" i="5"/>
  <c r="F407" i="1"/>
  <c r="B326" i="6"/>
  <c r="D326" i="6"/>
  <c r="F326" i="6"/>
  <c r="H326" i="6"/>
  <c r="L509" i="1"/>
  <c r="B445" i="11"/>
  <c r="D445" i="11"/>
  <c r="F445" i="11"/>
  <c r="I445" i="11"/>
  <c r="B399" i="11"/>
  <c r="D399" i="11"/>
  <c r="F399" i="11"/>
  <c r="I399" i="11"/>
  <c r="F348" i="11"/>
  <c r="B499" i="11"/>
  <c r="D499" i="11"/>
  <c r="B303" i="11"/>
  <c r="F303" i="11"/>
  <c r="F499" i="11"/>
  <c r="H303" i="11"/>
  <c r="H499" i="11"/>
  <c r="J499" i="11"/>
  <c r="M499" i="11"/>
  <c r="B544" i="11"/>
  <c r="D544" i="11"/>
  <c r="F544" i="11"/>
  <c r="H544" i="11"/>
  <c r="J544" i="11"/>
  <c r="M544" i="11"/>
  <c r="B597" i="11"/>
  <c r="F597" i="11"/>
  <c r="J597" i="11"/>
  <c r="H597" i="11"/>
  <c r="L597" i="11"/>
  <c r="H348" i="11"/>
  <c r="J348" i="11"/>
  <c r="J407" i="1"/>
  <c r="H858" i="1"/>
  <c r="F62" i="14"/>
  <c r="D940" i="1"/>
  <c r="K122" i="13"/>
  <c r="K156" i="13"/>
  <c r="D474" i="13"/>
  <c r="F940" i="1"/>
  <c r="H940" i="1"/>
  <c r="H62" i="14"/>
  <c r="J62" i="14"/>
  <c r="L62" i="14"/>
  <c r="M62" i="14"/>
  <c r="A101" i="2"/>
  <c r="C101" i="2"/>
  <c r="B101" i="2"/>
  <c r="D101" i="2"/>
  <c r="E101" i="2"/>
  <c r="J374" i="6"/>
  <c r="A544" i="6"/>
  <c r="C544" i="6"/>
  <c r="E544" i="6"/>
  <c r="G544" i="6"/>
  <c r="I544" i="6"/>
  <c r="A375" i="6"/>
  <c r="E375" i="6"/>
  <c r="C375" i="6"/>
  <c r="G375" i="6"/>
  <c r="A142" i="4"/>
  <c r="C142" i="4"/>
  <c r="K142" i="4"/>
  <c r="E142" i="4"/>
  <c r="B142" i="4"/>
  <c r="D142" i="4"/>
  <c r="F142" i="4"/>
  <c r="G142" i="4"/>
  <c r="I250" i="1"/>
  <c r="C101" i="3"/>
  <c r="E101" i="3"/>
  <c r="D101" i="3"/>
  <c r="A102" i="3"/>
  <c r="B102" i="3"/>
  <c r="F101" i="3"/>
  <c r="G101" i="3"/>
  <c r="C250" i="1"/>
  <c r="A80" i="10"/>
  <c r="C80" i="10"/>
  <c r="B80" i="10"/>
  <c r="D80" i="10"/>
  <c r="E80" i="10"/>
  <c r="F80" i="10"/>
  <c r="C323" i="1"/>
  <c r="A114" i="15"/>
  <c r="C114" i="15"/>
  <c r="E323" i="1"/>
  <c r="K323" i="1"/>
  <c r="I859" i="1"/>
  <c r="C63" i="14"/>
  <c r="I327" i="6"/>
  <c r="M510" i="1"/>
  <c r="A469" i="5"/>
  <c r="C469" i="5"/>
  <c r="E469" i="5"/>
  <c r="H469" i="5"/>
  <c r="A515" i="5"/>
  <c r="C515" i="5"/>
  <c r="E515" i="5"/>
  <c r="H515" i="5"/>
  <c r="E418" i="5"/>
  <c r="A569" i="5"/>
  <c r="C569" i="5"/>
  <c r="E569" i="5"/>
  <c r="G569" i="5"/>
  <c r="I569" i="5"/>
  <c r="L569" i="5"/>
  <c r="A614" i="5"/>
  <c r="C614" i="5"/>
  <c r="E614" i="5"/>
  <c r="G614" i="5"/>
  <c r="I614" i="5"/>
  <c r="L614" i="5"/>
  <c r="A667" i="5"/>
  <c r="C374" i="5"/>
  <c r="I667" i="5"/>
  <c r="C667" i="5"/>
  <c r="E667" i="5"/>
  <c r="G667" i="5"/>
  <c r="I374" i="5"/>
  <c r="K667" i="5"/>
  <c r="G418" i="5"/>
  <c r="I418" i="5"/>
  <c r="E408" i="1"/>
  <c r="A327" i="6"/>
  <c r="C327" i="6"/>
  <c r="E327" i="6"/>
  <c r="G327" i="6"/>
  <c r="K510" i="1"/>
  <c r="A446" i="11"/>
  <c r="C446" i="11"/>
  <c r="E446" i="11"/>
  <c r="H446" i="11"/>
  <c r="A400" i="11"/>
  <c r="C400" i="11"/>
  <c r="E400" i="11"/>
  <c r="H400" i="11"/>
  <c r="E349" i="11"/>
  <c r="A500" i="11"/>
  <c r="C500" i="11"/>
  <c r="E500" i="11"/>
  <c r="G500" i="11"/>
  <c r="I500" i="11"/>
  <c r="L500" i="11"/>
  <c r="A545" i="11"/>
  <c r="C545" i="11"/>
  <c r="E545" i="11"/>
  <c r="G545" i="11"/>
  <c r="I545" i="11"/>
  <c r="L545" i="11"/>
  <c r="A598" i="11"/>
  <c r="E598" i="11"/>
  <c r="I598" i="11"/>
  <c r="G598" i="11"/>
  <c r="I304" i="11"/>
  <c r="K598" i="11"/>
  <c r="G349" i="11"/>
  <c r="I349" i="11"/>
  <c r="I408" i="1"/>
  <c r="G859" i="1"/>
  <c r="E63" i="14"/>
  <c r="A941" i="1"/>
  <c r="B941" i="1"/>
  <c r="C941" i="1"/>
  <c r="A475" i="13"/>
  <c r="F119" i="13"/>
  <c r="F123" i="13"/>
  <c r="F157" i="13"/>
  <c r="C475" i="13"/>
  <c r="E941" i="1"/>
  <c r="G941" i="1"/>
  <c r="G63" i="14"/>
  <c r="I63" i="14"/>
  <c r="A510" i="1"/>
  <c r="E510" i="1"/>
  <c r="G510" i="1"/>
  <c r="I510" i="1"/>
  <c r="E859" i="1"/>
  <c r="I101" i="3"/>
  <c r="K101" i="3"/>
  <c r="G250" i="1"/>
  <c r="L859" i="1"/>
  <c r="C189" i="7"/>
  <c r="N62" i="14"/>
  <c r="F101" i="2"/>
  <c r="G101" i="2"/>
  <c r="H101" i="2"/>
  <c r="K374" i="6"/>
  <c r="B544" i="6"/>
  <c r="D544" i="6"/>
  <c r="F544" i="6"/>
  <c r="B510" i="1"/>
  <c r="F510" i="1"/>
  <c r="H544" i="6"/>
  <c r="H510" i="1"/>
  <c r="J544" i="6"/>
  <c r="J510" i="1"/>
  <c r="F859" i="1"/>
  <c r="H142" i="4"/>
  <c r="J250" i="1"/>
  <c r="H101" i="3"/>
  <c r="D250" i="1"/>
  <c r="G80" i="10"/>
  <c r="H80" i="10"/>
  <c r="I80" i="10"/>
  <c r="J80" i="10"/>
  <c r="D323" i="1"/>
  <c r="B114" i="15"/>
  <c r="D114" i="15"/>
  <c r="F323" i="1"/>
  <c r="F114" i="15"/>
  <c r="H323" i="1"/>
  <c r="L323" i="1"/>
  <c r="J859" i="1"/>
  <c r="J101" i="3"/>
  <c r="L101" i="3"/>
  <c r="H250" i="1"/>
  <c r="M859" i="1"/>
  <c r="D189" i="7"/>
  <c r="E189" i="7"/>
  <c r="A189" i="7"/>
  <c r="F189" i="7"/>
  <c r="A520" i="13"/>
  <c r="B520" i="13"/>
  <c r="C520" i="13"/>
  <c r="G475" i="13"/>
  <c r="F520" i="13"/>
  <c r="I520" i="13"/>
  <c r="D520" i="13"/>
  <c r="B475" i="13"/>
  <c r="H475" i="13"/>
  <c r="G520" i="13"/>
  <c r="J520" i="13"/>
  <c r="K520" i="13"/>
  <c r="G189" i="7"/>
  <c r="H189" i="7"/>
  <c r="C237" i="7"/>
  <c r="D237" i="7"/>
  <c r="E237" i="7"/>
  <c r="F237" i="7"/>
  <c r="G237" i="7"/>
  <c r="H237" i="7"/>
  <c r="I237" i="7"/>
  <c r="C510" i="1"/>
  <c r="I189" i="7"/>
  <c r="D510" i="1"/>
  <c r="J189" i="7"/>
  <c r="K237" i="7"/>
  <c r="K63" i="14"/>
  <c r="D63" i="14"/>
  <c r="B375" i="6"/>
  <c r="F375" i="6"/>
  <c r="D375" i="6"/>
  <c r="H375" i="6"/>
  <c r="J327" i="6"/>
  <c r="N510" i="1"/>
  <c r="B469" i="5"/>
  <c r="D469" i="5"/>
  <c r="F469" i="5"/>
  <c r="I469" i="5"/>
  <c r="B515" i="5"/>
  <c r="D515" i="5"/>
  <c r="F515" i="5"/>
  <c r="I515" i="5"/>
  <c r="F418" i="5"/>
  <c r="B569" i="5"/>
  <c r="D569" i="5"/>
  <c r="F569" i="5"/>
  <c r="H569" i="5"/>
  <c r="J569" i="5"/>
  <c r="M569" i="5"/>
  <c r="B614" i="5"/>
  <c r="D614" i="5"/>
  <c r="F614" i="5"/>
  <c r="H614" i="5"/>
  <c r="J614" i="5"/>
  <c r="M614" i="5"/>
  <c r="B667" i="5"/>
  <c r="D374" i="5"/>
  <c r="J667" i="5"/>
  <c r="D667" i="5"/>
  <c r="B373" i="5"/>
  <c r="F373" i="5"/>
  <c r="F667" i="5"/>
  <c r="H667" i="5"/>
  <c r="J374" i="5"/>
  <c r="L667" i="5"/>
  <c r="H418" i="5"/>
  <c r="J418" i="5"/>
  <c r="F408" i="1"/>
  <c r="B327" i="6"/>
  <c r="D327" i="6"/>
  <c r="F327" i="6"/>
  <c r="H327" i="6"/>
  <c r="L510" i="1"/>
  <c r="B446" i="11"/>
  <c r="D446" i="11"/>
  <c r="F446" i="11"/>
  <c r="I446" i="11"/>
  <c r="B400" i="11"/>
  <c r="D400" i="11"/>
  <c r="F400" i="11"/>
  <c r="I400" i="11"/>
  <c r="F349" i="11"/>
  <c r="B500" i="11"/>
  <c r="D500" i="11"/>
  <c r="F500" i="11"/>
  <c r="B304" i="11"/>
  <c r="H304" i="11"/>
  <c r="H500" i="11"/>
  <c r="J500" i="11"/>
  <c r="M500" i="11"/>
  <c r="B545" i="11"/>
  <c r="D545" i="11"/>
  <c r="F545" i="11"/>
  <c r="H545" i="11"/>
  <c r="J545" i="11"/>
  <c r="M545" i="11"/>
  <c r="F304" i="11"/>
  <c r="B598" i="11"/>
  <c r="F598" i="11"/>
  <c r="J598" i="11"/>
  <c r="H598" i="11"/>
  <c r="L598" i="11"/>
  <c r="H349" i="11"/>
  <c r="J349" i="11"/>
  <c r="J408" i="1"/>
  <c r="H859" i="1"/>
  <c r="F63" i="14"/>
  <c r="D941" i="1"/>
  <c r="K123" i="13"/>
  <c r="K157" i="13"/>
  <c r="D475" i="13"/>
  <c r="F941" i="1"/>
  <c r="H941" i="1"/>
  <c r="H63" i="14"/>
  <c r="J63" i="14"/>
  <c r="L63" i="14"/>
  <c r="M63" i="14"/>
  <c r="A102" i="2"/>
  <c r="C102" i="2"/>
  <c r="B102" i="2"/>
  <c r="D102" i="2"/>
  <c r="E102" i="2"/>
  <c r="J375" i="6"/>
  <c r="A545" i="6"/>
  <c r="C545" i="6"/>
  <c r="E545" i="6"/>
  <c r="G545" i="6"/>
  <c r="I545" i="6"/>
  <c r="A376" i="6"/>
  <c r="E376" i="6"/>
  <c r="C376" i="6"/>
  <c r="G376" i="6"/>
  <c r="A143" i="4"/>
  <c r="C143" i="4"/>
  <c r="K143" i="4"/>
  <c r="E143" i="4"/>
  <c r="B143" i="4"/>
  <c r="D143" i="4"/>
  <c r="F143" i="4"/>
  <c r="G143" i="4"/>
  <c r="I251" i="1"/>
  <c r="C102" i="3"/>
  <c r="E102" i="3"/>
  <c r="D102" i="3"/>
  <c r="A103" i="3"/>
  <c r="B103" i="3"/>
  <c r="F102" i="3"/>
  <c r="G102" i="3"/>
  <c r="C251" i="1"/>
  <c r="A81" i="10"/>
  <c r="C81" i="10"/>
  <c r="B81" i="10"/>
  <c r="D81" i="10"/>
  <c r="E81" i="10"/>
  <c r="F81" i="10"/>
  <c r="C324" i="1"/>
  <c r="A115" i="15"/>
  <c r="C115" i="15"/>
  <c r="E324" i="1"/>
  <c r="K324" i="1"/>
  <c r="I860" i="1"/>
  <c r="C64" i="14"/>
  <c r="I328" i="6"/>
  <c r="M511" i="1"/>
  <c r="A470" i="5"/>
  <c r="C470" i="5"/>
  <c r="E470" i="5"/>
  <c r="H470" i="5"/>
  <c r="A516" i="5"/>
  <c r="C516" i="5"/>
  <c r="E516" i="5"/>
  <c r="H516" i="5"/>
  <c r="E419" i="5"/>
  <c r="A570" i="5"/>
  <c r="C570" i="5"/>
  <c r="E570" i="5"/>
  <c r="G570" i="5"/>
  <c r="I570" i="5"/>
  <c r="L570" i="5"/>
  <c r="A615" i="5"/>
  <c r="C615" i="5"/>
  <c r="E615" i="5"/>
  <c r="G615" i="5"/>
  <c r="I615" i="5"/>
  <c r="L615" i="5"/>
  <c r="A668" i="5"/>
  <c r="C375" i="5"/>
  <c r="I668" i="5"/>
  <c r="C668" i="5"/>
  <c r="A373" i="5"/>
  <c r="A374" i="5"/>
  <c r="E374" i="5"/>
  <c r="E668" i="5"/>
  <c r="G374" i="5"/>
  <c r="G668" i="5"/>
  <c r="I375" i="5"/>
  <c r="K668" i="5"/>
  <c r="G419" i="5"/>
  <c r="I419" i="5"/>
  <c r="E409" i="1"/>
  <c r="A328" i="6"/>
  <c r="C328" i="6"/>
  <c r="E328" i="6"/>
  <c r="G328" i="6"/>
  <c r="K511" i="1"/>
  <c r="A447" i="11"/>
  <c r="C447" i="11"/>
  <c r="E447" i="11"/>
  <c r="H447" i="11"/>
  <c r="A401" i="11"/>
  <c r="C401" i="11"/>
  <c r="E401" i="11"/>
  <c r="H401" i="11"/>
  <c r="E350" i="11"/>
  <c r="A501" i="11"/>
  <c r="C501" i="11"/>
  <c r="E501" i="11"/>
  <c r="G501" i="11"/>
  <c r="I501" i="11"/>
  <c r="L501" i="11"/>
  <c r="A546" i="11"/>
  <c r="C546" i="11"/>
  <c r="E546" i="11"/>
  <c r="G546" i="11"/>
  <c r="I546" i="11"/>
  <c r="L546" i="11"/>
  <c r="A304" i="11"/>
  <c r="A305" i="11"/>
  <c r="E305" i="11"/>
  <c r="A599" i="11"/>
  <c r="E599" i="11"/>
  <c r="G305" i="11"/>
  <c r="I599" i="11"/>
  <c r="G599" i="11"/>
  <c r="I305" i="11"/>
  <c r="K599" i="11"/>
  <c r="G350" i="11"/>
  <c r="I350" i="11"/>
  <c r="I409" i="1"/>
  <c r="G860" i="1"/>
  <c r="E64" i="14"/>
  <c r="A942" i="1"/>
  <c r="B942" i="1"/>
  <c r="C942" i="1"/>
  <c r="A476" i="13"/>
  <c r="F131" i="13"/>
  <c r="F158" i="13"/>
  <c r="C476" i="13"/>
  <c r="E942" i="1"/>
  <c r="G942" i="1"/>
  <c r="G64" i="14"/>
  <c r="I64" i="14"/>
  <c r="A511" i="1"/>
  <c r="E511" i="1"/>
  <c r="G511" i="1"/>
  <c r="I511" i="1"/>
  <c r="E860" i="1"/>
  <c r="I102" i="3"/>
  <c r="K102" i="3"/>
  <c r="G251" i="1"/>
  <c r="L860" i="1"/>
  <c r="C190" i="7"/>
  <c r="N63" i="14"/>
  <c r="F102" i="2"/>
  <c r="G102" i="2"/>
  <c r="H102" i="2"/>
  <c r="K375" i="6"/>
  <c r="B545" i="6"/>
  <c r="D545" i="6"/>
  <c r="F545" i="6"/>
  <c r="B511" i="1"/>
  <c r="F511" i="1"/>
  <c r="H545" i="6"/>
  <c r="H511" i="1"/>
  <c r="J545" i="6"/>
  <c r="J511" i="1"/>
  <c r="F860" i="1"/>
  <c r="H143" i="4"/>
  <c r="J251" i="1"/>
  <c r="H102" i="3"/>
  <c r="D251" i="1"/>
  <c r="G81" i="10"/>
  <c r="H81" i="10"/>
  <c r="I81" i="10"/>
  <c r="J81" i="10"/>
  <c r="D324" i="1"/>
  <c r="B115" i="15"/>
  <c r="D115" i="15"/>
  <c r="F324" i="1"/>
  <c r="F115" i="15"/>
  <c r="H324" i="1"/>
  <c r="L324" i="1"/>
  <c r="J860" i="1"/>
  <c r="J102" i="3"/>
  <c r="L102" i="3"/>
  <c r="H251" i="1"/>
  <c r="M860" i="1"/>
  <c r="D190" i="7"/>
  <c r="E190" i="7"/>
  <c r="A190" i="7"/>
  <c r="F190" i="7"/>
  <c r="A521" i="13"/>
  <c r="B521" i="13"/>
  <c r="C521" i="13"/>
  <c r="G476" i="13"/>
  <c r="F521" i="13"/>
  <c r="I521" i="13"/>
  <c r="D521" i="13"/>
  <c r="B476" i="13"/>
  <c r="H476" i="13"/>
  <c r="G521" i="13"/>
  <c r="J521" i="13"/>
  <c r="K521" i="13"/>
  <c r="G190" i="7"/>
  <c r="H190" i="7"/>
  <c r="C238" i="7"/>
  <c r="D238" i="7"/>
  <c r="E238" i="7"/>
  <c r="F238" i="7"/>
  <c r="G238" i="7"/>
  <c r="H238" i="7"/>
  <c r="I238" i="7"/>
  <c r="C511" i="1"/>
  <c r="I190" i="7"/>
  <c r="D511" i="1"/>
  <c r="J190" i="7"/>
  <c r="K238" i="7"/>
  <c r="K64" i="14"/>
  <c r="D64" i="14"/>
  <c r="B376" i="6"/>
  <c r="F376" i="6"/>
  <c r="D376" i="6"/>
  <c r="H376" i="6"/>
  <c r="J328" i="6"/>
  <c r="N511" i="1"/>
  <c r="B470" i="5"/>
  <c r="D470" i="5"/>
  <c r="F470" i="5"/>
  <c r="I470" i="5"/>
  <c r="B516" i="5"/>
  <c r="D516" i="5"/>
  <c r="F516" i="5"/>
  <c r="I516" i="5"/>
  <c r="F419" i="5"/>
  <c r="B570" i="5"/>
  <c r="D570" i="5"/>
  <c r="F570" i="5"/>
  <c r="H570" i="5"/>
  <c r="J570" i="5"/>
  <c r="M570" i="5"/>
  <c r="B615" i="5"/>
  <c r="D615" i="5"/>
  <c r="F615" i="5"/>
  <c r="H615" i="5"/>
  <c r="J615" i="5"/>
  <c r="M615" i="5"/>
  <c r="B668" i="5"/>
  <c r="D375" i="5"/>
  <c r="J668" i="5"/>
  <c r="D668" i="5"/>
  <c r="B374" i="5"/>
  <c r="F374" i="5"/>
  <c r="F668" i="5"/>
  <c r="H668" i="5"/>
  <c r="J375" i="5"/>
  <c r="L668" i="5"/>
  <c r="H419" i="5"/>
  <c r="J419" i="5"/>
  <c r="F409" i="1"/>
  <c r="B328" i="6"/>
  <c r="D328" i="6"/>
  <c r="F328" i="6"/>
  <c r="H328" i="6"/>
  <c r="L511" i="1"/>
  <c r="B447" i="11"/>
  <c r="D447" i="11"/>
  <c r="F447" i="11"/>
  <c r="I447" i="11"/>
  <c r="B401" i="11"/>
  <c r="D401" i="11"/>
  <c r="F401" i="11"/>
  <c r="I401" i="11"/>
  <c r="F350" i="11"/>
  <c r="B501" i="11"/>
  <c r="D501" i="11"/>
  <c r="F501" i="11"/>
  <c r="B305" i="11"/>
  <c r="H305" i="11"/>
  <c r="H501" i="11"/>
  <c r="J501" i="11"/>
  <c r="M501" i="11"/>
  <c r="B546" i="11"/>
  <c r="D546" i="11"/>
  <c r="F546" i="11"/>
  <c r="H546" i="11"/>
  <c r="J546" i="11"/>
  <c r="M546" i="11"/>
  <c r="F305" i="11"/>
  <c r="B599" i="11"/>
  <c r="F599" i="11"/>
  <c r="J599" i="11"/>
  <c r="H599" i="11"/>
  <c r="L599" i="11"/>
  <c r="H350" i="11"/>
  <c r="J350" i="11"/>
  <c r="J409" i="1"/>
  <c r="H860" i="1"/>
  <c r="F64" i="14"/>
  <c r="D942" i="1"/>
  <c r="K131" i="13"/>
  <c r="K158" i="13"/>
  <c r="D476" i="13"/>
  <c r="F942" i="1"/>
  <c r="H942" i="1"/>
  <c r="H64" i="14"/>
  <c r="J64" i="14"/>
  <c r="L64" i="14"/>
  <c r="M64" i="14"/>
  <c r="A103" i="2"/>
  <c r="C103" i="2"/>
  <c r="B103" i="2"/>
  <c r="D103" i="2"/>
  <c r="E103" i="2"/>
  <c r="J376" i="6"/>
  <c r="A546" i="6"/>
  <c r="C546" i="6"/>
  <c r="E546" i="6"/>
  <c r="G546" i="6"/>
  <c r="I546" i="6"/>
  <c r="A377" i="6"/>
  <c r="E377" i="6"/>
  <c r="C377" i="6"/>
  <c r="G377" i="6"/>
  <c r="A144" i="4"/>
  <c r="C144" i="4"/>
  <c r="K144" i="4"/>
  <c r="E144" i="4"/>
  <c r="B144" i="4"/>
  <c r="D144" i="4"/>
  <c r="F144" i="4"/>
  <c r="G144" i="4"/>
  <c r="I252" i="1"/>
  <c r="C103" i="3"/>
  <c r="E103" i="3"/>
  <c r="D103" i="3"/>
  <c r="A104" i="3"/>
  <c r="B104" i="3"/>
  <c r="F103" i="3"/>
  <c r="G103" i="3"/>
  <c r="C252" i="1"/>
  <c r="A82" i="10"/>
  <c r="C82" i="10"/>
  <c r="B82" i="10"/>
  <c r="D82" i="10"/>
  <c r="E82" i="10"/>
  <c r="F82" i="10"/>
  <c r="C325" i="1"/>
  <c r="A116" i="15"/>
  <c r="C116" i="15"/>
  <c r="E325" i="1"/>
  <c r="K325" i="1"/>
  <c r="I861" i="1"/>
  <c r="C65" i="14"/>
  <c r="I329" i="6"/>
  <c r="M512" i="1"/>
  <c r="A471" i="5"/>
  <c r="C471" i="5"/>
  <c r="E471" i="5"/>
  <c r="H471" i="5"/>
  <c r="A517" i="5"/>
  <c r="C517" i="5"/>
  <c r="E517" i="5"/>
  <c r="H517" i="5"/>
  <c r="E420" i="5"/>
  <c r="A571" i="5"/>
  <c r="C571" i="5"/>
  <c r="E571" i="5"/>
  <c r="G571" i="5"/>
  <c r="I571" i="5"/>
  <c r="L571" i="5"/>
  <c r="A616" i="5"/>
  <c r="C616" i="5"/>
  <c r="E616" i="5"/>
  <c r="G616" i="5"/>
  <c r="I616" i="5"/>
  <c r="L616" i="5"/>
  <c r="A669" i="5"/>
  <c r="C376" i="5"/>
  <c r="I669" i="5"/>
  <c r="C669" i="5"/>
  <c r="A375" i="5"/>
  <c r="E375" i="5"/>
  <c r="E669" i="5"/>
  <c r="G375" i="5"/>
  <c r="G669" i="5"/>
  <c r="I376" i="5"/>
  <c r="K669" i="5"/>
  <c r="G420" i="5"/>
  <c r="I420" i="5"/>
  <c r="E410" i="1"/>
  <c r="A329" i="6"/>
  <c r="C329" i="6"/>
  <c r="E329" i="6"/>
  <c r="G329" i="6"/>
  <c r="K512" i="1"/>
  <c r="A448" i="11"/>
  <c r="C448" i="11"/>
  <c r="E448" i="11"/>
  <c r="H448" i="11"/>
  <c r="A402" i="11"/>
  <c r="C402" i="11"/>
  <c r="E402" i="11"/>
  <c r="H402" i="11"/>
  <c r="E351" i="11"/>
  <c r="A502" i="11"/>
  <c r="C502" i="11"/>
  <c r="E502" i="11"/>
  <c r="G502" i="11"/>
  <c r="I502" i="11"/>
  <c r="L502" i="11"/>
  <c r="A547" i="11"/>
  <c r="C547" i="11"/>
  <c r="E547" i="11"/>
  <c r="G547" i="11"/>
  <c r="I547" i="11"/>
  <c r="L547" i="11"/>
  <c r="A306" i="11"/>
  <c r="E306" i="11"/>
  <c r="A600" i="11"/>
  <c r="E600" i="11"/>
  <c r="G306" i="11"/>
  <c r="I600" i="11"/>
  <c r="G600" i="11"/>
  <c r="I306" i="11"/>
  <c r="K600" i="11"/>
  <c r="G351" i="11"/>
  <c r="I351" i="11"/>
  <c r="I410" i="1"/>
  <c r="G861" i="1"/>
  <c r="E65" i="14"/>
  <c r="A943" i="1"/>
  <c r="B943" i="1"/>
  <c r="C943" i="1"/>
  <c r="A477" i="13"/>
  <c r="F159" i="13"/>
  <c r="C477" i="13"/>
  <c r="E943" i="1"/>
  <c r="G943" i="1"/>
  <c r="G65" i="14"/>
  <c r="I65" i="14"/>
  <c r="A512" i="1"/>
  <c r="E512" i="1"/>
  <c r="G512" i="1"/>
  <c r="I512" i="1"/>
  <c r="E861" i="1"/>
  <c r="I103" i="3"/>
  <c r="K103" i="3"/>
  <c r="G252" i="1"/>
  <c r="L861" i="1"/>
  <c r="C191" i="7"/>
  <c r="N64" i="14"/>
  <c r="F103" i="2"/>
  <c r="G103" i="2"/>
  <c r="H103" i="2"/>
  <c r="K376" i="6"/>
  <c r="B546" i="6"/>
  <c r="D546" i="6"/>
  <c r="F546" i="6"/>
  <c r="B512" i="1"/>
  <c r="F512" i="1"/>
  <c r="H546" i="6"/>
  <c r="H512" i="1"/>
  <c r="J546" i="6"/>
  <c r="J512" i="1"/>
  <c r="F861" i="1"/>
  <c r="H144" i="4"/>
  <c r="J252" i="1"/>
  <c r="H103" i="3"/>
  <c r="D252" i="1"/>
  <c r="G82" i="10"/>
  <c r="H82" i="10"/>
  <c r="I82" i="10"/>
  <c r="J82" i="10"/>
  <c r="D325" i="1"/>
  <c r="B116" i="15"/>
  <c r="D116" i="15"/>
  <c r="F325" i="1"/>
  <c r="F116" i="15"/>
  <c r="H325" i="1"/>
  <c r="L325" i="1"/>
  <c r="J861" i="1"/>
  <c r="J103" i="3"/>
  <c r="L103" i="3"/>
  <c r="H252" i="1"/>
  <c r="M861" i="1"/>
  <c r="D191" i="7"/>
  <c r="E191" i="7"/>
  <c r="A191" i="7"/>
  <c r="F191" i="7"/>
  <c r="A522" i="13"/>
  <c r="B522" i="13"/>
  <c r="C522" i="13"/>
  <c r="G477" i="13"/>
  <c r="F522" i="13"/>
  <c r="I522" i="13"/>
  <c r="D522" i="13"/>
  <c r="B477" i="13"/>
  <c r="H477" i="13"/>
  <c r="G522" i="13"/>
  <c r="J522" i="13"/>
  <c r="K522" i="13"/>
  <c r="G191" i="7"/>
  <c r="H191" i="7"/>
  <c r="C239" i="7"/>
  <c r="D239" i="7"/>
  <c r="E239" i="7"/>
  <c r="F239" i="7"/>
  <c r="G239" i="7"/>
  <c r="H239" i="7"/>
  <c r="I239" i="7"/>
  <c r="C512" i="1"/>
  <c r="I191" i="7"/>
  <c r="D512" i="1"/>
  <c r="J191" i="7"/>
  <c r="K239" i="7"/>
  <c r="K65" i="14"/>
  <c r="D65" i="14"/>
  <c r="B377" i="6"/>
  <c r="F377" i="6"/>
  <c r="D377" i="6"/>
  <c r="H377" i="6"/>
  <c r="J329" i="6"/>
  <c r="N512" i="1"/>
  <c r="B471" i="5"/>
  <c r="D471" i="5"/>
  <c r="F471" i="5"/>
  <c r="I471" i="5"/>
  <c r="B517" i="5"/>
  <c r="D517" i="5"/>
  <c r="F517" i="5"/>
  <c r="I517" i="5"/>
  <c r="F420" i="5"/>
  <c r="B571" i="5"/>
  <c r="D571" i="5"/>
  <c r="F571" i="5"/>
  <c r="H571" i="5"/>
  <c r="J571" i="5"/>
  <c r="M571" i="5"/>
  <c r="B616" i="5"/>
  <c r="D616" i="5"/>
  <c r="F616" i="5"/>
  <c r="H616" i="5"/>
  <c r="J616" i="5"/>
  <c r="M616" i="5"/>
  <c r="B669" i="5"/>
  <c r="D376" i="5"/>
  <c r="J669" i="5"/>
  <c r="D669" i="5"/>
  <c r="B375" i="5"/>
  <c r="F375" i="5"/>
  <c r="F669" i="5"/>
  <c r="H669" i="5"/>
  <c r="J376" i="5"/>
  <c r="L669" i="5"/>
  <c r="H420" i="5"/>
  <c r="J420" i="5"/>
  <c r="F410" i="1"/>
  <c r="B329" i="6"/>
  <c r="D329" i="6"/>
  <c r="F329" i="6"/>
  <c r="H329" i="6"/>
  <c r="L512" i="1"/>
  <c r="B448" i="11"/>
  <c r="D448" i="11"/>
  <c r="F448" i="11"/>
  <c r="I448" i="11"/>
  <c r="B402" i="11"/>
  <c r="D402" i="11"/>
  <c r="F402" i="11"/>
  <c r="I402" i="11"/>
  <c r="F351" i="11"/>
  <c r="B502" i="11"/>
  <c r="D502" i="11"/>
  <c r="F502" i="11"/>
  <c r="H502" i="11"/>
  <c r="J502" i="11"/>
  <c r="M502" i="11"/>
  <c r="B547" i="11"/>
  <c r="D547" i="11"/>
  <c r="F547" i="11"/>
  <c r="H547" i="11"/>
  <c r="J547" i="11"/>
  <c r="M547" i="11"/>
  <c r="B306" i="11"/>
  <c r="F306" i="11"/>
  <c r="B600" i="11"/>
  <c r="F600" i="11"/>
  <c r="J600" i="11"/>
  <c r="H600" i="11"/>
  <c r="L600" i="11"/>
  <c r="H351" i="11"/>
  <c r="J351" i="11"/>
  <c r="J410" i="1"/>
  <c r="H861" i="1"/>
  <c r="F65" i="14"/>
  <c r="D943" i="1"/>
  <c r="K159" i="13"/>
  <c r="D477" i="13"/>
  <c r="F943" i="1"/>
  <c r="H943" i="1"/>
  <c r="H65" i="14"/>
  <c r="J65" i="14"/>
  <c r="L65" i="14"/>
  <c r="M65" i="14"/>
  <c r="A104" i="2"/>
  <c r="C104" i="2"/>
  <c r="B104" i="2"/>
  <c r="D104" i="2"/>
  <c r="E104" i="2"/>
  <c r="J377" i="6"/>
  <c r="A547" i="6"/>
  <c r="C547" i="6"/>
  <c r="E547" i="6"/>
  <c r="G547" i="6"/>
  <c r="I547" i="6"/>
  <c r="A378" i="6"/>
  <c r="E378" i="6"/>
  <c r="C378" i="6"/>
  <c r="G378" i="6"/>
  <c r="A145" i="4"/>
  <c r="C145" i="4"/>
  <c r="K145" i="4"/>
  <c r="E145" i="4"/>
  <c r="B145" i="4"/>
  <c r="D145" i="4"/>
  <c r="F145" i="4"/>
  <c r="G145" i="4"/>
  <c r="I253" i="1"/>
  <c r="C104" i="3"/>
  <c r="E104" i="3"/>
  <c r="D104" i="3"/>
  <c r="A105" i="3"/>
  <c r="B105" i="3"/>
  <c r="F104" i="3"/>
  <c r="G104" i="3"/>
  <c r="C253" i="1"/>
  <c r="A83" i="10"/>
  <c r="C83" i="10"/>
  <c r="B83" i="10"/>
  <c r="D83" i="10"/>
  <c r="E83" i="10"/>
  <c r="F83" i="10"/>
  <c r="C326" i="1"/>
  <c r="A117" i="15"/>
  <c r="C117" i="15"/>
  <c r="E326" i="1"/>
  <c r="K326" i="1"/>
  <c r="I862" i="1"/>
  <c r="C66" i="14"/>
  <c r="I330" i="6"/>
  <c r="M513" i="1"/>
  <c r="A472" i="5"/>
  <c r="C472" i="5"/>
  <c r="E472" i="5"/>
  <c r="H472" i="5"/>
  <c r="A518" i="5"/>
  <c r="C518" i="5"/>
  <c r="E518" i="5"/>
  <c r="H518" i="5"/>
  <c r="E421" i="5"/>
  <c r="A572" i="5"/>
  <c r="C572" i="5"/>
  <c r="E572" i="5"/>
  <c r="G572" i="5"/>
  <c r="I572" i="5"/>
  <c r="L572" i="5"/>
  <c r="A617" i="5"/>
  <c r="C617" i="5"/>
  <c r="E617" i="5"/>
  <c r="G617" i="5"/>
  <c r="I617" i="5"/>
  <c r="L617" i="5"/>
  <c r="A670" i="5"/>
  <c r="C377" i="5"/>
  <c r="I670" i="5"/>
  <c r="C670" i="5"/>
  <c r="A376" i="5"/>
  <c r="E376" i="5"/>
  <c r="E670" i="5"/>
  <c r="G376" i="5"/>
  <c r="G670" i="5"/>
  <c r="I377" i="5"/>
  <c r="K670" i="5"/>
  <c r="G421" i="5"/>
  <c r="I421" i="5"/>
  <c r="E411" i="1"/>
  <c r="A330" i="6"/>
  <c r="C330" i="6"/>
  <c r="E330" i="6"/>
  <c r="G330" i="6"/>
  <c r="K513" i="1"/>
  <c r="A449" i="11"/>
  <c r="C449" i="11"/>
  <c r="E449" i="11"/>
  <c r="H449" i="11"/>
  <c r="A403" i="11"/>
  <c r="C403" i="11"/>
  <c r="E403" i="11"/>
  <c r="H403" i="11"/>
  <c r="E352" i="11"/>
  <c r="A503" i="11"/>
  <c r="C503" i="11"/>
  <c r="E503" i="11"/>
  <c r="G503" i="11"/>
  <c r="I503" i="11"/>
  <c r="L503" i="11"/>
  <c r="A548" i="11"/>
  <c r="C548" i="11"/>
  <c r="E548" i="11"/>
  <c r="G548" i="11"/>
  <c r="I548" i="11"/>
  <c r="L548" i="11"/>
  <c r="A307" i="11"/>
  <c r="E307" i="11"/>
  <c r="A601" i="11"/>
  <c r="E601" i="11"/>
  <c r="G307" i="11"/>
  <c r="I601" i="11"/>
  <c r="G601" i="11"/>
  <c r="I307" i="11"/>
  <c r="K601" i="11"/>
  <c r="G352" i="11"/>
  <c r="I352" i="11"/>
  <c r="I411" i="1"/>
  <c r="G862" i="1"/>
  <c r="E66" i="14"/>
  <c r="A944" i="1"/>
  <c r="B944" i="1"/>
  <c r="C944" i="1"/>
  <c r="A478" i="13"/>
  <c r="F126" i="13"/>
  <c r="F160" i="13"/>
  <c r="C478" i="13"/>
  <c r="E944" i="1"/>
  <c r="G944" i="1"/>
  <c r="G66" i="14"/>
  <c r="I66" i="14"/>
  <c r="A513" i="1"/>
  <c r="E513" i="1"/>
  <c r="G513" i="1"/>
  <c r="I513" i="1"/>
  <c r="E862" i="1"/>
  <c r="I104" i="3"/>
  <c r="K104" i="3"/>
  <c r="G253" i="1"/>
  <c r="L862" i="1"/>
  <c r="C192" i="7"/>
  <c r="N65" i="14"/>
  <c r="F104" i="2"/>
  <c r="G104" i="2"/>
  <c r="H104" i="2"/>
  <c r="K377" i="6"/>
  <c r="B547" i="6"/>
  <c r="D547" i="6"/>
  <c r="F547" i="6"/>
  <c r="B513" i="1"/>
  <c r="F513" i="1"/>
  <c r="H547" i="6"/>
  <c r="H513" i="1"/>
  <c r="J547" i="6"/>
  <c r="J513" i="1"/>
  <c r="F862" i="1"/>
  <c r="H145" i="4"/>
  <c r="J253" i="1"/>
  <c r="H104" i="3"/>
  <c r="D253" i="1"/>
  <c r="G83" i="10"/>
  <c r="H83" i="10"/>
  <c r="I83" i="10"/>
  <c r="J83" i="10"/>
  <c r="D326" i="1"/>
  <c r="B117" i="15"/>
  <c r="D117" i="15"/>
  <c r="F326" i="1"/>
  <c r="F117" i="15"/>
  <c r="H326" i="1"/>
  <c r="L326" i="1"/>
  <c r="J862" i="1"/>
  <c r="J104" i="3"/>
  <c r="L104" i="3"/>
  <c r="H253" i="1"/>
  <c r="M862" i="1"/>
  <c r="D192" i="7"/>
  <c r="E192" i="7"/>
  <c r="A192" i="7"/>
  <c r="F192" i="7"/>
  <c r="A523" i="13"/>
  <c r="B523" i="13"/>
  <c r="C523" i="13"/>
  <c r="G478" i="13"/>
  <c r="F523" i="13"/>
  <c r="I523" i="13"/>
  <c r="D523" i="13"/>
  <c r="B478" i="13"/>
  <c r="H478" i="13"/>
  <c r="G523" i="13"/>
  <c r="J523" i="13"/>
  <c r="K523" i="13"/>
  <c r="G192" i="7"/>
  <c r="H192" i="7"/>
  <c r="C240" i="7"/>
  <c r="D240" i="7"/>
  <c r="E240" i="7"/>
  <c r="F240" i="7"/>
  <c r="G240" i="7"/>
  <c r="H240" i="7"/>
  <c r="I240" i="7"/>
  <c r="C513" i="1"/>
  <c r="I192" i="7"/>
  <c r="D513" i="1"/>
  <c r="J192" i="7"/>
  <c r="K240" i="7"/>
  <c r="K66" i="14"/>
  <c r="D66" i="14"/>
  <c r="B378" i="6"/>
  <c r="F378" i="6"/>
  <c r="D378" i="6"/>
  <c r="H378" i="6"/>
  <c r="J330" i="6"/>
  <c r="N513" i="1"/>
  <c r="B472" i="5"/>
  <c r="D472" i="5"/>
  <c r="F472" i="5"/>
  <c r="I472" i="5"/>
  <c r="B518" i="5"/>
  <c r="D518" i="5"/>
  <c r="F518" i="5"/>
  <c r="I518" i="5"/>
  <c r="F421" i="5"/>
  <c r="B572" i="5"/>
  <c r="D572" i="5"/>
  <c r="F572" i="5"/>
  <c r="H572" i="5"/>
  <c r="J572" i="5"/>
  <c r="M572" i="5"/>
  <c r="B617" i="5"/>
  <c r="D617" i="5"/>
  <c r="F617" i="5"/>
  <c r="H617" i="5"/>
  <c r="J617" i="5"/>
  <c r="M617" i="5"/>
  <c r="B670" i="5"/>
  <c r="D377" i="5"/>
  <c r="J670" i="5"/>
  <c r="D670" i="5"/>
  <c r="B376" i="5"/>
  <c r="F376" i="5"/>
  <c r="F670" i="5"/>
  <c r="H670" i="5"/>
  <c r="J377" i="5"/>
  <c r="L670" i="5"/>
  <c r="H421" i="5"/>
  <c r="J421" i="5"/>
  <c r="F411" i="1"/>
  <c r="B330" i="6"/>
  <c r="D330" i="6"/>
  <c r="F330" i="6"/>
  <c r="H330" i="6"/>
  <c r="L513" i="1"/>
  <c r="B449" i="11"/>
  <c r="D449" i="11"/>
  <c r="F449" i="11"/>
  <c r="I449" i="11"/>
  <c r="B403" i="11"/>
  <c r="D403" i="11"/>
  <c r="F403" i="11"/>
  <c r="I403" i="11"/>
  <c r="F352" i="11"/>
  <c r="B503" i="11"/>
  <c r="D503" i="11"/>
  <c r="F503" i="11"/>
  <c r="H503" i="11"/>
  <c r="J503" i="11"/>
  <c r="M503" i="11"/>
  <c r="B548" i="11"/>
  <c r="D548" i="11"/>
  <c r="F548" i="11"/>
  <c r="H548" i="11"/>
  <c r="J548" i="11"/>
  <c r="M548" i="11"/>
  <c r="B307" i="11"/>
  <c r="F307" i="11"/>
  <c r="B601" i="11"/>
  <c r="F601" i="11"/>
  <c r="J601" i="11"/>
  <c r="H601" i="11"/>
  <c r="L601" i="11"/>
  <c r="H352" i="11"/>
  <c r="J352" i="11"/>
  <c r="J411" i="1"/>
  <c r="H862" i="1"/>
  <c r="F66" i="14"/>
  <c r="D944" i="1"/>
  <c r="K160" i="13"/>
  <c r="D478" i="13"/>
  <c r="F944" i="1"/>
  <c r="H944" i="1"/>
  <c r="H66" i="14"/>
  <c r="J66" i="14"/>
  <c r="L66" i="14"/>
  <c r="M66" i="14"/>
  <c r="A105" i="2"/>
  <c r="C105" i="2"/>
  <c r="B105" i="2"/>
  <c r="D105" i="2"/>
  <c r="E105" i="2"/>
  <c r="J378" i="6"/>
  <c r="A548" i="6"/>
  <c r="C548" i="6"/>
  <c r="E548" i="6"/>
  <c r="G548" i="6"/>
  <c r="I548" i="6"/>
  <c r="A379" i="6"/>
  <c r="E379" i="6"/>
  <c r="C379" i="6"/>
  <c r="G379" i="6"/>
  <c r="A146" i="4"/>
  <c r="C146" i="4"/>
  <c r="K146" i="4"/>
  <c r="E146" i="4"/>
  <c r="B146" i="4"/>
  <c r="D146" i="4"/>
  <c r="F146" i="4"/>
  <c r="G146" i="4"/>
  <c r="I254" i="1"/>
  <c r="C105" i="3"/>
  <c r="E105" i="3"/>
  <c r="D105" i="3"/>
  <c r="A106" i="3"/>
  <c r="B106" i="3"/>
  <c r="F105" i="3"/>
  <c r="G105" i="3"/>
  <c r="C254" i="1"/>
  <c r="A84" i="10"/>
  <c r="C84" i="10"/>
  <c r="B84" i="10"/>
  <c r="D84" i="10"/>
  <c r="E84" i="10"/>
  <c r="F84" i="10"/>
  <c r="C327" i="1"/>
  <c r="A118" i="15"/>
  <c r="C118" i="15"/>
  <c r="E327" i="1"/>
  <c r="K327" i="1"/>
  <c r="I863" i="1"/>
  <c r="C67" i="14"/>
  <c r="I331" i="6"/>
  <c r="M514" i="1"/>
  <c r="A473" i="5"/>
  <c r="C473" i="5"/>
  <c r="E473" i="5"/>
  <c r="H473" i="5"/>
  <c r="A519" i="5"/>
  <c r="C519" i="5"/>
  <c r="E519" i="5"/>
  <c r="H519" i="5"/>
  <c r="E422" i="5"/>
  <c r="A573" i="5"/>
  <c r="C573" i="5"/>
  <c r="E573" i="5"/>
  <c r="G573" i="5"/>
  <c r="I573" i="5"/>
  <c r="L573" i="5"/>
  <c r="A618" i="5"/>
  <c r="C618" i="5"/>
  <c r="E618" i="5"/>
  <c r="G618" i="5"/>
  <c r="I618" i="5"/>
  <c r="L618" i="5"/>
  <c r="A671" i="5"/>
  <c r="C378" i="5"/>
  <c r="I671" i="5"/>
  <c r="C671" i="5"/>
  <c r="A377" i="5"/>
  <c r="E377" i="5"/>
  <c r="E671" i="5"/>
  <c r="G377" i="5"/>
  <c r="G671" i="5"/>
  <c r="I378" i="5"/>
  <c r="K671" i="5"/>
  <c r="G422" i="5"/>
  <c r="I422" i="5"/>
  <c r="E412" i="1"/>
  <c r="A331" i="6"/>
  <c r="C331" i="6"/>
  <c r="E331" i="6"/>
  <c r="G331" i="6"/>
  <c r="K514" i="1"/>
  <c r="A450" i="11"/>
  <c r="C450" i="11"/>
  <c r="E450" i="11"/>
  <c r="H450" i="11"/>
  <c r="A404" i="11"/>
  <c r="C404" i="11"/>
  <c r="E404" i="11"/>
  <c r="H404" i="11"/>
  <c r="E353" i="11"/>
  <c r="C294" i="11"/>
  <c r="C295" i="11"/>
  <c r="C296" i="11"/>
  <c r="C297" i="11"/>
  <c r="C298" i="11"/>
  <c r="C299" i="11"/>
  <c r="C300" i="11"/>
  <c r="C301" i="11"/>
  <c r="C302" i="11"/>
  <c r="C303" i="11"/>
  <c r="C304" i="11"/>
  <c r="C305" i="11"/>
  <c r="C306" i="11"/>
  <c r="C307" i="11"/>
  <c r="C308" i="11"/>
  <c r="C309" i="11"/>
  <c r="A504" i="11"/>
  <c r="C504" i="11"/>
  <c r="E504" i="11"/>
  <c r="G504" i="11"/>
  <c r="I504" i="11"/>
  <c r="L504" i="11"/>
  <c r="A549" i="11"/>
  <c r="C549" i="11"/>
  <c r="E549" i="11"/>
  <c r="G549" i="11"/>
  <c r="I549" i="11"/>
  <c r="L549" i="11"/>
  <c r="A308" i="11"/>
  <c r="E308" i="11"/>
  <c r="A602" i="11"/>
  <c r="E602" i="11"/>
  <c r="G308" i="11"/>
  <c r="I602" i="11"/>
  <c r="G602" i="11"/>
  <c r="I308" i="11"/>
  <c r="K602" i="11"/>
  <c r="G353" i="11"/>
  <c r="I353" i="11"/>
  <c r="I412" i="1"/>
  <c r="G863" i="1"/>
  <c r="E67" i="14"/>
  <c r="A945" i="1"/>
  <c r="B945" i="1"/>
  <c r="C945" i="1"/>
  <c r="A479" i="13"/>
  <c r="F130" i="13"/>
  <c r="F161" i="13"/>
  <c r="C479" i="13"/>
  <c r="E945" i="1"/>
  <c r="G945" i="1"/>
  <c r="G67" i="14"/>
  <c r="I67" i="14"/>
  <c r="A514" i="1"/>
  <c r="E514" i="1"/>
  <c r="G514" i="1"/>
  <c r="I514" i="1"/>
  <c r="E863" i="1"/>
  <c r="I105" i="3"/>
  <c r="K105" i="3"/>
  <c r="G254" i="1"/>
  <c r="L863" i="1"/>
  <c r="C193" i="7"/>
  <c r="N66" i="14"/>
  <c r="F105" i="2"/>
  <c r="G105" i="2"/>
  <c r="H105" i="2"/>
  <c r="K378" i="6"/>
  <c r="B548" i="6"/>
  <c r="D548" i="6"/>
  <c r="F548" i="6"/>
  <c r="B514" i="1"/>
  <c r="F514" i="1"/>
  <c r="H548" i="6"/>
  <c r="H514" i="1"/>
  <c r="J548" i="6"/>
  <c r="J514" i="1"/>
  <c r="F863" i="1"/>
  <c r="H146" i="4"/>
  <c r="J254" i="1"/>
  <c r="H105" i="3"/>
  <c r="D254" i="1"/>
  <c r="G84" i="10"/>
  <c r="H84" i="10"/>
  <c r="I84" i="10"/>
  <c r="J84" i="10"/>
  <c r="D327" i="1"/>
  <c r="B118" i="15"/>
  <c r="D118" i="15"/>
  <c r="F327" i="1"/>
  <c r="F118" i="15"/>
  <c r="H327" i="1"/>
  <c r="L327" i="1"/>
  <c r="J863" i="1"/>
  <c r="J105" i="3"/>
  <c r="L105" i="3"/>
  <c r="H254" i="1"/>
  <c r="M863" i="1"/>
  <c r="D193" i="7"/>
  <c r="E193" i="7"/>
  <c r="A193" i="7"/>
  <c r="F193" i="7"/>
  <c r="A524" i="13"/>
  <c r="B524" i="13"/>
  <c r="C524" i="13"/>
  <c r="G479" i="13"/>
  <c r="F524" i="13"/>
  <c r="I524" i="13"/>
  <c r="D524" i="13"/>
  <c r="B479" i="13"/>
  <c r="H479" i="13"/>
  <c r="G524" i="13"/>
  <c r="J524" i="13"/>
  <c r="K524" i="13"/>
  <c r="G193" i="7"/>
  <c r="H193" i="7"/>
  <c r="C241" i="7"/>
  <c r="D241" i="7"/>
  <c r="E241" i="7"/>
  <c r="F241" i="7"/>
  <c r="G241" i="7"/>
  <c r="H241" i="7"/>
  <c r="I241" i="7"/>
  <c r="C514" i="1"/>
  <c r="I193" i="7"/>
  <c r="D514" i="1"/>
  <c r="J193" i="7"/>
  <c r="K241" i="7"/>
  <c r="K67" i="14"/>
  <c r="D67" i="14"/>
  <c r="B379" i="6"/>
  <c r="F379" i="6"/>
  <c r="D379" i="6"/>
  <c r="H379" i="6"/>
  <c r="J331" i="6"/>
  <c r="N514" i="1"/>
  <c r="B473" i="5"/>
  <c r="D473" i="5"/>
  <c r="F473" i="5"/>
  <c r="I473" i="5"/>
  <c r="B519" i="5"/>
  <c r="D519" i="5"/>
  <c r="F519" i="5"/>
  <c r="I519" i="5"/>
  <c r="F422" i="5"/>
  <c r="B573" i="5"/>
  <c r="D573" i="5"/>
  <c r="F573" i="5"/>
  <c r="H573" i="5"/>
  <c r="J573" i="5"/>
  <c r="M573" i="5"/>
  <c r="B618" i="5"/>
  <c r="D618" i="5"/>
  <c r="F618" i="5"/>
  <c r="H618" i="5"/>
  <c r="J618" i="5"/>
  <c r="M618" i="5"/>
  <c r="B671" i="5"/>
  <c r="D378" i="5"/>
  <c r="J671" i="5"/>
  <c r="D671" i="5"/>
  <c r="B377" i="5"/>
  <c r="F377" i="5"/>
  <c r="F671" i="5"/>
  <c r="H373" i="5"/>
  <c r="H374" i="5"/>
  <c r="H375" i="5"/>
  <c r="H376" i="5"/>
  <c r="H377" i="5"/>
  <c r="H671" i="5"/>
  <c r="J378" i="5"/>
  <c r="L671" i="5"/>
  <c r="H422" i="5"/>
  <c r="J422" i="5"/>
  <c r="F412" i="1"/>
  <c r="B331" i="6"/>
  <c r="D331" i="6"/>
  <c r="F331" i="6"/>
  <c r="H331" i="6"/>
  <c r="L514" i="1"/>
  <c r="B450" i="11"/>
  <c r="D450" i="11"/>
  <c r="F450" i="11"/>
  <c r="I450" i="11"/>
  <c r="B404" i="11"/>
  <c r="D404" i="11"/>
  <c r="F404" i="11"/>
  <c r="I404" i="11"/>
  <c r="F353" i="11"/>
  <c r="B504" i="11"/>
  <c r="D504" i="11"/>
  <c r="F504" i="11"/>
  <c r="H504" i="11"/>
  <c r="J504" i="11"/>
  <c r="M504" i="11"/>
  <c r="B549" i="11"/>
  <c r="D549" i="11"/>
  <c r="F549" i="11"/>
  <c r="H549" i="11"/>
  <c r="J549" i="11"/>
  <c r="M549" i="11"/>
  <c r="B308" i="11"/>
  <c r="F308" i="11"/>
  <c r="B602" i="11"/>
  <c r="F602" i="11"/>
  <c r="H306" i="11"/>
  <c r="H307" i="11"/>
  <c r="H308" i="11"/>
  <c r="J602" i="11"/>
  <c r="H602" i="11"/>
  <c r="J308" i="11"/>
  <c r="L602" i="11"/>
  <c r="H353" i="11"/>
  <c r="J353" i="11"/>
  <c r="J412" i="1"/>
  <c r="H863" i="1"/>
  <c r="F67" i="14"/>
  <c r="D945" i="1"/>
  <c r="K130" i="13"/>
  <c r="K161" i="13"/>
  <c r="D479" i="13"/>
  <c r="F945" i="1"/>
  <c r="H945" i="1"/>
  <c r="H67" i="14"/>
  <c r="J67" i="14"/>
  <c r="L67" i="14"/>
  <c r="M67" i="14"/>
  <c r="A106" i="2"/>
  <c r="C106" i="2"/>
  <c r="B106" i="2"/>
  <c r="D106" i="2"/>
  <c r="E106" i="2"/>
  <c r="J379" i="6"/>
  <c r="A549" i="6"/>
  <c r="C549" i="6"/>
  <c r="E549" i="6"/>
  <c r="G549" i="6"/>
  <c r="I549" i="6"/>
  <c r="A380" i="6"/>
  <c r="E380" i="6"/>
  <c r="C380" i="6"/>
  <c r="G380" i="6"/>
  <c r="A147" i="4"/>
  <c r="C147" i="4"/>
  <c r="K147" i="4"/>
  <c r="E147" i="4"/>
  <c r="B147" i="4"/>
  <c r="D147" i="4"/>
  <c r="F147" i="4"/>
  <c r="G147" i="4"/>
  <c r="I255" i="1"/>
  <c r="C106" i="3"/>
  <c r="E106" i="3"/>
  <c r="D106" i="3"/>
  <c r="A107" i="3"/>
  <c r="B107" i="3"/>
  <c r="F106" i="3"/>
  <c r="G106" i="3"/>
  <c r="C255" i="1"/>
  <c r="A85" i="10"/>
  <c r="C85" i="10"/>
  <c r="B85" i="10"/>
  <c r="D85" i="10"/>
  <c r="E85" i="10"/>
  <c r="F85" i="10"/>
  <c r="C328" i="1"/>
  <c r="A119" i="15"/>
  <c r="C119" i="15"/>
  <c r="E328" i="1"/>
  <c r="K328" i="1"/>
  <c r="I864" i="1"/>
  <c r="C68" i="14"/>
  <c r="I332" i="6"/>
  <c r="M515" i="1"/>
  <c r="A474" i="5"/>
  <c r="C474" i="5"/>
  <c r="E474" i="5"/>
  <c r="H474" i="5"/>
  <c r="A520" i="5"/>
  <c r="C520" i="5"/>
  <c r="E520" i="5"/>
  <c r="H520" i="5"/>
  <c r="E423" i="5"/>
  <c r="A574" i="5"/>
  <c r="C574" i="5"/>
  <c r="E574" i="5"/>
  <c r="G574" i="5"/>
  <c r="I574" i="5"/>
  <c r="L574" i="5"/>
  <c r="A619" i="5"/>
  <c r="C619" i="5"/>
  <c r="E619" i="5"/>
  <c r="G619" i="5"/>
  <c r="I619" i="5"/>
  <c r="L619" i="5"/>
  <c r="A672" i="5"/>
  <c r="C379" i="5"/>
  <c r="I672" i="5"/>
  <c r="C672" i="5"/>
  <c r="A378" i="5"/>
  <c r="E378" i="5"/>
  <c r="E672" i="5"/>
  <c r="G378" i="5"/>
  <c r="G672" i="5"/>
  <c r="I379" i="5"/>
  <c r="K672" i="5"/>
  <c r="G423" i="5"/>
  <c r="I423" i="5"/>
  <c r="E413" i="1"/>
  <c r="A332" i="6"/>
  <c r="C332" i="6"/>
  <c r="E332" i="6"/>
  <c r="G332" i="6"/>
  <c r="K515" i="1"/>
  <c r="A451" i="11"/>
  <c r="C451" i="11"/>
  <c r="E451" i="11"/>
  <c r="H451" i="11"/>
  <c r="A405" i="11"/>
  <c r="C405" i="11"/>
  <c r="E405" i="11"/>
  <c r="H405" i="11"/>
  <c r="E354" i="11"/>
  <c r="C310" i="11"/>
  <c r="A505" i="11"/>
  <c r="C505" i="11"/>
  <c r="E505" i="11"/>
  <c r="G505" i="11"/>
  <c r="I505" i="11"/>
  <c r="L505" i="11"/>
  <c r="A550" i="11"/>
  <c r="C550" i="11"/>
  <c r="E550" i="11"/>
  <c r="G550" i="11"/>
  <c r="I550" i="11"/>
  <c r="L550" i="11"/>
  <c r="A309" i="11"/>
  <c r="E309" i="11"/>
  <c r="A603" i="11"/>
  <c r="E603" i="11"/>
  <c r="G309" i="11"/>
  <c r="I603" i="11"/>
  <c r="G603" i="11"/>
  <c r="I309" i="11"/>
  <c r="K603" i="11"/>
  <c r="G354" i="11"/>
  <c r="I354" i="11"/>
  <c r="I413" i="1"/>
  <c r="G864" i="1"/>
  <c r="E68" i="14"/>
  <c r="A946" i="1"/>
  <c r="B946" i="1"/>
  <c r="C946" i="1"/>
  <c r="A480" i="13"/>
  <c r="F127" i="13"/>
  <c r="C480" i="13"/>
  <c r="E946" i="1"/>
  <c r="G946" i="1"/>
  <c r="G68" i="14"/>
  <c r="I68" i="14"/>
  <c r="A515" i="1"/>
  <c r="E515" i="1"/>
  <c r="G515" i="1"/>
  <c r="I515" i="1"/>
  <c r="E864" i="1"/>
  <c r="I106" i="3"/>
  <c r="K106" i="3"/>
  <c r="G255" i="1"/>
  <c r="L864" i="1"/>
  <c r="C194" i="7"/>
  <c r="N67" i="14"/>
  <c r="F106" i="2"/>
  <c r="G106" i="2"/>
  <c r="H106" i="2"/>
  <c r="K379" i="6"/>
  <c r="B549" i="6"/>
  <c r="D549" i="6"/>
  <c r="F549" i="6"/>
  <c r="B515" i="1"/>
  <c r="F515" i="1"/>
  <c r="H549" i="6"/>
  <c r="H515" i="1"/>
  <c r="J549" i="6"/>
  <c r="J515" i="1"/>
  <c r="F864" i="1"/>
  <c r="H147" i="4"/>
  <c r="J255" i="1"/>
  <c r="H106" i="3"/>
  <c r="D255" i="1"/>
  <c r="G85" i="10"/>
  <c r="H85" i="10"/>
  <c r="I85" i="10"/>
  <c r="J85" i="10"/>
  <c r="D328" i="1"/>
  <c r="B119" i="15"/>
  <c r="D119" i="15"/>
  <c r="F328" i="1"/>
  <c r="F119" i="15"/>
  <c r="H328" i="1"/>
  <c r="L328" i="1"/>
  <c r="J864" i="1"/>
  <c r="J106" i="3"/>
  <c r="L106" i="3"/>
  <c r="H255" i="1"/>
  <c r="M864" i="1"/>
  <c r="D194" i="7"/>
  <c r="E194" i="7"/>
  <c r="A194" i="7"/>
  <c r="F194" i="7"/>
  <c r="A525" i="13"/>
  <c r="B525" i="13"/>
  <c r="C525" i="13"/>
  <c r="G480" i="13"/>
  <c r="F525" i="13"/>
  <c r="I525" i="13"/>
  <c r="D525" i="13"/>
  <c r="B480" i="13"/>
  <c r="H480" i="13"/>
  <c r="G525" i="13"/>
  <c r="J525" i="13"/>
  <c r="K525" i="13"/>
  <c r="G194" i="7"/>
  <c r="H194" i="7"/>
  <c r="C242" i="7"/>
  <c r="D242" i="7"/>
  <c r="E242" i="7"/>
  <c r="F242" i="7"/>
  <c r="G242" i="7"/>
  <c r="H242" i="7"/>
  <c r="I242" i="7"/>
  <c r="C515" i="1"/>
  <c r="I194" i="7"/>
  <c r="D515" i="1"/>
  <c r="J194" i="7"/>
  <c r="K242" i="7"/>
  <c r="K68" i="14"/>
  <c r="D68" i="14"/>
  <c r="B380" i="6"/>
  <c r="F380" i="6"/>
  <c r="D380" i="6"/>
  <c r="H380" i="6"/>
  <c r="J332" i="6"/>
  <c r="N515" i="1"/>
  <c r="B474" i="5"/>
  <c r="D474" i="5"/>
  <c r="F474" i="5"/>
  <c r="I474" i="5"/>
  <c r="B520" i="5"/>
  <c r="D520" i="5"/>
  <c r="F520" i="5"/>
  <c r="I520" i="5"/>
  <c r="F423" i="5"/>
  <c r="B574" i="5"/>
  <c r="D574" i="5"/>
  <c r="F574" i="5"/>
  <c r="H574" i="5"/>
  <c r="J574" i="5"/>
  <c r="M574" i="5"/>
  <c r="B619" i="5"/>
  <c r="D619" i="5"/>
  <c r="F619" i="5"/>
  <c r="H619" i="5"/>
  <c r="J619" i="5"/>
  <c r="M619" i="5"/>
  <c r="B672" i="5"/>
  <c r="D379" i="5"/>
  <c r="J672" i="5"/>
  <c r="D672" i="5"/>
  <c r="B378" i="5"/>
  <c r="F378" i="5"/>
  <c r="F672" i="5"/>
  <c r="H378" i="5"/>
  <c r="H672" i="5"/>
  <c r="J379" i="5"/>
  <c r="L672" i="5"/>
  <c r="H423" i="5"/>
  <c r="J423" i="5"/>
  <c r="F413" i="1"/>
  <c r="B332" i="6"/>
  <c r="D332" i="6"/>
  <c r="F332" i="6"/>
  <c r="H332" i="6"/>
  <c r="L515" i="1"/>
  <c r="B451" i="11"/>
  <c r="D451" i="11"/>
  <c r="F451" i="11"/>
  <c r="I451" i="11"/>
  <c r="B405" i="11"/>
  <c r="D405" i="11"/>
  <c r="F405" i="11"/>
  <c r="I405" i="11"/>
  <c r="F354" i="11"/>
  <c r="B505" i="11"/>
  <c r="D505" i="11"/>
  <c r="F505" i="11"/>
  <c r="H505" i="11"/>
  <c r="J505" i="11"/>
  <c r="M505" i="11"/>
  <c r="B550" i="11"/>
  <c r="D550" i="11"/>
  <c r="F550" i="11"/>
  <c r="H550" i="11"/>
  <c r="J550" i="11"/>
  <c r="M550" i="11"/>
  <c r="B309" i="11"/>
  <c r="F309" i="11"/>
  <c r="B603" i="11"/>
  <c r="F603" i="11"/>
  <c r="H309" i="11"/>
  <c r="J603" i="11"/>
  <c r="H603" i="11"/>
  <c r="J309" i="11"/>
  <c r="L603" i="11"/>
  <c r="H354" i="11"/>
  <c r="J354" i="11"/>
  <c r="J413" i="1"/>
  <c r="H864" i="1"/>
  <c r="F68" i="14"/>
  <c r="D946" i="1"/>
  <c r="D480" i="13"/>
  <c r="F946" i="1"/>
  <c r="H946" i="1"/>
  <c r="H68" i="14"/>
  <c r="J68" i="14"/>
  <c r="L68" i="14"/>
  <c r="M68" i="14"/>
  <c r="A107" i="2"/>
  <c r="C107" i="2"/>
  <c r="B107" i="2"/>
  <c r="D107" i="2"/>
  <c r="E107" i="2"/>
  <c r="J380" i="6"/>
  <c r="A550" i="6"/>
  <c r="C550" i="6"/>
  <c r="E550" i="6"/>
  <c r="G550" i="6"/>
  <c r="I550" i="6"/>
  <c r="A381" i="6"/>
  <c r="E381" i="6"/>
  <c r="C381" i="6"/>
  <c r="G381" i="6"/>
  <c r="A148" i="4"/>
  <c r="C148" i="4"/>
  <c r="K148" i="4"/>
  <c r="E148" i="4"/>
  <c r="B148" i="4"/>
  <c r="D148" i="4"/>
  <c r="F148" i="4"/>
  <c r="G148" i="4"/>
  <c r="I256" i="1"/>
  <c r="C107" i="3"/>
  <c r="E107" i="3"/>
  <c r="D107" i="3"/>
  <c r="A108" i="3"/>
  <c r="B108" i="3"/>
  <c r="F107" i="3"/>
  <c r="G107" i="3"/>
  <c r="C256" i="1"/>
  <c r="A86" i="10"/>
  <c r="C86" i="10"/>
  <c r="B86" i="10"/>
  <c r="D86" i="10"/>
  <c r="E86" i="10"/>
  <c r="F86" i="10"/>
  <c r="C329" i="1"/>
  <c r="A120" i="15"/>
  <c r="C120" i="15"/>
  <c r="E329" i="1"/>
  <c r="K329" i="1"/>
  <c r="I865" i="1"/>
  <c r="C69" i="14"/>
  <c r="I333" i="6"/>
  <c r="M516" i="1"/>
  <c r="A475" i="5"/>
  <c r="C475" i="5"/>
  <c r="E475" i="5"/>
  <c r="H475" i="5"/>
  <c r="A521" i="5"/>
  <c r="C521" i="5"/>
  <c r="E521" i="5"/>
  <c r="H521" i="5"/>
  <c r="E424" i="5"/>
  <c r="A575" i="5"/>
  <c r="C575" i="5"/>
  <c r="E575" i="5"/>
  <c r="G575" i="5"/>
  <c r="I575" i="5"/>
  <c r="L575" i="5"/>
  <c r="A620" i="5"/>
  <c r="C620" i="5"/>
  <c r="E620" i="5"/>
  <c r="G620" i="5"/>
  <c r="I620" i="5"/>
  <c r="L620" i="5"/>
  <c r="A673" i="5"/>
  <c r="C380" i="5"/>
  <c r="I673" i="5"/>
  <c r="C673" i="5"/>
  <c r="A379" i="5"/>
  <c r="E379" i="5"/>
  <c r="E673" i="5"/>
  <c r="G379" i="5"/>
  <c r="G673" i="5"/>
  <c r="I380" i="5"/>
  <c r="K673" i="5"/>
  <c r="G424" i="5"/>
  <c r="I424" i="5"/>
  <c r="E414" i="1"/>
  <c r="A333" i="6"/>
  <c r="C333" i="6"/>
  <c r="E333" i="6"/>
  <c r="G333" i="6"/>
  <c r="K516" i="1"/>
  <c r="A452" i="11"/>
  <c r="C452" i="11"/>
  <c r="E452" i="11"/>
  <c r="H452" i="11"/>
  <c r="A406" i="11"/>
  <c r="C406" i="11"/>
  <c r="E406" i="11"/>
  <c r="H406" i="11"/>
  <c r="E355" i="11"/>
  <c r="C311" i="11"/>
  <c r="A506" i="11"/>
  <c r="C506" i="11"/>
  <c r="E506" i="11"/>
  <c r="G506" i="11"/>
  <c r="I506" i="11"/>
  <c r="L506" i="11"/>
  <c r="A551" i="11"/>
  <c r="C551" i="11"/>
  <c r="E551" i="11"/>
  <c r="G551" i="11"/>
  <c r="I551" i="11"/>
  <c r="L551" i="11"/>
  <c r="A310" i="11"/>
  <c r="E310" i="11"/>
  <c r="A604" i="11"/>
  <c r="E604" i="11"/>
  <c r="G310" i="11"/>
  <c r="I604" i="11"/>
  <c r="G604" i="11"/>
  <c r="I310" i="11"/>
  <c r="K604" i="11"/>
  <c r="G355" i="11"/>
  <c r="I355" i="11"/>
  <c r="I414" i="1"/>
  <c r="G865" i="1"/>
  <c r="E69" i="14"/>
  <c r="A947" i="1"/>
  <c r="B947" i="1"/>
  <c r="C947" i="1"/>
  <c r="A481" i="13"/>
  <c r="C481" i="13"/>
  <c r="E947" i="1"/>
  <c r="G947" i="1"/>
  <c r="G69" i="14"/>
  <c r="I69" i="14"/>
  <c r="A516" i="1"/>
  <c r="E516" i="1"/>
  <c r="G516" i="1"/>
  <c r="I516" i="1"/>
  <c r="E865" i="1"/>
  <c r="I107" i="3"/>
  <c r="K107" i="3"/>
  <c r="G256" i="1"/>
  <c r="L865" i="1"/>
  <c r="C195" i="7"/>
  <c r="N68" i="14"/>
  <c r="F107" i="2"/>
  <c r="G107" i="2"/>
  <c r="H107" i="2"/>
  <c r="K380" i="6"/>
  <c r="B550" i="6"/>
  <c r="D550" i="6"/>
  <c r="F550" i="6"/>
  <c r="B516" i="1"/>
  <c r="F516" i="1"/>
  <c r="H550" i="6"/>
  <c r="H516" i="1"/>
  <c r="J550" i="6"/>
  <c r="J516" i="1"/>
  <c r="F865" i="1"/>
  <c r="H148" i="4"/>
  <c r="J256" i="1"/>
  <c r="H107" i="3"/>
  <c r="D256" i="1"/>
  <c r="G86" i="10"/>
  <c r="H86" i="10"/>
  <c r="I86" i="10"/>
  <c r="J86" i="10"/>
  <c r="D329" i="1"/>
  <c r="B120" i="15"/>
  <c r="D120" i="15"/>
  <c r="F329" i="1"/>
  <c r="F120" i="15"/>
  <c r="H329" i="1"/>
  <c r="L329" i="1"/>
  <c r="J865" i="1"/>
  <c r="J107" i="3"/>
  <c r="L107" i="3"/>
  <c r="H256" i="1"/>
  <c r="M865" i="1"/>
  <c r="D195" i="7"/>
  <c r="E195" i="7"/>
  <c r="A195" i="7"/>
  <c r="F195" i="7"/>
  <c r="A526" i="13"/>
  <c r="B526" i="13"/>
  <c r="C526" i="13"/>
  <c r="G481" i="13"/>
  <c r="F526" i="13"/>
  <c r="I526" i="13"/>
  <c r="D526" i="13"/>
  <c r="B481" i="13"/>
  <c r="H481" i="13"/>
  <c r="G526" i="13"/>
  <c r="J526" i="13"/>
  <c r="K526" i="13"/>
  <c r="G195" i="7"/>
  <c r="H195" i="7"/>
  <c r="C243" i="7"/>
  <c r="D243" i="7"/>
  <c r="E243" i="7"/>
  <c r="F243" i="7"/>
  <c r="G243" i="7"/>
  <c r="H243" i="7"/>
  <c r="I243" i="7"/>
  <c r="C516" i="1"/>
  <c r="I195" i="7"/>
  <c r="D516" i="1"/>
  <c r="J195" i="7"/>
  <c r="K243" i="7"/>
  <c r="K69" i="14"/>
  <c r="D69" i="14"/>
  <c r="B381" i="6"/>
  <c r="F381" i="6"/>
  <c r="D381" i="6"/>
  <c r="H381" i="6"/>
  <c r="J333" i="6"/>
  <c r="N516" i="1"/>
  <c r="B475" i="5"/>
  <c r="D475" i="5"/>
  <c r="F475" i="5"/>
  <c r="I475" i="5"/>
  <c r="B521" i="5"/>
  <c r="D521" i="5"/>
  <c r="F521" i="5"/>
  <c r="I521" i="5"/>
  <c r="F424" i="5"/>
  <c r="B575" i="5"/>
  <c r="D575" i="5"/>
  <c r="F575" i="5"/>
  <c r="H575" i="5"/>
  <c r="J575" i="5"/>
  <c r="M575" i="5"/>
  <c r="B620" i="5"/>
  <c r="D620" i="5"/>
  <c r="F620" i="5"/>
  <c r="H620" i="5"/>
  <c r="J620" i="5"/>
  <c r="M620" i="5"/>
  <c r="B673" i="5"/>
  <c r="D380" i="5"/>
  <c r="J673" i="5"/>
  <c r="D673" i="5"/>
  <c r="B379" i="5"/>
  <c r="F379" i="5"/>
  <c r="F673" i="5"/>
  <c r="H379" i="5"/>
  <c r="H673" i="5"/>
  <c r="J380" i="5"/>
  <c r="L673" i="5"/>
  <c r="H424" i="5"/>
  <c r="J424" i="5"/>
  <c r="F414" i="1"/>
  <c r="B333" i="6"/>
  <c r="D333" i="6"/>
  <c r="F333" i="6"/>
  <c r="H333" i="6"/>
  <c r="L516" i="1"/>
  <c r="B452" i="11"/>
  <c r="D452" i="11"/>
  <c r="F452" i="11"/>
  <c r="I452" i="11"/>
  <c r="B406" i="11"/>
  <c r="D406" i="11"/>
  <c r="F406" i="11"/>
  <c r="I406" i="11"/>
  <c r="F355" i="11"/>
  <c r="D294" i="11"/>
  <c r="D295" i="11"/>
  <c r="D296" i="11"/>
  <c r="D297" i="11"/>
  <c r="D298" i="11"/>
  <c r="D299" i="11"/>
  <c r="D300" i="11"/>
  <c r="D301" i="11"/>
  <c r="D302" i="11"/>
  <c r="D303" i="11"/>
  <c r="D304" i="11"/>
  <c r="D305" i="11"/>
  <c r="D306" i="11"/>
  <c r="D307" i="11"/>
  <c r="D308" i="11"/>
  <c r="D309" i="11"/>
  <c r="D310" i="11"/>
  <c r="D311" i="11"/>
  <c r="B506" i="11"/>
  <c r="D506" i="11"/>
  <c r="F506" i="11"/>
  <c r="H506" i="11"/>
  <c r="J506" i="11"/>
  <c r="M506" i="11"/>
  <c r="B551" i="11"/>
  <c r="D551" i="11"/>
  <c r="F551" i="11"/>
  <c r="H551" i="11"/>
  <c r="J551" i="11"/>
  <c r="M551" i="11"/>
  <c r="B310" i="11"/>
  <c r="F310" i="11"/>
  <c r="B604" i="11"/>
  <c r="F604" i="11"/>
  <c r="H310" i="11"/>
  <c r="J604" i="11"/>
  <c r="H604" i="11"/>
  <c r="J310" i="11"/>
  <c r="L604" i="11"/>
  <c r="H355" i="11"/>
  <c r="J355" i="11"/>
  <c r="J414" i="1"/>
  <c r="H865" i="1"/>
  <c r="F69" i="14"/>
  <c r="D947" i="1"/>
  <c r="D481" i="13"/>
  <c r="F947" i="1"/>
  <c r="H947" i="1"/>
  <c r="H69" i="14"/>
  <c r="J69" i="14"/>
  <c r="L69" i="14"/>
  <c r="M69" i="14"/>
  <c r="A108" i="2"/>
  <c r="C108" i="2"/>
  <c r="B108" i="2"/>
  <c r="D108" i="2"/>
  <c r="E108" i="2"/>
  <c r="J381" i="6"/>
  <c r="A551" i="6"/>
  <c r="C551" i="6"/>
  <c r="E551" i="6"/>
  <c r="G551" i="6"/>
  <c r="I551" i="6"/>
  <c r="A382" i="6"/>
  <c r="E382" i="6"/>
  <c r="C382" i="6"/>
  <c r="G382" i="6"/>
  <c r="A149" i="4"/>
  <c r="C149" i="4"/>
  <c r="K149" i="4"/>
  <c r="E149" i="4"/>
  <c r="B149" i="4"/>
  <c r="D149" i="4"/>
  <c r="F149" i="4"/>
  <c r="G149" i="4"/>
  <c r="I257" i="1"/>
  <c r="C108" i="3"/>
  <c r="E108" i="3"/>
  <c r="D108" i="3"/>
  <c r="A109" i="3"/>
  <c r="B109" i="3"/>
  <c r="F108" i="3"/>
  <c r="G108" i="3"/>
  <c r="C257" i="1"/>
  <c r="A87" i="10"/>
  <c r="C87" i="10"/>
  <c r="B87" i="10"/>
  <c r="D87" i="10"/>
  <c r="E87" i="10"/>
  <c r="F87" i="10"/>
  <c r="C330" i="1"/>
  <c r="A121" i="15"/>
  <c r="C121" i="15"/>
  <c r="E330" i="1"/>
  <c r="K330" i="1"/>
  <c r="I866" i="1"/>
  <c r="C70" i="14"/>
  <c r="I334" i="6"/>
  <c r="M517" i="1"/>
  <c r="A476" i="5"/>
  <c r="C476" i="5"/>
  <c r="E476" i="5"/>
  <c r="H476" i="5"/>
  <c r="A522" i="5"/>
  <c r="C522" i="5"/>
  <c r="E522" i="5"/>
  <c r="H522" i="5"/>
  <c r="E425" i="5"/>
  <c r="A576" i="5"/>
  <c r="C576" i="5"/>
  <c r="E576" i="5"/>
  <c r="G576" i="5"/>
  <c r="I576" i="5"/>
  <c r="L576" i="5"/>
  <c r="A621" i="5"/>
  <c r="C621" i="5"/>
  <c r="E621" i="5"/>
  <c r="G621" i="5"/>
  <c r="I621" i="5"/>
  <c r="L621" i="5"/>
  <c r="A674" i="5"/>
  <c r="C381" i="5"/>
  <c r="I674" i="5"/>
  <c r="C674" i="5"/>
  <c r="A380" i="5"/>
  <c r="E380" i="5"/>
  <c r="E674" i="5"/>
  <c r="G380" i="5"/>
  <c r="G674" i="5"/>
  <c r="I381" i="5"/>
  <c r="K674" i="5"/>
  <c r="G425" i="5"/>
  <c r="I425" i="5"/>
  <c r="E415" i="1"/>
  <c r="A334" i="6"/>
  <c r="C334" i="6"/>
  <c r="E334" i="6"/>
  <c r="G334" i="6"/>
  <c r="K517" i="1"/>
  <c r="A453" i="11"/>
  <c r="C453" i="11"/>
  <c r="E453" i="11"/>
  <c r="H453" i="11"/>
  <c r="A407" i="11"/>
  <c r="C407" i="11"/>
  <c r="E407" i="11"/>
  <c r="H407" i="11"/>
  <c r="E356" i="11"/>
  <c r="C312" i="11"/>
  <c r="A507" i="11"/>
  <c r="C507" i="11"/>
  <c r="E507" i="11"/>
  <c r="G507" i="11"/>
  <c r="I507" i="11"/>
  <c r="L507" i="11"/>
  <c r="A552" i="11"/>
  <c r="C552" i="11"/>
  <c r="E552" i="11"/>
  <c r="G552" i="11"/>
  <c r="I552" i="11"/>
  <c r="L552" i="11"/>
  <c r="A311" i="11"/>
  <c r="E311" i="11"/>
  <c r="A605" i="11"/>
  <c r="E605" i="11"/>
  <c r="G311" i="11"/>
  <c r="I605" i="11"/>
  <c r="G605" i="11"/>
  <c r="I311" i="11"/>
  <c r="K605" i="11"/>
  <c r="G356" i="11"/>
  <c r="I356" i="11"/>
  <c r="I415" i="1"/>
  <c r="G866" i="1"/>
  <c r="E70" i="14"/>
  <c r="A948" i="1"/>
  <c r="B948" i="1"/>
  <c r="C948" i="1"/>
  <c r="A482" i="13"/>
  <c r="C482" i="13"/>
  <c r="E948" i="1"/>
  <c r="G948" i="1"/>
  <c r="G70" i="14"/>
  <c r="I70" i="14"/>
  <c r="A517" i="1"/>
  <c r="E517" i="1"/>
  <c r="G517" i="1"/>
  <c r="I517" i="1"/>
  <c r="E866" i="1"/>
  <c r="I108" i="3"/>
  <c r="K108" i="3"/>
  <c r="G257" i="1"/>
  <c r="L866" i="1"/>
  <c r="C196" i="7"/>
  <c r="N69" i="14"/>
  <c r="F108" i="2"/>
  <c r="G108" i="2"/>
  <c r="H108" i="2"/>
  <c r="K381" i="6"/>
  <c r="B551" i="6"/>
  <c r="D551" i="6"/>
  <c r="F551" i="6"/>
  <c r="B517" i="1"/>
  <c r="F517" i="1"/>
  <c r="H551" i="6"/>
  <c r="H517" i="1"/>
  <c r="J551" i="6"/>
  <c r="J517" i="1"/>
  <c r="F866" i="1"/>
  <c r="H149" i="4"/>
  <c r="J257" i="1"/>
  <c r="H108" i="3"/>
  <c r="D257" i="1"/>
  <c r="G87" i="10"/>
  <c r="H87" i="10"/>
  <c r="I87" i="10"/>
  <c r="J87" i="10"/>
  <c r="D330" i="1"/>
  <c r="B121" i="15"/>
  <c r="D121" i="15"/>
  <c r="F330" i="1"/>
  <c r="F121" i="15"/>
  <c r="H330" i="1"/>
  <c r="L330" i="1"/>
  <c r="J866" i="1"/>
  <c r="J108" i="3"/>
  <c r="L108" i="3"/>
  <c r="H257" i="1"/>
  <c r="M866" i="1"/>
  <c r="D196" i="7"/>
  <c r="E196" i="7"/>
  <c r="A196" i="7"/>
  <c r="F196" i="7"/>
  <c r="A527" i="13"/>
  <c r="B527" i="13"/>
  <c r="C527" i="13"/>
  <c r="G482" i="13"/>
  <c r="F527" i="13"/>
  <c r="I527" i="13"/>
  <c r="D527" i="13"/>
  <c r="B482" i="13"/>
  <c r="H482" i="13"/>
  <c r="G527" i="13"/>
  <c r="J527" i="13"/>
  <c r="K527" i="13"/>
  <c r="G196" i="7"/>
  <c r="H196" i="7"/>
  <c r="C244" i="7"/>
  <c r="D244" i="7"/>
  <c r="E244" i="7"/>
  <c r="F244" i="7"/>
  <c r="G244" i="7"/>
  <c r="H244" i="7"/>
  <c r="I244" i="7"/>
  <c r="C517" i="1"/>
  <c r="I196" i="7"/>
  <c r="D517" i="1"/>
  <c r="J196" i="7"/>
  <c r="K244" i="7"/>
  <c r="K70" i="14"/>
  <c r="D70" i="14"/>
  <c r="B382" i="6"/>
  <c r="F382" i="6"/>
  <c r="D382" i="6"/>
  <c r="H382" i="6"/>
  <c r="J334" i="6"/>
  <c r="N517" i="1"/>
  <c r="B476" i="5"/>
  <c r="D476" i="5"/>
  <c r="F476" i="5"/>
  <c r="I476" i="5"/>
  <c r="B522" i="5"/>
  <c r="D522" i="5"/>
  <c r="F522" i="5"/>
  <c r="I522" i="5"/>
  <c r="F425" i="5"/>
  <c r="B576" i="5"/>
  <c r="D576" i="5"/>
  <c r="F576" i="5"/>
  <c r="H576" i="5"/>
  <c r="J576" i="5"/>
  <c r="M576" i="5"/>
  <c r="B621" i="5"/>
  <c r="D621" i="5"/>
  <c r="F621" i="5"/>
  <c r="H621" i="5"/>
  <c r="J621" i="5"/>
  <c r="M621" i="5"/>
  <c r="B674" i="5"/>
  <c r="D381" i="5"/>
  <c r="J674" i="5"/>
  <c r="D674" i="5"/>
  <c r="B380" i="5"/>
  <c r="F380" i="5"/>
  <c r="F674" i="5"/>
  <c r="H380" i="5"/>
  <c r="H674" i="5"/>
  <c r="J381" i="5"/>
  <c r="L674" i="5"/>
  <c r="H425" i="5"/>
  <c r="J425" i="5"/>
  <c r="F415" i="1"/>
  <c r="B334" i="6"/>
  <c r="D334" i="6"/>
  <c r="F334" i="6"/>
  <c r="H334" i="6"/>
  <c r="L517" i="1"/>
  <c r="B453" i="11"/>
  <c r="D453" i="11"/>
  <c r="F453" i="11"/>
  <c r="I453" i="11"/>
  <c r="B407" i="11"/>
  <c r="D407" i="11"/>
  <c r="F407" i="11"/>
  <c r="I407" i="11"/>
  <c r="F356" i="11"/>
  <c r="D312" i="11"/>
  <c r="B507" i="11"/>
  <c r="D507" i="11"/>
  <c r="F507" i="11"/>
  <c r="H507" i="11"/>
  <c r="J507" i="11"/>
  <c r="M507" i="11"/>
  <c r="B552" i="11"/>
  <c r="D552" i="11"/>
  <c r="F552" i="11"/>
  <c r="H552" i="11"/>
  <c r="J552" i="11"/>
  <c r="M552" i="11"/>
  <c r="B311" i="11"/>
  <c r="F311" i="11"/>
  <c r="B605" i="11"/>
  <c r="F605" i="11"/>
  <c r="H311" i="11"/>
  <c r="J605" i="11"/>
  <c r="H605" i="11"/>
  <c r="J311" i="11"/>
  <c r="L605" i="11"/>
  <c r="H356" i="11"/>
  <c r="J356" i="11"/>
  <c r="J415" i="1"/>
  <c r="H866" i="1"/>
  <c r="F70" i="14"/>
  <c r="D948" i="1"/>
  <c r="D482" i="13"/>
  <c r="F948" i="1"/>
  <c r="H948" i="1"/>
  <c r="H70" i="14"/>
  <c r="J70" i="14"/>
  <c r="L70" i="14"/>
  <c r="M70" i="14"/>
  <c r="A109" i="2"/>
  <c r="C109" i="2"/>
  <c r="B109" i="2"/>
  <c r="D109" i="2"/>
  <c r="E109" i="2"/>
  <c r="J382" i="6"/>
  <c r="A552" i="6"/>
  <c r="C552" i="6"/>
  <c r="E552" i="6"/>
  <c r="G552" i="6"/>
  <c r="I552" i="6"/>
  <c r="A383" i="6"/>
  <c r="E383" i="6"/>
  <c r="C383" i="6"/>
  <c r="G383" i="6"/>
  <c r="A150" i="4"/>
  <c r="C150" i="4"/>
  <c r="K150" i="4"/>
  <c r="E150" i="4"/>
  <c r="B150" i="4"/>
  <c r="D150" i="4"/>
  <c r="F150" i="4"/>
  <c r="G150" i="4"/>
  <c r="I258" i="1"/>
  <c r="C109" i="3"/>
  <c r="E109" i="3"/>
  <c r="D109" i="3"/>
  <c r="A110" i="3"/>
  <c r="B110" i="3"/>
  <c r="F109" i="3"/>
  <c r="G109" i="3"/>
  <c r="C258" i="1"/>
  <c r="A88" i="10"/>
  <c r="C88" i="10"/>
  <c r="B88" i="10"/>
  <c r="D88" i="10"/>
  <c r="E88" i="10"/>
  <c r="F88" i="10"/>
  <c r="C331" i="1"/>
  <c r="A122" i="15"/>
  <c r="C122" i="15"/>
  <c r="E331" i="1"/>
  <c r="K331" i="1"/>
  <c r="I867" i="1"/>
  <c r="C71" i="14"/>
  <c r="I335" i="6"/>
  <c r="M518" i="1"/>
  <c r="A477" i="5"/>
  <c r="C477" i="5"/>
  <c r="E477" i="5"/>
  <c r="H477" i="5"/>
  <c r="A523" i="5"/>
  <c r="C523" i="5"/>
  <c r="E523" i="5"/>
  <c r="H523" i="5"/>
  <c r="E426" i="5"/>
  <c r="A577" i="5"/>
  <c r="C577" i="5"/>
  <c r="E577" i="5"/>
  <c r="G577" i="5"/>
  <c r="I577" i="5"/>
  <c r="L577" i="5"/>
  <c r="A622" i="5"/>
  <c r="C622" i="5"/>
  <c r="E622" i="5"/>
  <c r="G622" i="5"/>
  <c r="I622" i="5"/>
  <c r="L622" i="5"/>
  <c r="A675" i="5"/>
  <c r="C382" i="5"/>
  <c r="I675" i="5"/>
  <c r="C675" i="5"/>
  <c r="A381" i="5"/>
  <c r="E381" i="5"/>
  <c r="E675" i="5"/>
  <c r="G381" i="5"/>
  <c r="G675" i="5"/>
  <c r="I382" i="5"/>
  <c r="K675" i="5"/>
  <c r="G426" i="5"/>
  <c r="I426" i="5"/>
  <c r="E416" i="1"/>
  <c r="A335" i="6"/>
  <c r="C335" i="6"/>
  <c r="E335" i="6"/>
  <c r="G335" i="6"/>
  <c r="K518" i="1"/>
  <c r="A454" i="11"/>
  <c r="C454" i="11"/>
  <c r="E454" i="11"/>
  <c r="H454" i="11"/>
  <c r="A408" i="11"/>
  <c r="C408" i="11"/>
  <c r="E408" i="11"/>
  <c r="H408" i="11"/>
  <c r="E357" i="11"/>
  <c r="C313" i="11"/>
  <c r="A508" i="11"/>
  <c r="C508" i="11"/>
  <c r="E508" i="11"/>
  <c r="G508" i="11"/>
  <c r="I508" i="11"/>
  <c r="L508" i="11"/>
  <c r="A553" i="11"/>
  <c r="C553" i="11"/>
  <c r="E553" i="11"/>
  <c r="G553" i="11"/>
  <c r="I553" i="11"/>
  <c r="L553" i="11"/>
  <c r="A312" i="11"/>
  <c r="E312" i="11"/>
  <c r="A606" i="11"/>
  <c r="E606" i="11"/>
  <c r="G312" i="11"/>
  <c r="I606" i="11"/>
  <c r="G606" i="11"/>
  <c r="I312" i="11"/>
  <c r="K606" i="11"/>
  <c r="G357" i="11"/>
  <c r="I357" i="11"/>
  <c r="I416" i="1"/>
  <c r="G867" i="1"/>
  <c r="E71" i="14"/>
  <c r="A949" i="1"/>
  <c r="B949" i="1"/>
  <c r="C949" i="1"/>
  <c r="A483" i="13"/>
  <c r="C483" i="13"/>
  <c r="E949" i="1"/>
  <c r="G949" i="1"/>
  <c r="G71" i="14"/>
  <c r="I71" i="14"/>
  <c r="A518" i="1"/>
  <c r="E518" i="1"/>
  <c r="G518" i="1"/>
  <c r="I518" i="1"/>
  <c r="E867" i="1"/>
  <c r="I109" i="3"/>
  <c r="K109" i="3"/>
  <c r="G258" i="1"/>
  <c r="L867" i="1"/>
  <c r="C197" i="7"/>
  <c r="N70" i="14"/>
  <c r="F109" i="2"/>
  <c r="G109" i="2"/>
  <c r="H109" i="2"/>
  <c r="K382" i="6"/>
  <c r="B552" i="6"/>
  <c r="D552" i="6"/>
  <c r="F552" i="6"/>
  <c r="B518" i="1"/>
  <c r="F518" i="1"/>
  <c r="H552" i="6"/>
  <c r="H518" i="1"/>
  <c r="J552" i="6"/>
  <c r="J518" i="1"/>
  <c r="F867" i="1"/>
  <c r="H150" i="4"/>
  <c r="J258" i="1"/>
  <c r="H109" i="3"/>
  <c r="D258" i="1"/>
  <c r="G88" i="10"/>
  <c r="H88" i="10"/>
  <c r="I88" i="10"/>
  <c r="J88" i="10"/>
  <c r="D331" i="1"/>
  <c r="B122" i="15"/>
  <c r="D122" i="15"/>
  <c r="F331" i="1"/>
  <c r="F122" i="15"/>
  <c r="H331" i="1"/>
  <c r="L331" i="1"/>
  <c r="J867" i="1"/>
  <c r="J109" i="3"/>
  <c r="L109" i="3"/>
  <c r="H258" i="1"/>
  <c r="M867" i="1"/>
  <c r="D197" i="7"/>
  <c r="E197" i="7"/>
  <c r="A197" i="7"/>
  <c r="F197" i="7"/>
  <c r="A528" i="13"/>
  <c r="B528" i="13"/>
  <c r="C528" i="13"/>
  <c r="G483" i="13"/>
  <c r="F528" i="13"/>
  <c r="I528" i="13"/>
  <c r="D528" i="13"/>
  <c r="B483" i="13"/>
  <c r="H483" i="13"/>
  <c r="G528" i="13"/>
  <c r="J528" i="13"/>
  <c r="K528" i="13"/>
  <c r="G197" i="7"/>
  <c r="H197" i="7"/>
  <c r="C245" i="7"/>
  <c r="D245" i="7"/>
  <c r="E245" i="7"/>
  <c r="F245" i="7"/>
  <c r="G245" i="7"/>
  <c r="H245" i="7"/>
  <c r="I245" i="7"/>
  <c r="C518" i="1"/>
  <c r="I197" i="7"/>
  <c r="D518" i="1"/>
  <c r="J197" i="7"/>
  <c r="K245" i="7"/>
  <c r="K71" i="14"/>
  <c r="D71" i="14"/>
  <c r="B383" i="6"/>
  <c r="F383" i="6"/>
  <c r="D383" i="6"/>
  <c r="H383" i="6"/>
  <c r="J335" i="6"/>
  <c r="N518" i="1"/>
  <c r="B477" i="5"/>
  <c r="D477" i="5"/>
  <c r="F477" i="5"/>
  <c r="I477" i="5"/>
  <c r="B523" i="5"/>
  <c r="D523" i="5"/>
  <c r="F523" i="5"/>
  <c r="I523" i="5"/>
  <c r="F426" i="5"/>
  <c r="B577" i="5"/>
  <c r="D577" i="5"/>
  <c r="F577" i="5"/>
  <c r="H577" i="5"/>
  <c r="J577" i="5"/>
  <c r="M577" i="5"/>
  <c r="B622" i="5"/>
  <c r="D622" i="5"/>
  <c r="F622" i="5"/>
  <c r="H622" i="5"/>
  <c r="J622" i="5"/>
  <c r="M622" i="5"/>
  <c r="B675" i="5"/>
  <c r="D382" i="5"/>
  <c r="J675" i="5"/>
  <c r="D675" i="5"/>
  <c r="B381" i="5"/>
  <c r="F381" i="5"/>
  <c r="F675" i="5"/>
  <c r="H381" i="5"/>
  <c r="H675" i="5"/>
  <c r="J382" i="5"/>
  <c r="L675" i="5"/>
  <c r="H426" i="5"/>
  <c r="J426" i="5"/>
  <c r="F416" i="1"/>
  <c r="B335" i="6"/>
  <c r="D335" i="6"/>
  <c r="F335" i="6"/>
  <c r="H335" i="6"/>
  <c r="L518" i="1"/>
  <c r="B454" i="11"/>
  <c r="D454" i="11"/>
  <c r="F454" i="11"/>
  <c r="I454" i="11"/>
  <c r="B408" i="11"/>
  <c r="D408" i="11"/>
  <c r="F408" i="11"/>
  <c r="I408" i="11"/>
  <c r="F357" i="11"/>
  <c r="D313" i="11"/>
  <c r="B508" i="11"/>
  <c r="D508" i="11"/>
  <c r="F508" i="11"/>
  <c r="H508" i="11"/>
  <c r="J508" i="11"/>
  <c r="M508" i="11"/>
  <c r="B553" i="11"/>
  <c r="D553" i="11"/>
  <c r="F553" i="11"/>
  <c r="H553" i="11"/>
  <c r="J553" i="11"/>
  <c r="M553" i="11"/>
  <c r="B312" i="11"/>
  <c r="F312" i="11"/>
  <c r="B606" i="11"/>
  <c r="F606" i="11"/>
  <c r="H312" i="11"/>
  <c r="J606" i="11"/>
  <c r="H606" i="11"/>
  <c r="J312" i="11"/>
  <c r="L606" i="11"/>
  <c r="H357" i="11"/>
  <c r="J357" i="11"/>
  <c r="J416" i="1"/>
  <c r="H867" i="1"/>
  <c r="F71" i="14"/>
  <c r="D949" i="1"/>
  <c r="K119" i="13"/>
  <c r="K127" i="13"/>
  <c r="D483" i="13"/>
  <c r="F949" i="1"/>
  <c r="H949" i="1"/>
  <c r="H71" i="14"/>
  <c r="J71" i="14"/>
  <c r="L71" i="14"/>
  <c r="M71" i="14"/>
  <c r="A110" i="2"/>
  <c r="C110" i="2"/>
  <c r="B110" i="2"/>
  <c r="D110" i="2"/>
  <c r="E110" i="2"/>
  <c r="J383" i="6"/>
  <c r="A553" i="6"/>
  <c r="C553" i="6"/>
  <c r="E553" i="6"/>
  <c r="G553" i="6"/>
  <c r="I553" i="6"/>
  <c r="A384" i="6"/>
  <c r="E384" i="6"/>
  <c r="C384" i="6"/>
  <c r="G384" i="6"/>
  <c r="A151" i="4"/>
  <c r="C151" i="4"/>
  <c r="K151" i="4"/>
  <c r="E151" i="4"/>
  <c r="B151" i="4"/>
  <c r="D151" i="4"/>
  <c r="F151" i="4"/>
  <c r="G151" i="4"/>
  <c r="I259" i="1"/>
  <c r="C110" i="3"/>
  <c r="E110" i="3"/>
  <c r="D110" i="3"/>
  <c r="A111" i="3"/>
  <c r="B111" i="3"/>
  <c r="F110" i="3"/>
  <c r="G110" i="3"/>
  <c r="C259" i="1"/>
  <c r="A89" i="10"/>
  <c r="C89" i="10"/>
  <c r="B89" i="10"/>
  <c r="D89" i="10"/>
  <c r="E89" i="10"/>
  <c r="F89" i="10"/>
  <c r="C332" i="1"/>
  <c r="A123" i="15"/>
  <c r="C123" i="15"/>
  <c r="E332" i="1"/>
  <c r="K332" i="1"/>
  <c r="I868" i="1"/>
  <c r="C72" i="14"/>
  <c r="I336" i="6"/>
  <c r="M519" i="1"/>
  <c r="A478" i="5"/>
  <c r="C478" i="5"/>
  <c r="E478" i="5"/>
  <c r="H478" i="5"/>
  <c r="A524" i="5"/>
  <c r="C524" i="5"/>
  <c r="E524" i="5"/>
  <c r="H524" i="5"/>
  <c r="E427" i="5"/>
  <c r="A578" i="5"/>
  <c r="C578" i="5"/>
  <c r="E578" i="5"/>
  <c r="G578" i="5"/>
  <c r="I578" i="5"/>
  <c r="L578" i="5"/>
  <c r="A623" i="5"/>
  <c r="C623" i="5"/>
  <c r="E623" i="5"/>
  <c r="G623" i="5"/>
  <c r="I623" i="5"/>
  <c r="L623" i="5"/>
  <c r="A676" i="5"/>
  <c r="C383" i="5"/>
  <c r="I676" i="5"/>
  <c r="C676" i="5"/>
  <c r="A382" i="5"/>
  <c r="E382" i="5"/>
  <c r="E676" i="5"/>
  <c r="G382" i="5"/>
  <c r="G676" i="5"/>
  <c r="I383" i="5"/>
  <c r="K676" i="5"/>
  <c r="G427" i="5"/>
  <c r="I427" i="5"/>
  <c r="E417" i="1"/>
  <c r="A336" i="6"/>
  <c r="C336" i="6"/>
  <c r="E336" i="6"/>
  <c r="G336" i="6"/>
  <c r="K519" i="1"/>
  <c r="A455" i="11"/>
  <c r="C455" i="11"/>
  <c r="E455" i="11"/>
  <c r="H455" i="11"/>
  <c r="A409" i="11"/>
  <c r="C409" i="11"/>
  <c r="E409" i="11"/>
  <c r="H409" i="11"/>
  <c r="E358" i="11"/>
  <c r="C314" i="11"/>
  <c r="A509" i="11"/>
  <c r="C509" i="11"/>
  <c r="E509" i="11"/>
  <c r="G509" i="11"/>
  <c r="I509" i="11"/>
  <c r="L509" i="11"/>
  <c r="A554" i="11"/>
  <c r="C554" i="11"/>
  <c r="E554" i="11"/>
  <c r="G554" i="11"/>
  <c r="I554" i="11"/>
  <c r="L554" i="11"/>
  <c r="A313" i="11"/>
  <c r="E313" i="11"/>
  <c r="A607" i="11"/>
  <c r="E607" i="11"/>
  <c r="G313" i="11"/>
  <c r="I607" i="11"/>
  <c r="G607" i="11"/>
  <c r="I313" i="11"/>
  <c r="K607" i="11"/>
  <c r="G358" i="11"/>
  <c r="I358" i="11"/>
  <c r="I417" i="1"/>
  <c r="G868" i="1"/>
  <c r="E72" i="14"/>
  <c r="A950" i="1"/>
  <c r="B950" i="1"/>
  <c r="C950" i="1"/>
  <c r="A484" i="13"/>
  <c r="F164" i="13"/>
  <c r="C484" i="13"/>
  <c r="E950" i="1"/>
  <c r="G950" i="1"/>
  <c r="G72" i="14"/>
  <c r="I72" i="14"/>
  <c r="A519" i="1"/>
  <c r="E519" i="1"/>
  <c r="G519" i="1"/>
  <c r="I519" i="1"/>
  <c r="E868" i="1"/>
  <c r="I110" i="3"/>
  <c r="K110" i="3"/>
  <c r="G259" i="1"/>
  <c r="L868" i="1"/>
  <c r="C198" i="7"/>
  <c r="N71" i="14"/>
  <c r="F110" i="2"/>
  <c r="G110" i="2"/>
  <c r="H110" i="2"/>
  <c r="K383" i="6"/>
  <c r="B553" i="6"/>
  <c r="D553" i="6"/>
  <c r="F553" i="6"/>
  <c r="B519" i="1"/>
  <c r="F519" i="1"/>
  <c r="H553" i="6"/>
  <c r="H519" i="1"/>
  <c r="J553" i="6"/>
  <c r="J519" i="1"/>
  <c r="F868" i="1"/>
  <c r="H151" i="4"/>
  <c r="J259" i="1"/>
  <c r="H110" i="3"/>
  <c r="D259" i="1"/>
  <c r="G89" i="10"/>
  <c r="H89" i="10"/>
  <c r="I89" i="10"/>
  <c r="J89" i="10"/>
  <c r="D332" i="1"/>
  <c r="B123" i="15"/>
  <c r="D123" i="15"/>
  <c r="F332" i="1"/>
  <c r="F123" i="15"/>
  <c r="H332" i="1"/>
  <c r="L332" i="1"/>
  <c r="J868" i="1"/>
  <c r="J110" i="3"/>
  <c r="L110" i="3"/>
  <c r="H259" i="1"/>
  <c r="M868" i="1"/>
  <c r="D198" i="7"/>
  <c r="E198" i="7"/>
  <c r="A198" i="7"/>
  <c r="F198" i="7"/>
  <c r="A529" i="13"/>
  <c r="B529" i="13"/>
  <c r="C529" i="13"/>
  <c r="G484" i="13"/>
  <c r="F529" i="13"/>
  <c r="I529" i="13"/>
  <c r="D529" i="13"/>
  <c r="B484" i="13"/>
  <c r="H484" i="13"/>
  <c r="G529" i="13"/>
  <c r="J529" i="13"/>
  <c r="K529" i="13"/>
  <c r="G198" i="7"/>
  <c r="H198" i="7"/>
  <c r="C246" i="7"/>
  <c r="D246" i="7"/>
  <c r="E246" i="7"/>
  <c r="F246" i="7"/>
  <c r="G246" i="7"/>
  <c r="H246" i="7"/>
  <c r="I246" i="7"/>
  <c r="C519" i="1"/>
  <c r="I198" i="7"/>
  <c r="D519" i="1"/>
  <c r="J198" i="7"/>
  <c r="K246" i="7"/>
  <c r="K72" i="14"/>
  <c r="D72" i="14"/>
  <c r="B384" i="6"/>
  <c r="F384" i="6"/>
  <c r="D384" i="6"/>
  <c r="H384" i="6"/>
  <c r="J336" i="6"/>
  <c r="N519" i="1"/>
  <c r="B478" i="5"/>
  <c r="D478" i="5"/>
  <c r="F478" i="5"/>
  <c r="I478" i="5"/>
  <c r="B524" i="5"/>
  <c r="D524" i="5"/>
  <c r="F524" i="5"/>
  <c r="I524" i="5"/>
  <c r="F427" i="5"/>
  <c r="B578" i="5"/>
  <c r="D578" i="5"/>
  <c r="F578" i="5"/>
  <c r="H578" i="5"/>
  <c r="J578" i="5"/>
  <c r="M578" i="5"/>
  <c r="B623" i="5"/>
  <c r="D623" i="5"/>
  <c r="F623" i="5"/>
  <c r="H623" i="5"/>
  <c r="J623" i="5"/>
  <c r="M623" i="5"/>
  <c r="B676" i="5"/>
  <c r="D383" i="5"/>
  <c r="J676" i="5"/>
  <c r="D676" i="5"/>
  <c r="B382" i="5"/>
  <c r="F382" i="5"/>
  <c r="F676" i="5"/>
  <c r="H382" i="5"/>
  <c r="H676" i="5"/>
  <c r="J383" i="5"/>
  <c r="L676" i="5"/>
  <c r="H427" i="5"/>
  <c r="J427" i="5"/>
  <c r="F417" i="1"/>
  <c r="B336" i="6"/>
  <c r="D336" i="6"/>
  <c r="F336" i="6"/>
  <c r="H336" i="6"/>
  <c r="L519" i="1"/>
  <c r="B455" i="11"/>
  <c r="D455" i="11"/>
  <c r="F455" i="11"/>
  <c r="I455" i="11"/>
  <c r="B409" i="11"/>
  <c r="D409" i="11"/>
  <c r="F409" i="11"/>
  <c r="I409" i="11"/>
  <c r="F358" i="11"/>
  <c r="D314" i="11"/>
  <c r="B509" i="11"/>
  <c r="D509" i="11"/>
  <c r="F509" i="11"/>
  <c r="H509" i="11"/>
  <c r="J509" i="11"/>
  <c r="M509" i="11"/>
  <c r="B554" i="11"/>
  <c r="D554" i="11"/>
  <c r="F554" i="11"/>
  <c r="H554" i="11"/>
  <c r="J554" i="11"/>
  <c r="M554" i="11"/>
  <c r="B313" i="11"/>
  <c r="F313" i="11"/>
  <c r="B607" i="11"/>
  <c r="F607" i="11"/>
  <c r="H313" i="11"/>
  <c r="J607" i="11"/>
  <c r="H607" i="11"/>
  <c r="J313" i="11"/>
  <c r="L607" i="11"/>
  <c r="H358" i="11"/>
  <c r="J358" i="11"/>
  <c r="J417" i="1"/>
  <c r="H868" i="1"/>
  <c r="F72" i="14"/>
  <c r="D950" i="1"/>
  <c r="D484" i="13"/>
  <c r="F950" i="1"/>
  <c r="H950" i="1"/>
  <c r="H72" i="14"/>
  <c r="J72" i="14"/>
  <c r="L72" i="14"/>
  <c r="M72" i="14"/>
  <c r="A111" i="2"/>
  <c r="C111" i="2"/>
  <c r="B111" i="2"/>
  <c r="D111" i="2"/>
  <c r="E111" i="2"/>
  <c r="J384" i="6"/>
  <c r="A554" i="6"/>
  <c r="C554" i="6"/>
  <c r="E554" i="6"/>
  <c r="G554" i="6"/>
  <c r="I554" i="6"/>
  <c r="A385" i="6"/>
  <c r="E385" i="6"/>
  <c r="C385" i="6"/>
  <c r="G385" i="6"/>
  <c r="A152" i="4"/>
  <c r="C152" i="4"/>
  <c r="K152" i="4"/>
  <c r="E152" i="4"/>
  <c r="B152" i="4"/>
  <c r="D152" i="4"/>
  <c r="F152" i="4"/>
  <c r="G152" i="4"/>
  <c r="I260" i="1"/>
  <c r="C111" i="3"/>
  <c r="E111" i="3"/>
  <c r="D111" i="3"/>
  <c r="A112" i="3"/>
  <c r="B112" i="3"/>
  <c r="F111" i="3"/>
  <c r="G111" i="3"/>
  <c r="C260" i="1"/>
  <c r="A90" i="10"/>
  <c r="C90" i="10"/>
  <c r="B90" i="10"/>
  <c r="D90" i="10"/>
  <c r="E90" i="10"/>
  <c r="F90" i="10"/>
  <c r="C333" i="1"/>
  <c r="A124" i="15"/>
  <c r="C124" i="15"/>
  <c r="E333" i="1"/>
  <c r="K333" i="1"/>
  <c r="I869" i="1"/>
  <c r="C73" i="14"/>
  <c r="I337" i="6"/>
  <c r="M520" i="1"/>
  <c r="A479" i="5"/>
  <c r="C479" i="5"/>
  <c r="E479" i="5"/>
  <c r="H479" i="5"/>
  <c r="A525" i="5"/>
  <c r="C525" i="5"/>
  <c r="E525" i="5"/>
  <c r="H525" i="5"/>
  <c r="E428" i="5"/>
  <c r="A579" i="5"/>
  <c r="C579" i="5"/>
  <c r="E579" i="5"/>
  <c r="G579" i="5"/>
  <c r="I579" i="5"/>
  <c r="L579" i="5"/>
  <c r="A624" i="5"/>
  <c r="C624" i="5"/>
  <c r="E624" i="5"/>
  <c r="G624" i="5"/>
  <c r="I624" i="5"/>
  <c r="L624" i="5"/>
  <c r="A677" i="5"/>
  <c r="C384" i="5"/>
  <c r="I677" i="5"/>
  <c r="C677" i="5"/>
  <c r="A383" i="5"/>
  <c r="E383" i="5"/>
  <c r="E677" i="5"/>
  <c r="G383" i="5"/>
  <c r="G677" i="5"/>
  <c r="I384" i="5"/>
  <c r="K677" i="5"/>
  <c r="G428" i="5"/>
  <c r="I428" i="5"/>
  <c r="E418" i="1"/>
  <c r="A337" i="6"/>
  <c r="C337" i="6"/>
  <c r="E337" i="6"/>
  <c r="G337" i="6"/>
  <c r="K520" i="1"/>
  <c r="A456" i="11"/>
  <c r="C456" i="11"/>
  <c r="E456" i="11"/>
  <c r="H456" i="11"/>
  <c r="A410" i="11"/>
  <c r="C410" i="11"/>
  <c r="E410" i="11"/>
  <c r="H410" i="11"/>
  <c r="E359" i="11"/>
  <c r="C315" i="11"/>
  <c r="A510" i="11"/>
  <c r="C510" i="11"/>
  <c r="E510" i="11"/>
  <c r="G510" i="11"/>
  <c r="I510" i="11"/>
  <c r="L510" i="11"/>
  <c r="A555" i="11"/>
  <c r="C555" i="11"/>
  <c r="E555" i="11"/>
  <c r="G555" i="11"/>
  <c r="I555" i="11"/>
  <c r="L555" i="11"/>
  <c r="A314" i="11"/>
  <c r="E314" i="11"/>
  <c r="A608" i="11"/>
  <c r="E608" i="11"/>
  <c r="G314" i="11"/>
  <c r="I608" i="11"/>
  <c r="G608" i="11"/>
  <c r="I314" i="11"/>
  <c r="K608" i="11"/>
  <c r="G359" i="11"/>
  <c r="I359" i="11"/>
  <c r="I418" i="1"/>
  <c r="G869" i="1"/>
  <c r="E73" i="14"/>
  <c r="A951" i="1"/>
  <c r="B951" i="1"/>
  <c r="C951" i="1"/>
  <c r="A485" i="13"/>
  <c r="C485" i="13"/>
  <c r="E951" i="1"/>
  <c r="G951" i="1"/>
  <c r="G73" i="14"/>
  <c r="I73" i="14"/>
  <c r="A520" i="1"/>
  <c r="E520" i="1"/>
  <c r="G520" i="1"/>
  <c r="I520" i="1"/>
  <c r="E869" i="1"/>
  <c r="I111" i="3"/>
  <c r="K111" i="3"/>
  <c r="G260" i="1"/>
  <c r="L869" i="1"/>
  <c r="C199" i="7"/>
  <c r="N72" i="14"/>
  <c r="F111" i="2"/>
  <c r="G111" i="2"/>
  <c r="H111" i="2"/>
  <c r="K384" i="6"/>
  <c r="B554" i="6"/>
  <c r="D554" i="6"/>
  <c r="F554" i="6"/>
  <c r="B520" i="1"/>
  <c r="F520" i="1"/>
  <c r="H554" i="6"/>
  <c r="H520" i="1"/>
  <c r="J554" i="6"/>
  <c r="J520" i="1"/>
  <c r="F869" i="1"/>
  <c r="H152" i="4"/>
  <c r="J260" i="1"/>
  <c r="H111" i="3"/>
  <c r="D260" i="1"/>
  <c r="G90" i="10"/>
  <c r="H90" i="10"/>
  <c r="I90" i="10"/>
  <c r="J90" i="10"/>
  <c r="D333" i="1"/>
  <c r="B124" i="15"/>
  <c r="D124" i="15"/>
  <c r="F333" i="1"/>
  <c r="F124" i="15"/>
  <c r="H333" i="1"/>
  <c r="L333" i="1"/>
  <c r="J869" i="1"/>
  <c r="J111" i="3"/>
  <c r="L111" i="3"/>
  <c r="H260" i="1"/>
  <c r="M869" i="1"/>
  <c r="D199" i="7"/>
  <c r="E199" i="7"/>
  <c r="A199" i="7"/>
  <c r="F199" i="7"/>
  <c r="A530" i="13"/>
  <c r="B530" i="13"/>
  <c r="C530" i="13"/>
  <c r="G485" i="13"/>
  <c r="F530" i="13"/>
  <c r="I530" i="13"/>
  <c r="D530" i="13"/>
  <c r="B485" i="13"/>
  <c r="H485" i="13"/>
  <c r="G530" i="13"/>
  <c r="J530" i="13"/>
  <c r="K530" i="13"/>
  <c r="G199" i="7"/>
  <c r="H199" i="7"/>
  <c r="C247" i="7"/>
  <c r="D247" i="7"/>
  <c r="E247" i="7"/>
  <c r="F247" i="7"/>
  <c r="G247" i="7"/>
  <c r="H247" i="7"/>
  <c r="I247" i="7"/>
  <c r="C520" i="1"/>
  <c r="I199" i="7"/>
  <c r="D520" i="1"/>
  <c r="J199" i="7"/>
  <c r="K247" i="7"/>
  <c r="K73" i="14"/>
  <c r="D73" i="14"/>
  <c r="B385" i="6"/>
  <c r="F385" i="6"/>
  <c r="D385" i="6"/>
  <c r="H385" i="6"/>
  <c r="J337" i="6"/>
  <c r="N520" i="1"/>
  <c r="B479" i="5"/>
  <c r="D479" i="5"/>
  <c r="F479" i="5"/>
  <c r="I479" i="5"/>
  <c r="B525" i="5"/>
  <c r="D525" i="5"/>
  <c r="F525" i="5"/>
  <c r="I525" i="5"/>
  <c r="F428" i="5"/>
  <c r="B579" i="5"/>
  <c r="D579" i="5"/>
  <c r="F579" i="5"/>
  <c r="H579" i="5"/>
  <c r="J579" i="5"/>
  <c r="M579" i="5"/>
  <c r="B624" i="5"/>
  <c r="D624" i="5"/>
  <c r="F624" i="5"/>
  <c r="H624" i="5"/>
  <c r="J624" i="5"/>
  <c r="M624" i="5"/>
  <c r="B677" i="5"/>
  <c r="D384" i="5"/>
  <c r="J677" i="5"/>
  <c r="D677" i="5"/>
  <c r="B383" i="5"/>
  <c r="F383" i="5"/>
  <c r="F677" i="5"/>
  <c r="H383" i="5"/>
  <c r="H677" i="5"/>
  <c r="J384" i="5"/>
  <c r="L677" i="5"/>
  <c r="H428" i="5"/>
  <c r="J428" i="5"/>
  <c r="F418" i="1"/>
  <c r="B337" i="6"/>
  <c r="D337" i="6"/>
  <c r="F337" i="6"/>
  <c r="H337" i="6"/>
  <c r="L520" i="1"/>
  <c r="B456" i="11"/>
  <c r="D456" i="11"/>
  <c r="F456" i="11"/>
  <c r="I456" i="11"/>
  <c r="B410" i="11"/>
  <c r="D410" i="11"/>
  <c r="F410" i="11"/>
  <c r="I410" i="11"/>
  <c r="F359" i="11"/>
  <c r="B510" i="11"/>
  <c r="D510" i="11"/>
  <c r="F510" i="11"/>
  <c r="H510" i="11"/>
  <c r="J510" i="11"/>
  <c r="M510" i="11"/>
  <c r="B555" i="11"/>
  <c r="D555" i="11"/>
  <c r="F555" i="11"/>
  <c r="H555" i="11"/>
  <c r="J555" i="11"/>
  <c r="M555" i="11"/>
  <c r="B314" i="11"/>
  <c r="F314" i="11"/>
  <c r="B608" i="11"/>
  <c r="F608" i="11"/>
  <c r="H314" i="11"/>
  <c r="J608" i="11"/>
  <c r="H608" i="11"/>
  <c r="J314" i="11"/>
  <c r="L608" i="11"/>
  <c r="H359" i="11"/>
  <c r="J359" i="11"/>
  <c r="J418" i="1"/>
  <c r="H869" i="1"/>
  <c r="F73" i="14"/>
  <c r="D951" i="1"/>
  <c r="D485" i="13"/>
  <c r="F951" i="1"/>
  <c r="H951" i="1"/>
  <c r="H73" i="14"/>
  <c r="J73" i="14"/>
  <c r="L73" i="14"/>
  <c r="M73" i="14"/>
  <c r="A112" i="2"/>
  <c r="C112" i="2"/>
  <c r="B112" i="2"/>
  <c r="D112" i="2"/>
  <c r="E112" i="2"/>
  <c r="J385" i="6"/>
  <c r="A555" i="6"/>
  <c r="C555" i="6"/>
  <c r="E555" i="6"/>
  <c r="G555" i="6"/>
  <c r="I555" i="6"/>
  <c r="A386" i="6"/>
  <c r="E386" i="6"/>
  <c r="C386" i="6"/>
  <c r="G386" i="6"/>
  <c r="A153" i="4"/>
  <c r="C153" i="4"/>
  <c r="K153" i="4"/>
  <c r="E153" i="4"/>
  <c r="B153" i="4"/>
  <c r="D153" i="4"/>
  <c r="F153" i="4"/>
  <c r="G153" i="4"/>
  <c r="I261" i="1"/>
  <c r="C112" i="3"/>
  <c r="E112" i="3"/>
  <c r="D112" i="3"/>
  <c r="A113" i="3"/>
  <c r="B113" i="3"/>
  <c r="F112" i="3"/>
  <c r="G112" i="3"/>
  <c r="C261" i="1"/>
  <c r="A91" i="10"/>
  <c r="C91" i="10"/>
  <c r="B91" i="10"/>
  <c r="D91" i="10"/>
  <c r="E91" i="10"/>
  <c r="F91" i="10"/>
  <c r="C334" i="1"/>
  <c r="A125" i="15"/>
  <c r="C125" i="15"/>
  <c r="E334" i="1"/>
  <c r="K334" i="1"/>
  <c r="I870" i="1"/>
  <c r="C74" i="14"/>
  <c r="I338" i="6"/>
  <c r="M521" i="1"/>
  <c r="A480" i="5"/>
  <c r="C480" i="5"/>
  <c r="E480" i="5"/>
  <c r="H480" i="5"/>
  <c r="A526" i="5"/>
  <c r="C526" i="5"/>
  <c r="E526" i="5"/>
  <c r="H526" i="5"/>
  <c r="E429" i="5"/>
  <c r="A580" i="5"/>
  <c r="C580" i="5"/>
  <c r="E580" i="5"/>
  <c r="G580" i="5"/>
  <c r="I580" i="5"/>
  <c r="L580" i="5"/>
  <c r="A625" i="5"/>
  <c r="C625" i="5"/>
  <c r="E625" i="5"/>
  <c r="G625" i="5"/>
  <c r="I625" i="5"/>
  <c r="L625" i="5"/>
  <c r="A678" i="5"/>
  <c r="C385" i="5"/>
  <c r="I678" i="5"/>
  <c r="C678" i="5"/>
  <c r="A384" i="5"/>
  <c r="E384" i="5"/>
  <c r="E678" i="5"/>
  <c r="G384" i="5"/>
  <c r="G678" i="5"/>
  <c r="I385" i="5"/>
  <c r="K678" i="5"/>
  <c r="G429" i="5"/>
  <c r="I429" i="5"/>
  <c r="E419" i="1"/>
  <c r="A338" i="6"/>
  <c r="C338" i="6"/>
  <c r="E338" i="6"/>
  <c r="G338" i="6"/>
  <c r="K521" i="1"/>
  <c r="A457" i="11"/>
  <c r="C457" i="11"/>
  <c r="E457" i="11"/>
  <c r="H457" i="11"/>
  <c r="A411" i="11"/>
  <c r="C411" i="11"/>
  <c r="E411" i="11"/>
  <c r="H411" i="11"/>
  <c r="E360" i="11"/>
  <c r="C316" i="11"/>
  <c r="A511" i="11"/>
  <c r="C511" i="11"/>
  <c r="E511" i="11"/>
  <c r="G511" i="11"/>
  <c r="I511" i="11"/>
  <c r="L511" i="11"/>
  <c r="A556" i="11"/>
  <c r="C556" i="11"/>
  <c r="E556" i="11"/>
  <c r="G556" i="11"/>
  <c r="I556" i="11"/>
  <c r="L556" i="11"/>
  <c r="A315" i="11"/>
  <c r="E315" i="11"/>
  <c r="A609" i="11"/>
  <c r="E609" i="11"/>
  <c r="G315" i="11"/>
  <c r="I609" i="11"/>
  <c r="G609" i="11"/>
  <c r="I315" i="11"/>
  <c r="K609" i="11"/>
  <c r="G360" i="11"/>
  <c r="I360" i="11"/>
  <c r="I419" i="1"/>
  <c r="G870" i="1"/>
  <c r="E74" i="14"/>
  <c r="A952" i="1"/>
  <c r="B952" i="1"/>
  <c r="C952" i="1"/>
  <c r="A486" i="13"/>
  <c r="C486" i="13"/>
  <c r="E952" i="1"/>
  <c r="G952" i="1"/>
  <c r="G74" i="14"/>
  <c r="I74" i="14"/>
  <c r="A521" i="1"/>
  <c r="E521" i="1"/>
  <c r="G521" i="1"/>
  <c r="I521" i="1"/>
  <c r="E870" i="1"/>
  <c r="I112" i="3"/>
  <c r="K112" i="3"/>
  <c r="G261" i="1"/>
  <c r="L870" i="1"/>
  <c r="C200" i="7"/>
  <c r="N73" i="14"/>
  <c r="F112" i="2"/>
  <c r="G112" i="2"/>
  <c r="H112" i="2"/>
  <c r="K385" i="6"/>
  <c r="B555" i="6"/>
  <c r="D555" i="6"/>
  <c r="F555" i="6"/>
  <c r="B521" i="1"/>
  <c r="F521" i="1"/>
  <c r="H555" i="6"/>
  <c r="H521" i="1"/>
  <c r="J555" i="6"/>
  <c r="J521" i="1"/>
  <c r="F870" i="1"/>
  <c r="H153" i="4"/>
  <c r="J261" i="1"/>
  <c r="H112" i="3"/>
  <c r="D261" i="1"/>
  <c r="G91" i="10"/>
  <c r="H91" i="10"/>
  <c r="I91" i="10"/>
  <c r="J91" i="10"/>
  <c r="D334" i="1"/>
  <c r="B125" i="15"/>
  <c r="D125" i="15"/>
  <c r="F334" i="1"/>
  <c r="F125" i="15"/>
  <c r="H334" i="1"/>
  <c r="L334" i="1"/>
  <c r="J870" i="1"/>
  <c r="J112" i="3"/>
  <c r="L112" i="3"/>
  <c r="H261" i="1"/>
  <c r="M870" i="1"/>
  <c r="D200" i="7"/>
  <c r="E200" i="7"/>
  <c r="A200" i="7"/>
  <c r="F200" i="7"/>
  <c r="A531" i="13"/>
  <c r="B531" i="13"/>
  <c r="C531" i="13"/>
  <c r="G486" i="13"/>
  <c r="F531" i="13"/>
  <c r="I531" i="13"/>
  <c r="D531" i="13"/>
  <c r="B486" i="13"/>
  <c r="H486" i="13"/>
  <c r="G531" i="13"/>
  <c r="J531" i="13"/>
  <c r="K531" i="13"/>
  <c r="G200" i="7"/>
  <c r="H200" i="7"/>
  <c r="C248" i="7"/>
  <c r="D248" i="7"/>
  <c r="E248" i="7"/>
  <c r="F248" i="7"/>
  <c r="G248" i="7"/>
  <c r="H248" i="7"/>
  <c r="I248" i="7"/>
  <c r="C521" i="1"/>
  <c r="I200" i="7"/>
  <c r="D521" i="1"/>
  <c r="J200" i="7"/>
  <c r="K248" i="7"/>
  <c r="K74" i="14"/>
  <c r="D74" i="14"/>
  <c r="B386" i="6"/>
  <c r="F386" i="6"/>
  <c r="D386" i="6"/>
  <c r="H386" i="6"/>
  <c r="J338" i="6"/>
  <c r="N521" i="1"/>
  <c r="B480" i="5"/>
  <c r="D480" i="5"/>
  <c r="F480" i="5"/>
  <c r="I480" i="5"/>
  <c r="B526" i="5"/>
  <c r="D526" i="5"/>
  <c r="F526" i="5"/>
  <c r="I526" i="5"/>
  <c r="F429" i="5"/>
  <c r="B580" i="5"/>
  <c r="D580" i="5"/>
  <c r="F580" i="5"/>
  <c r="H580" i="5"/>
  <c r="J580" i="5"/>
  <c r="M580" i="5"/>
  <c r="B625" i="5"/>
  <c r="D625" i="5"/>
  <c r="F625" i="5"/>
  <c r="H625" i="5"/>
  <c r="J625" i="5"/>
  <c r="M625" i="5"/>
  <c r="B678" i="5"/>
  <c r="D385" i="5"/>
  <c r="J678" i="5"/>
  <c r="D678" i="5"/>
  <c r="B384" i="5"/>
  <c r="F384" i="5"/>
  <c r="F678" i="5"/>
  <c r="H384" i="5"/>
  <c r="H678" i="5"/>
  <c r="J385" i="5"/>
  <c r="L678" i="5"/>
  <c r="H429" i="5"/>
  <c r="J429" i="5"/>
  <c r="F419" i="1"/>
  <c r="B338" i="6"/>
  <c r="D338" i="6"/>
  <c r="F338" i="6"/>
  <c r="H338" i="6"/>
  <c r="L521" i="1"/>
  <c r="B457" i="11"/>
  <c r="D457" i="11"/>
  <c r="F457" i="11"/>
  <c r="I457" i="11"/>
  <c r="B411" i="11"/>
  <c r="D411" i="11"/>
  <c r="F411" i="11"/>
  <c r="I411" i="11"/>
  <c r="F360" i="11"/>
  <c r="B511" i="11"/>
  <c r="D511" i="11"/>
  <c r="F511" i="11"/>
  <c r="H511" i="11"/>
  <c r="J511" i="11"/>
  <c r="M511" i="11"/>
  <c r="B556" i="11"/>
  <c r="D556" i="11"/>
  <c r="F556" i="11"/>
  <c r="H556" i="11"/>
  <c r="J556" i="11"/>
  <c r="M556" i="11"/>
  <c r="B315" i="11"/>
  <c r="F315" i="11"/>
  <c r="B609" i="11"/>
  <c r="F609" i="11"/>
  <c r="H315" i="11"/>
  <c r="J609" i="11"/>
  <c r="H609" i="11"/>
  <c r="J315" i="11"/>
  <c r="L609" i="11"/>
  <c r="H360" i="11"/>
  <c r="J360" i="11"/>
  <c r="J419" i="1"/>
  <c r="H870" i="1"/>
  <c r="F74" i="14"/>
  <c r="D952" i="1"/>
  <c r="D486" i="13"/>
  <c r="F952" i="1"/>
  <c r="H952" i="1"/>
  <c r="H74" i="14"/>
  <c r="J74" i="14"/>
  <c r="L74" i="14"/>
  <c r="M74" i="14"/>
  <c r="A113" i="2"/>
  <c r="C113" i="2"/>
  <c r="B113" i="2"/>
  <c r="D113" i="2"/>
  <c r="E113" i="2"/>
  <c r="J386" i="6"/>
  <c r="A556" i="6"/>
  <c r="C556" i="6"/>
  <c r="E556" i="6"/>
  <c r="G556" i="6"/>
  <c r="I556" i="6"/>
  <c r="A387" i="6"/>
  <c r="E387" i="6"/>
  <c r="C387" i="6"/>
  <c r="G387" i="6"/>
  <c r="A154" i="4"/>
  <c r="C154" i="4"/>
  <c r="K154" i="4"/>
  <c r="E154" i="4"/>
  <c r="B154" i="4"/>
  <c r="D154" i="4"/>
  <c r="F154" i="4"/>
  <c r="G154" i="4"/>
  <c r="I262" i="1"/>
  <c r="C113" i="3"/>
  <c r="E113" i="3"/>
  <c r="D113" i="3"/>
  <c r="A114" i="3"/>
  <c r="B114" i="3"/>
  <c r="F113" i="3"/>
  <c r="G113" i="3"/>
  <c r="C262" i="1"/>
  <c r="A92" i="10"/>
  <c r="C92" i="10"/>
  <c r="B92" i="10"/>
  <c r="D92" i="10"/>
  <c r="E92" i="10"/>
  <c r="F92" i="10"/>
  <c r="C335" i="1"/>
  <c r="A126" i="15"/>
  <c r="C126" i="15"/>
  <c r="E335" i="1"/>
  <c r="K335" i="1"/>
  <c r="I871" i="1"/>
  <c r="C75" i="14"/>
  <c r="I339" i="6"/>
  <c r="M522" i="1"/>
  <c r="A481" i="5"/>
  <c r="C481" i="5"/>
  <c r="E481" i="5"/>
  <c r="H481" i="5"/>
  <c r="A527" i="5"/>
  <c r="C527" i="5"/>
  <c r="E527" i="5"/>
  <c r="H527" i="5"/>
  <c r="E430" i="5"/>
  <c r="A581" i="5"/>
  <c r="C581" i="5"/>
  <c r="E581" i="5"/>
  <c r="G581" i="5"/>
  <c r="I581" i="5"/>
  <c r="L581" i="5"/>
  <c r="A626" i="5"/>
  <c r="C626" i="5"/>
  <c r="E626" i="5"/>
  <c r="G626" i="5"/>
  <c r="I626" i="5"/>
  <c r="L626" i="5"/>
  <c r="A679" i="5"/>
  <c r="C386" i="5"/>
  <c r="I679" i="5"/>
  <c r="C679" i="5"/>
  <c r="A385" i="5"/>
  <c r="E385" i="5"/>
  <c r="E679" i="5"/>
  <c r="G385" i="5"/>
  <c r="G679" i="5"/>
  <c r="I386" i="5"/>
  <c r="K679" i="5"/>
  <c r="G430" i="5"/>
  <c r="I430" i="5"/>
  <c r="E420" i="1"/>
  <c r="A339" i="6"/>
  <c r="C339" i="6"/>
  <c r="E339" i="6"/>
  <c r="G339" i="6"/>
  <c r="K522" i="1"/>
  <c r="A458" i="11"/>
  <c r="C458" i="11"/>
  <c r="E458" i="11"/>
  <c r="H458" i="11"/>
  <c r="A412" i="11"/>
  <c r="C412" i="11"/>
  <c r="E412" i="11"/>
  <c r="H412" i="11"/>
  <c r="E361" i="11"/>
  <c r="C317" i="11"/>
  <c r="A512" i="11"/>
  <c r="C512" i="11"/>
  <c r="E512" i="11"/>
  <c r="G512" i="11"/>
  <c r="I512" i="11"/>
  <c r="L512" i="11"/>
  <c r="A557" i="11"/>
  <c r="C557" i="11"/>
  <c r="E557" i="11"/>
  <c r="G557" i="11"/>
  <c r="I557" i="11"/>
  <c r="L557" i="11"/>
  <c r="A316" i="11"/>
  <c r="E316" i="11"/>
  <c r="A610" i="11"/>
  <c r="E610" i="11"/>
  <c r="G316" i="11"/>
  <c r="I610" i="11"/>
  <c r="G610" i="11"/>
  <c r="I316" i="11"/>
  <c r="K610" i="11"/>
  <c r="G361" i="11"/>
  <c r="I361" i="11"/>
  <c r="I420" i="1"/>
  <c r="G871" i="1"/>
  <c r="E75" i="14"/>
  <c r="A953" i="1"/>
  <c r="B953" i="1"/>
  <c r="C953" i="1"/>
  <c r="A487" i="13"/>
  <c r="C487" i="13"/>
  <c r="E953" i="1"/>
  <c r="G953" i="1"/>
  <c r="G75" i="14"/>
  <c r="I75" i="14"/>
  <c r="A522" i="1"/>
  <c r="E522" i="1"/>
  <c r="G522" i="1"/>
  <c r="I522" i="1"/>
  <c r="E871" i="1"/>
  <c r="I113" i="3"/>
  <c r="K113" i="3"/>
  <c r="G262" i="1"/>
  <c r="L871" i="1"/>
  <c r="C201" i="7"/>
  <c r="N74" i="14"/>
  <c r="F113" i="2"/>
  <c r="G113" i="2"/>
  <c r="H113" i="2"/>
  <c r="K386" i="6"/>
  <c r="B556" i="6"/>
  <c r="D556" i="6"/>
  <c r="F556" i="6"/>
  <c r="B522" i="1"/>
  <c r="F522" i="1"/>
  <c r="H556" i="6"/>
  <c r="H522" i="1"/>
  <c r="J556" i="6"/>
  <c r="J522" i="1"/>
  <c r="F871" i="1"/>
  <c r="H154" i="4"/>
  <c r="J262" i="1"/>
  <c r="H113" i="3"/>
  <c r="D262" i="1"/>
  <c r="G92" i="10"/>
  <c r="H92" i="10"/>
  <c r="I92" i="10"/>
  <c r="J92" i="10"/>
  <c r="D335" i="1"/>
  <c r="B126" i="15"/>
  <c r="D126" i="15"/>
  <c r="F335" i="1"/>
  <c r="F126" i="15"/>
  <c r="H335" i="1"/>
  <c r="L335" i="1"/>
  <c r="J871" i="1"/>
  <c r="J113" i="3"/>
  <c r="L113" i="3"/>
  <c r="H262" i="1"/>
  <c r="M871" i="1"/>
  <c r="D201" i="7"/>
  <c r="E201" i="7"/>
  <c r="A201" i="7"/>
  <c r="F201" i="7"/>
  <c r="A532" i="13"/>
  <c r="B532" i="13"/>
  <c r="C532" i="13"/>
  <c r="G487" i="13"/>
  <c r="F532" i="13"/>
  <c r="I532" i="13"/>
  <c r="D532" i="13"/>
  <c r="B487" i="13"/>
  <c r="H487" i="13"/>
  <c r="G532" i="13"/>
  <c r="J532" i="13"/>
  <c r="K532" i="13"/>
  <c r="G201" i="7"/>
  <c r="H201" i="7"/>
  <c r="C249" i="7"/>
  <c r="D249" i="7"/>
  <c r="E249" i="7"/>
  <c r="F249" i="7"/>
  <c r="G249" i="7"/>
  <c r="H249" i="7"/>
  <c r="I249" i="7"/>
  <c r="C522" i="1"/>
  <c r="I201" i="7"/>
  <c r="D522" i="1"/>
  <c r="J201" i="7"/>
  <c r="K249" i="7"/>
  <c r="K75" i="14"/>
  <c r="D75" i="14"/>
  <c r="B387" i="6"/>
  <c r="F387" i="6"/>
  <c r="D387" i="6"/>
  <c r="H387" i="6"/>
  <c r="J339" i="6"/>
  <c r="N522" i="1"/>
  <c r="B481" i="5"/>
  <c r="D481" i="5"/>
  <c r="F481" i="5"/>
  <c r="I481" i="5"/>
  <c r="B527" i="5"/>
  <c r="D527" i="5"/>
  <c r="F527" i="5"/>
  <c r="I527" i="5"/>
  <c r="F430" i="5"/>
  <c r="B581" i="5"/>
  <c r="D581" i="5"/>
  <c r="F581" i="5"/>
  <c r="H581" i="5"/>
  <c r="J581" i="5"/>
  <c r="M581" i="5"/>
  <c r="B626" i="5"/>
  <c r="D626" i="5"/>
  <c r="F626" i="5"/>
  <c r="H626" i="5"/>
  <c r="J626" i="5"/>
  <c r="M626" i="5"/>
  <c r="B679" i="5"/>
  <c r="D386" i="5"/>
  <c r="J679" i="5"/>
  <c r="D679" i="5"/>
  <c r="B385" i="5"/>
  <c r="F385" i="5"/>
  <c r="F679" i="5"/>
  <c r="H385" i="5"/>
  <c r="H679" i="5"/>
  <c r="J386" i="5"/>
  <c r="L679" i="5"/>
  <c r="H430" i="5"/>
  <c r="J430" i="5"/>
  <c r="F420" i="1"/>
  <c r="B339" i="6"/>
  <c r="D339" i="6"/>
  <c r="F339" i="6"/>
  <c r="H339" i="6"/>
  <c r="L522" i="1"/>
  <c r="B458" i="11"/>
  <c r="D458" i="11"/>
  <c r="F458" i="11"/>
  <c r="I458" i="11"/>
  <c r="B412" i="11"/>
  <c r="D412" i="11"/>
  <c r="F412" i="11"/>
  <c r="I412" i="11"/>
  <c r="F361" i="11"/>
  <c r="B512" i="11"/>
  <c r="D512" i="11"/>
  <c r="F512" i="11"/>
  <c r="H512" i="11"/>
  <c r="J512" i="11"/>
  <c r="M512" i="11"/>
  <c r="B557" i="11"/>
  <c r="D557" i="11"/>
  <c r="F557" i="11"/>
  <c r="H557" i="11"/>
  <c r="J557" i="11"/>
  <c r="M557" i="11"/>
  <c r="B316" i="11"/>
  <c r="F316" i="11"/>
  <c r="B610" i="11"/>
  <c r="F610" i="11"/>
  <c r="H316" i="11"/>
  <c r="J610" i="11"/>
  <c r="H610" i="11"/>
  <c r="J316" i="11"/>
  <c r="L610" i="11"/>
  <c r="H361" i="11"/>
  <c r="J361" i="11"/>
  <c r="J420" i="1"/>
  <c r="H871" i="1"/>
  <c r="F75" i="14"/>
  <c r="D953" i="1"/>
  <c r="D487" i="13"/>
  <c r="F953" i="1"/>
  <c r="H953" i="1"/>
  <c r="H75" i="14"/>
  <c r="J75" i="14"/>
  <c r="L75" i="14"/>
  <c r="M75" i="14"/>
  <c r="A114" i="2"/>
  <c r="C114" i="2"/>
  <c r="B114" i="2"/>
  <c r="D114" i="2"/>
  <c r="E114" i="2"/>
  <c r="J387" i="6"/>
  <c r="A557" i="6"/>
  <c r="C557" i="6"/>
  <c r="E557" i="6"/>
  <c r="G557" i="6"/>
  <c r="I557" i="6"/>
  <c r="A388" i="6"/>
  <c r="E388" i="6"/>
  <c r="C388" i="6"/>
  <c r="G388" i="6"/>
  <c r="A155" i="4"/>
  <c r="C155" i="4"/>
  <c r="K155" i="4"/>
  <c r="E155" i="4"/>
  <c r="B155" i="4"/>
  <c r="D155" i="4"/>
  <c r="F155" i="4"/>
  <c r="G155" i="4"/>
  <c r="I263" i="1"/>
  <c r="C114" i="3"/>
  <c r="E114" i="3"/>
  <c r="D114" i="3"/>
  <c r="A115" i="3"/>
  <c r="B115" i="3"/>
  <c r="F114" i="3"/>
  <c r="G114" i="3"/>
  <c r="C263" i="1"/>
  <c r="A93" i="10"/>
  <c r="C93" i="10"/>
  <c r="B93" i="10"/>
  <c r="D93" i="10"/>
  <c r="E93" i="10"/>
  <c r="F93" i="10"/>
  <c r="C336" i="1"/>
  <c r="A127" i="15"/>
  <c r="C127" i="15"/>
  <c r="E336" i="1"/>
  <c r="K336" i="1"/>
  <c r="I872" i="1"/>
  <c r="C76" i="14"/>
  <c r="I340" i="6"/>
  <c r="M523" i="1"/>
  <c r="A482" i="5"/>
  <c r="C482" i="5"/>
  <c r="E482" i="5"/>
  <c r="H482" i="5"/>
  <c r="A528" i="5"/>
  <c r="C528" i="5"/>
  <c r="E528" i="5"/>
  <c r="H528" i="5"/>
  <c r="E431" i="5"/>
  <c r="A582" i="5"/>
  <c r="C582" i="5"/>
  <c r="E582" i="5"/>
  <c r="G582" i="5"/>
  <c r="I582" i="5"/>
  <c r="L582" i="5"/>
  <c r="A627" i="5"/>
  <c r="C627" i="5"/>
  <c r="E627" i="5"/>
  <c r="G627" i="5"/>
  <c r="I627" i="5"/>
  <c r="L627" i="5"/>
  <c r="A680" i="5"/>
  <c r="C387" i="5"/>
  <c r="I680" i="5"/>
  <c r="C680" i="5"/>
  <c r="A386" i="5"/>
  <c r="E386" i="5"/>
  <c r="E680" i="5"/>
  <c r="G386" i="5"/>
  <c r="G680" i="5"/>
  <c r="I387" i="5"/>
  <c r="K680" i="5"/>
  <c r="G431" i="5"/>
  <c r="I431" i="5"/>
  <c r="E421" i="1"/>
  <c r="A340" i="6"/>
  <c r="C340" i="6"/>
  <c r="E340" i="6"/>
  <c r="G340" i="6"/>
  <c r="K523" i="1"/>
  <c r="A459" i="11"/>
  <c r="C459" i="11"/>
  <c r="E459" i="11"/>
  <c r="H459" i="11"/>
  <c r="A413" i="11"/>
  <c r="C413" i="11"/>
  <c r="E413" i="11"/>
  <c r="H413" i="11"/>
  <c r="E362" i="11"/>
  <c r="C318" i="11"/>
  <c r="A513" i="11"/>
  <c r="C513" i="11"/>
  <c r="E513" i="11"/>
  <c r="G513" i="11"/>
  <c r="I513" i="11"/>
  <c r="L513" i="11"/>
  <c r="A558" i="11"/>
  <c r="C558" i="11"/>
  <c r="E558" i="11"/>
  <c r="G558" i="11"/>
  <c r="I558" i="11"/>
  <c r="L558" i="11"/>
  <c r="A317" i="11"/>
  <c r="E317" i="11"/>
  <c r="A611" i="11"/>
  <c r="E611" i="11"/>
  <c r="G317" i="11"/>
  <c r="I611" i="11"/>
  <c r="G611" i="11"/>
  <c r="I317" i="11"/>
  <c r="K611" i="11"/>
  <c r="G362" i="11"/>
  <c r="I362" i="11"/>
  <c r="I421" i="1"/>
  <c r="G872" i="1"/>
  <c r="E76" i="14"/>
  <c r="A954" i="1"/>
  <c r="B954" i="1"/>
  <c r="C954" i="1"/>
  <c r="A488" i="13"/>
  <c r="C488" i="13"/>
  <c r="E954" i="1"/>
  <c r="G954" i="1"/>
  <c r="G76" i="14"/>
  <c r="I76" i="14"/>
  <c r="A523" i="1"/>
  <c r="E523" i="1"/>
  <c r="G523" i="1"/>
  <c r="I523" i="1"/>
  <c r="E872" i="1"/>
  <c r="I114" i="3"/>
  <c r="K114" i="3"/>
  <c r="G263" i="1"/>
  <c r="L872" i="1"/>
  <c r="C202" i="7"/>
  <c r="N75" i="14"/>
  <c r="F114" i="2"/>
  <c r="G114" i="2"/>
  <c r="H114" i="2"/>
  <c r="K387" i="6"/>
  <c r="B557" i="6"/>
  <c r="D557" i="6"/>
  <c r="F557" i="6"/>
  <c r="B523" i="1"/>
  <c r="F523" i="1"/>
  <c r="H557" i="6"/>
  <c r="H523" i="1"/>
  <c r="J557" i="6"/>
  <c r="J523" i="1"/>
  <c r="F872" i="1"/>
  <c r="H155" i="4"/>
  <c r="J263" i="1"/>
  <c r="H114" i="3"/>
  <c r="D263" i="1"/>
  <c r="G93" i="10"/>
  <c r="H93" i="10"/>
  <c r="I93" i="10"/>
  <c r="J93" i="10"/>
  <c r="D336" i="1"/>
  <c r="B127" i="15"/>
  <c r="D127" i="15"/>
  <c r="F336" i="1"/>
  <c r="F127" i="15"/>
  <c r="H336" i="1"/>
  <c r="L336" i="1"/>
  <c r="J872" i="1"/>
  <c r="J114" i="3"/>
  <c r="L114" i="3"/>
  <c r="H263" i="1"/>
  <c r="M872" i="1"/>
  <c r="D202" i="7"/>
  <c r="E202" i="7"/>
  <c r="A202" i="7"/>
  <c r="F202" i="7"/>
  <c r="A533" i="13"/>
  <c r="B533" i="13"/>
  <c r="C533" i="13"/>
  <c r="G488" i="13"/>
  <c r="F533" i="13"/>
  <c r="I533" i="13"/>
  <c r="D533" i="13"/>
  <c r="B488" i="13"/>
  <c r="H488" i="13"/>
  <c r="G533" i="13"/>
  <c r="J533" i="13"/>
  <c r="K533" i="13"/>
  <c r="G202" i="7"/>
  <c r="H202" i="7"/>
  <c r="C250" i="7"/>
  <c r="D250" i="7"/>
  <c r="E250" i="7"/>
  <c r="F250" i="7"/>
  <c r="G250" i="7"/>
  <c r="H250" i="7"/>
  <c r="I250" i="7"/>
  <c r="C523" i="1"/>
  <c r="I202" i="7"/>
  <c r="D523" i="1"/>
  <c r="J202" i="7"/>
  <c r="K250" i="7"/>
  <c r="K76" i="14"/>
  <c r="D76" i="14"/>
  <c r="B388" i="6"/>
  <c r="F388" i="6"/>
  <c r="D388" i="6"/>
  <c r="H388" i="6"/>
  <c r="J340" i="6"/>
  <c r="N523" i="1"/>
  <c r="B482" i="5"/>
  <c r="D482" i="5"/>
  <c r="F482" i="5"/>
  <c r="I482" i="5"/>
  <c r="B528" i="5"/>
  <c r="D528" i="5"/>
  <c r="F528" i="5"/>
  <c r="I528" i="5"/>
  <c r="F431" i="5"/>
  <c r="B582" i="5"/>
  <c r="D582" i="5"/>
  <c r="F582" i="5"/>
  <c r="H582" i="5"/>
  <c r="J582" i="5"/>
  <c r="M582" i="5"/>
  <c r="B627" i="5"/>
  <c r="D627" i="5"/>
  <c r="F627" i="5"/>
  <c r="H627" i="5"/>
  <c r="J627" i="5"/>
  <c r="M627" i="5"/>
  <c r="B680" i="5"/>
  <c r="D387" i="5"/>
  <c r="J680" i="5"/>
  <c r="D680" i="5"/>
  <c r="B386" i="5"/>
  <c r="F386" i="5"/>
  <c r="F680" i="5"/>
  <c r="H386" i="5"/>
  <c r="H680" i="5"/>
  <c r="J387" i="5"/>
  <c r="L680" i="5"/>
  <c r="H431" i="5"/>
  <c r="J431" i="5"/>
  <c r="F421" i="1"/>
  <c r="B340" i="6"/>
  <c r="D340" i="6"/>
  <c r="F340" i="6"/>
  <c r="H340" i="6"/>
  <c r="L523" i="1"/>
  <c r="B459" i="11"/>
  <c r="D459" i="11"/>
  <c r="F459" i="11"/>
  <c r="I459" i="11"/>
  <c r="B413" i="11"/>
  <c r="D413" i="11"/>
  <c r="F413" i="11"/>
  <c r="I413" i="11"/>
  <c r="F362" i="11"/>
  <c r="B513" i="11"/>
  <c r="D513" i="11"/>
  <c r="F513" i="11"/>
  <c r="H513" i="11"/>
  <c r="J513" i="11"/>
  <c r="M513" i="11"/>
  <c r="B558" i="11"/>
  <c r="D558" i="11"/>
  <c r="F558" i="11"/>
  <c r="H558" i="11"/>
  <c r="J558" i="11"/>
  <c r="M558" i="11"/>
  <c r="B317" i="11"/>
  <c r="F317" i="11"/>
  <c r="B611" i="11"/>
  <c r="F611" i="11"/>
  <c r="H317" i="11"/>
  <c r="J611" i="11"/>
  <c r="H611" i="11"/>
  <c r="J317" i="11"/>
  <c r="L611" i="11"/>
  <c r="H362" i="11"/>
  <c r="J362" i="11"/>
  <c r="J421" i="1"/>
  <c r="H872" i="1"/>
  <c r="F76" i="14"/>
  <c r="D954" i="1"/>
  <c r="D488" i="13"/>
  <c r="F954" i="1"/>
  <c r="H954" i="1"/>
  <c r="H76" i="14"/>
  <c r="J76" i="14"/>
  <c r="L76" i="14"/>
  <c r="M76" i="14"/>
  <c r="A115" i="2"/>
  <c r="C115" i="2"/>
  <c r="B115" i="2"/>
  <c r="D115" i="2"/>
  <c r="E115" i="2"/>
  <c r="J388" i="6"/>
  <c r="A558" i="6"/>
  <c r="C558" i="6"/>
  <c r="E558" i="6"/>
  <c r="G558" i="6"/>
  <c r="I558" i="6"/>
  <c r="A389" i="6"/>
  <c r="E389" i="6"/>
  <c r="C389" i="6"/>
  <c r="G389" i="6"/>
  <c r="A156" i="4"/>
  <c r="E156" i="4"/>
  <c r="B156" i="4"/>
  <c r="D156" i="4"/>
  <c r="K156" i="4"/>
  <c r="F156" i="4"/>
  <c r="G156" i="4"/>
  <c r="I264" i="1"/>
  <c r="G115" i="3"/>
  <c r="C264" i="1"/>
  <c r="A94" i="10"/>
  <c r="C94" i="10"/>
  <c r="B94" i="10"/>
  <c r="D94" i="10"/>
  <c r="E94" i="10"/>
  <c r="F94" i="10"/>
  <c r="C337" i="1"/>
  <c r="A128" i="15"/>
  <c r="C128" i="15"/>
  <c r="E337" i="1"/>
  <c r="K337" i="1"/>
  <c r="I873" i="1"/>
  <c r="C77" i="14"/>
  <c r="I341" i="6"/>
  <c r="M524" i="1"/>
  <c r="A483" i="5"/>
  <c r="C483" i="5"/>
  <c r="E483" i="5"/>
  <c r="H483" i="5"/>
  <c r="A529" i="5"/>
  <c r="C529" i="5"/>
  <c r="E529" i="5"/>
  <c r="H529" i="5"/>
  <c r="E432" i="5"/>
  <c r="A583" i="5"/>
  <c r="C583" i="5"/>
  <c r="E583" i="5"/>
  <c r="G583" i="5"/>
  <c r="I583" i="5"/>
  <c r="L583" i="5"/>
  <c r="A628" i="5"/>
  <c r="C628" i="5"/>
  <c r="E628" i="5"/>
  <c r="G628" i="5"/>
  <c r="I628" i="5"/>
  <c r="L628" i="5"/>
  <c r="A681" i="5"/>
  <c r="C388" i="5"/>
  <c r="I681" i="5"/>
  <c r="C681" i="5"/>
  <c r="A387" i="5"/>
  <c r="E387" i="5"/>
  <c r="E681" i="5"/>
  <c r="G387" i="5"/>
  <c r="G681" i="5"/>
  <c r="I388" i="5"/>
  <c r="K681" i="5"/>
  <c r="G432" i="5"/>
  <c r="I432" i="5"/>
  <c r="E422" i="1"/>
  <c r="A341" i="6"/>
  <c r="C341" i="6"/>
  <c r="E341" i="6"/>
  <c r="G341" i="6"/>
  <c r="K524" i="1"/>
  <c r="A460" i="11"/>
  <c r="C460" i="11"/>
  <c r="E460" i="11"/>
  <c r="H460" i="11"/>
  <c r="A414" i="11"/>
  <c r="C414" i="11"/>
  <c r="E414" i="11"/>
  <c r="H414" i="11"/>
  <c r="E363" i="11"/>
  <c r="C319" i="11"/>
  <c r="A514" i="11"/>
  <c r="C514" i="11"/>
  <c r="E514" i="11"/>
  <c r="G514" i="11"/>
  <c r="I514" i="11"/>
  <c r="L514" i="11"/>
  <c r="A559" i="11"/>
  <c r="C559" i="11"/>
  <c r="E559" i="11"/>
  <c r="G559" i="11"/>
  <c r="I559" i="11"/>
  <c r="L559" i="11"/>
  <c r="A318" i="11"/>
  <c r="E318" i="11"/>
  <c r="A612" i="11"/>
  <c r="E612" i="11"/>
  <c r="G318" i="11"/>
  <c r="I612" i="11"/>
  <c r="G612" i="11"/>
  <c r="I318" i="11"/>
  <c r="K612" i="11"/>
  <c r="G363" i="11"/>
  <c r="I363" i="11"/>
  <c r="I422" i="1"/>
  <c r="G873" i="1"/>
  <c r="E77" i="14"/>
  <c r="A955" i="1"/>
  <c r="B955" i="1"/>
  <c r="C955" i="1"/>
  <c r="A489" i="13"/>
  <c r="C489" i="13"/>
  <c r="E955" i="1"/>
  <c r="G955" i="1"/>
  <c r="G77" i="14"/>
  <c r="I77" i="14"/>
  <c r="A524" i="1"/>
  <c r="E524" i="1"/>
  <c r="G524" i="1"/>
  <c r="I524" i="1"/>
  <c r="E873" i="1"/>
  <c r="I115" i="3"/>
  <c r="K115" i="3"/>
  <c r="G264" i="1"/>
  <c r="L873" i="1"/>
  <c r="C203" i="7"/>
  <c r="N76" i="14"/>
  <c r="F115" i="2"/>
  <c r="G115" i="2"/>
  <c r="H115" i="2"/>
  <c r="K388" i="6"/>
  <c r="B558" i="6"/>
  <c r="D558" i="6"/>
  <c r="F558" i="6"/>
  <c r="B524" i="1"/>
  <c r="F524" i="1"/>
  <c r="H558" i="6"/>
  <c r="H524" i="1"/>
  <c r="J558" i="6"/>
  <c r="J524" i="1"/>
  <c r="F873" i="1"/>
  <c r="H156" i="4"/>
  <c r="J264" i="1"/>
  <c r="D115" i="3"/>
  <c r="A116" i="3"/>
  <c r="B116" i="3"/>
  <c r="F115" i="3"/>
  <c r="H115" i="3"/>
  <c r="D264" i="1"/>
  <c r="G94" i="10"/>
  <c r="H94" i="10"/>
  <c r="I94" i="10"/>
  <c r="J94" i="10"/>
  <c r="D337" i="1"/>
  <c r="B128" i="15"/>
  <c r="D128" i="15"/>
  <c r="F337" i="1"/>
  <c r="F128" i="15"/>
  <c r="H337" i="1"/>
  <c r="L337" i="1"/>
  <c r="J873" i="1"/>
  <c r="J115" i="3"/>
  <c r="L115" i="3"/>
  <c r="H264" i="1"/>
  <c r="M873" i="1"/>
  <c r="D203" i="7"/>
  <c r="E203" i="7"/>
  <c r="A203" i="7"/>
  <c r="F203" i="7"/>
  <c r="A534" i="13"/>
  <c r="B534" i="13"/>
  <c r="C534" i="13"/>
  <c r="G489" i="13"/>
  <c r="F534" i="13"/>
  <c r="I534" i="13"/>
  <c r="D534" i="13"/>
  <c r="B489" i="13"/>
  <c r="H489" i="13"/>
  <c r="G534" i="13"/>
  <c r="J534" i="13"/>
  <c r="K534" i="13"/>
  <c r="G203" i="7"/>
  <c r="H203" i="7"/>
  <c r="C251" i="7"/>
  <c r="D251" i="7"/>
  <c r="E251" i="7"/>
  <c r="F251" i="7"/>
  <c r="G251" i="7"/>
  <c r="H251" i="7"/>
  <c r="I251" i="7"/>
  <c r="C524" i="1"/>
  <c r="I203" i="7"/>
  <c r="D524" i="1"/>
  <c r="J203" i="7"/>
  <c r="K251" i="7"/>
  <c r="K77" i="14"/>
  <c r="D77" i="14"/>
  <c r="B389" i="6"/>
  <c r="F389" i="6"/>
  <c r="D389" i="6"/>
  <c r="H389" i="6"/>
  <c r="J341" i="6"/>
  <c r="N524" i="1"/>
  <c r="B483" i="5"/>
  <c r="D483" i="5"/>
  <c r="F483" i="5"/>
  <c r="I483" i="5"/>
  <c r="B529" i="5"/>
  <c r="D529" i="5"/>
  <c r="F529" i="5"/>
  <c r="I529" i="5"/>
  <c r="F432" i="5"/>
  <c r="B583" i="5"/>
  <c r="D583" i="5"/>
  <c r="F583" i="5"/>
  <c r="H583" i="5"/>
  <c r="J583" i="5"/>
  <c r="M583" i="5"/>
  <c r="B628" i="5"/>
  <c r="D628" i="5"/>
  <c r="F628" i="5"/>
  <c r="H628" i="5"/>
  <c r="J628" i="5"/>
  <c r="M628" i="5"/>
  <c r="B681" i="5"/>
  <c r="D388" i="5"/>
  <c r="J681" i="5"/>
  <c r="D681" i="5"/>
  <c r="B387" i="5"/>
  <c r="F387" i="5"/>
  <c r="F681" i="5"/>
  <c r="H387" i="5"/>
  <c r="H681" i="5"/>
  <c r="J388" i="5"/>
  <c r="L681" i="5"/>
  <c r="H432" i="5"/>
  <c r="J432" i="5"/>
  <c r="F422" i="1"/>
  <c r="B341" i="6"/>
  <c r="D341" i="6"/>
  <c r="F341" i="6"/>
  <c r="H341" i="6"/>
  <c r="L524" i="1"/>
  <c r="B460" i="11"/>
  <c r="D460" i="11"/>
  <c r="F460" i="11"/>
  <c r="I460" i="11"/>
  <c r="B414" i="11"/>
  <c r="D414" i="11"/>
  <c r="F414" i="11"/>
  <c r="I414" i="11"/>
  <c r="F363" i="11"/>
  <c r="B514" i="11"/>
  <c r="D514" i="11"/>
  <c r="F514" i="11"/>
  <c r="H514" i="11"/>
  <c r="J514" i="11"/>
  <c r="M514" i="11"/>
  <c r="B559" i="11"/>
  <c r="D559" i="11"/>
  <c r="F559" i="11"/>
  <c r="H559" i="11"/>
  <c r="J559" i="11"/>
  <c r="M559" i="11"/>
  <c r="B318" i="11"/>
  <c r="F318" i="11"/>
  <c r="B612" i="11"/>
  <c r="F612" i="11"/>
  <c r="H318" i="11"/>
  <c r="J612" i="11"/>
  <c r="H612" i="11"/>
  <c r="J318" i="11"/>
  <c r="L612" i="11"/>
  <c r="H363" i="11"/>
  <c r="J363" i="11"/>
  <c r="J422" i="1"/>
  <c r="H873" i="1"/>
  <c r="F77" i="14"/>
  <c r="D955" i="1"/>
  <c r="D489" i="13"/>
  <c r="F955" i="1"/>
  <c r="H955" i="1"/>
  <c r="H77" i="14"/>
  <c r="J77" i="14"/>
  <c r="L77" i="14"/>
  <c r="M77" i="14"/>
  <c r="A116" i="2"/>
  <c r="C116" i="2"/>
  <c r="B116" i="2"/>
  <c r="D116" i="2"/>
  <c r="E116" i="2"/>
  <c r="J389" i="6"/>
  <c r="A559" i="6"/>
  <c r="C559" i="6"/>
  <c r="E559" i="6"/>
  <c r="G559" i="6"/>
  <c r="I559" i="6"/>
  <c r="A390" i="6"/>
  <c r="E390" i="6"/>
  <c r="C390" i="6"/>
  <c r="G390" i="6"/>
  <c r="A157" i="4"/>
  <c r="E157" i="4"/>
  <c r="B157" i="4"/>
  <c r="D157" i="4"/>
  <c r="K157" i="4"/>
  <c r="F157" i="4"/>
  <c r="G157" i="4"/>
  <c r="I265" i="1"/>
  <c r="G116" i="3"/>
  <c r="C265" i="1"/>
  <c r="A95" i="10"/>
  <c r="C95" i="10"/>
  <c r="B95" i="10"/>
  <c r="D95" i="10"/>
  <c r="E95" i="10"/>
  <c r="F95" i="10"/>
  <c r="C338" i="1"/>
  <c r="A129" i="15"/>
  <c r="C129" i="15"/>
  <c r="E338" i="1"/>
  <c r="K338" i="1"/>
  <c r="I874" i="1"/>
  <c r="C78" i="14"/>
  <c r="I342" i="6"/>
  <c r="M525" i="1"/>
  <c r="A484" i="5"/>
  <c r="C484" i="5"/>
  <c r="E484" i="5"/>
  <c r="H484" i="5"/>
  <c r="A530" i="5"/>
  <c r="C530" i="5"/>
  <c r="E530" i="5"/>
  <c r="H530" i="5"/>
  <c r="E433" i="5"/>
  <c r="A584" i="5"/>
  <c r="C584" i="5"/>
  <c r="E584" i="5"/>
  <c r="G584" i="5"/>
  <c r="I584" i="5"/>
  <c r="L584" i="5"/>
  <c r="A629" i="5"/>
  <c r="C629" i="5"/>
  <c r="E629" i="5"/>
  <c r="G629" i="5"/>
  <c r="I629" i="5"/>
  <c r="L629" i="5"/>
  <c r="A682" i="5"/>
  <c r="C389" i="5"/>
  <c r="I682" i="5"/>
  <c r="C682" i="5"/>
  <c r="A388" i="5"/>
  <c r="E388" i="5"/>
  <c r="E682" i="5"/>
  <c r="G388" i="5"/>
  <c r="G682" i="5"/>
  <c r="I389" i="5"/>
  <c r="K682" i="5"/>
  <c r="G433" i="5"/>
  <c r="I433" i="5"/>
  <c r="E423" i="1"/>
  <c r="A342" i="6"/>
  <c r="C342" i="6"/>
  <c r="E342" i="6"/>
  <c r="G342" i="6"/>
  <c r="K525" i="1"/>
  <c r="A461" i="11"/>
  <c r="C461" i="11"/>
  <c r="E461" i="11"/>
  <c r="H461" i="11"/>
  <c r="A415" i="11"/>
  <c r="C415" i="11"/>
  <c r="E415" i="11"/>
  <c r="H415" i="11"/>
  <c r="E364" i="11"/>
  <c r="A515" i="11"/>
  <c r="C515" i="11"/>
  <c r="E515" i="11"/>
  <c r="G515" i="11"/>
  <c r="I515" i="11"/>
  <c r="L515" i="11"/>
  <c r="A560" i="11"/>
  <c r="C560" i="11"/>
  <c r="E560" i="11"/>
  <c r="G560" i="11"/>
  <c r="I560" i="11"/>
  <c r="L560" i="11"/>
  <c r="A319" i="11"/>
  <c r="E319" i="11"/>
  <c r="A613" i="11"/>
  <c r="E613" i="11"/>
  <c r="G319" i="11"/>
  <c r="I613" i="11"/>
  <c r="G613" i="11"/>
  <c r="I319" i="11"/>
  <c r="K613" i="11"/>
  <c r="G364" i="11"/>
  <c r="I364" i="11"/>
  <c r="I423" i="1"/>
  <c r="G874" i="1"/>
  <c r="E78" i="14"/>
  <c r="A956" i="1"/>
  <c r="C956" i="1"/>
  <c r="A490" i="13"/>
  <c r="C490" i="13"/>
  <c r="E956" i="1"/>
  <c r="G956" i="1"/>
  <c r="G78" i="14"/>
  <c r="I78" i="14"/>
  <c r="A525" i="1"/>
  <c r="E525" i="1"/>
  <c r="G525" i="1"/>
  <c r="I525" i="1"/>
  <c r="E874" i="1"/>
  <c r="I116" i="3"/>
  <c r="K116" i="3"/>
  <c r="G265" i="1"/>
  <c r="L874" i="1"/>
  <c r="C204" i="7"/>
  <c r="N77" i="14"/>
  <c r="F116" i="2"/>
  <c r="G116" i="2"/>
  <c r="H116" i="2"/>
  <c r="K389" i="6"/>
  <c r="B559" i="6"/>
  <c r="D559" i="6"/>
  <c r="F559" i="6"/>
  <c r="B525" i="1"/>
  <c r="F525" i="1"/>
  <c r="H559" i="6"/>
  <c r="H525" i="1"/>
  <c r="J559" i="6"/>
  <c r="J525" i="1"/>
  <c r="F874" i="1"/>
  <c r="H157" i="4"/>
  <c r="J265" i="1"/>
  <c r="D116" i="3"/>
  <c r="A117" i="3"/>
  <c r="B117" i="3"/>
  <c r="F116" i="3"/>
  <c r="H116" i="3"/>
  <c r="D265" i="1"/>
  <c r="G95" i="10"/>
  <c r="H95" i="10"/>
  <c r="I95" i="10"/>
  <c r="J95" i="10"/>
  <c r="D338" i="1"/>
  <c r="B129" i="15"/>
  <c r="D129" i="15"/>
  <c r="F338" i="1"/>
  <c r="F129" i="15"/>
  <c r="H338" i="1"/>
  <c r="L338" i="1"/>
  <c r="J874" i="1"/>
  <c r="J116" i="3"/>
  <c r="L116" i="3"/>
  <c r="H265" i="1"/>
  <c r="M874" i="1"/>
  <c r="D204" i="7"/>
  <c r="E204" i="7"/>
  <c r="A204" i="7"/>
  <c r="F204" i="7"/>
  <c r="A535" i="13"/>
  <c r="B535" i="13"/>
  <c r="C535" i="13"/>
  <c r="G490" i="13"/>
  <c r="F535" i="13"/>
  <c r="I535" i="13"/>
  <c r="L70" i="13"/>
  <c r="D535" i="13"/>
  <c r="B490" i="13"/>
  <c r="H490" i="13"/>
  <c r="G535" i="13"/>
  <c r="J535" i="13"/>
  <c r="K535" i="13"/>
  <c r="G204" i="7"/>
  <c r="H204" i="7"/>
  <c r="M124" i="7"/>
  <c r="J113" i="7"/>
  <c r="C252" i="7"/>
  <c r="D252" i="7"/>
  <c r="E252" i="7"/>
  <c r="F252" i="7"/>
  <c r="G252" i="7"/>
  <c r="H252" i="7"/>
  <c r="I252" i="7"/>
  <c r="C525" i="1"/>
  <c r="I204" i="7"/>
  <c r="D525" i="1"/>
  <c r="J204" i="7"/>
  <c r="K252" i="7"/>
  <c r="K78" i="14"/>
  <c r="D78" i="14"/>
  <c r="B390" i="6"/>
  <c r="F390" i="6"/>
  <c r="D390" i="6"/>
  <c r="H390" i="6"/>
  <c r="J342" i="6"/>
  <c r="N525" i="1"/>
  <c r="B484" i="5"/>
  <c r="D484" i="5"/>
  <c r="F484" i="5"/>
  <c r="I484" i="5"/>
  <c r="B530" i="5"/>
  <c r="D530" i="5"/>
  <c r="F530" i="5"/>
  <c r="I530" i="5"/>
  <c r="F433" i="5"/>
  <c r="B584" i="5"/>
  <c r="D584" i="5"/>
  <c r="F584" i="5"/>
  <c r="H584" i="5"/>
  <c r="J584" i="5"/>
  <c r="M584" i="5"/>
  <c r="B629" i="5"/>
  <c r="D629" i="5"/>
  <c r="F629" i="5"/>
  <c r="H629" i="5"/>
  <c r="J629" i="5"/>
  <c r="M629" i="5"/>
  <c r="B682" i="5"/>
  <c r="D389" i="5"/>
  <c r="J682" i="5"/>
  <c r="D682" i="5"/>
  <c r="B388" i="5"/>
  <c r="F388" i="5"/>
  <c r="F682" i="5"/>
  <c r="H388" i="5"/>
  <c r="H682" i="5"/>
  <c r="J389" i="5"/>
  <c r="L682" i="5"/>
  <c r="H433" i="5"/>
  <c r="J433" i="5"/>
  <c r="F423" i="1"/>
  <c r="B342" i="6"/>
  <c r="D342" i="6"/>
  <c r="F342" i="6"/>
  <c r="H342" i="6"/>
  <c r="L525" i="1"/>
  <c r="B461" i="11"/>
  <c r="D461" i="11"/>
  <c r="F461" i="11"/>
  <c r="I461" i="11"/>
  <c r="B415" i="11"/>
  <c r="D415" i="11"/>
  <c r="F415" i="11"/>
  <c r="I415" i="11"/>
  <c r="F364" i="11"/>
  <c r="B515" i="11"/>
  <c r="D515" i="11"/>
  <c r="F515" i="11"/>
  <c r="H515" i="11"/>
  <c r="J515" i="11"/>
  <c r="M515" i="11"/>
  <c r="B560" i="11"/>
  <c r="D560" i="11"/>
  <c r="F560" i="11"/>
  <c r="H560" i="11"/>
  <c r="J560" i="11"/>
  <c r="M560" i="11"/>
  <c r="B319" i="11"/>
  <c r="F319" i="11"/>
  <c r="B613" i="11"/>
  <c r="F613" i="11"/>
  <c r="H319" i="11"/>
  <c r="J613" i="11"/>
  <c r="H613" i="11"/>
  <c r="J319" i="11"/>
  <c r="L613" i="11"/>
  <c r="H364" i="11"/>
  <c r="J364" i="11"/>
  <c r="J423" i="1"/>
  <c r="H874" i="1"/>
  <c r="F78" i="14"/>
  <c r="I923" i="1"/>
  <c r="K923" i="1"/>
  <c r="B956" i="1"/>
  <c r="D956" i="1"/>
  <c r="D490" i="13"/>
  <c r="F956" i="1"/>
  <c r="H956" i="1"/>
  <c r="H78" i="14"/>
  <c r="J78" i="14"/>
  <c r="L78" i="14"/>
  <c r="M78" i="14"/>
  <c r="A117" i="2"/>
  <c r="C117" i="2"/>
  <c r="B117" i="2"/>
  <c r="D117" i="2"/>
  <c r="E117" i="2"/>
  <c r="J390" i="6"/>
  <c r="A560" i="6"/>
  <c r="C560" i="6"/>
  <c r="E560" i="6"/>
  <c r="G560" i="6"/>
  <c r="I560" i="6"/>
  <c r="A391" i="6"/>
  <c r="E391" i="6"/>
  <c r="C391" i="6"/>
  <c r="G391" i="6"/>
  <c r="A158" i="4"/>
  <c r="E158" i="4"/>
  <c r="B158" i="4"/>
  <c r="D158" i="4"/>
  <c r="K158" i="4"/>
  <c r="F158" i="4"/>
  <c r="G158" i="4"/>
  <c r="I266" i="1"/>
  <c r="G117" i="3"/>
  <c r="C266" i="1"/>
  <c r="A96" i="10"/>
  <c r="C96" i="10"/>
  <c r="B96" i="10"/>
  <c r="D96" i="10"/>
  <c r="E96" i="10"/>
  <c r="F96" i="10"/>
  <c r="C339" i="1"/>
  <c r="A130" i="15"/>
  <c r="C130" i="15"/>
  <c r="E339" i="1"/>
  <c r="K339" i="1"/>
  <c r="I875" i="1"/>
  <c r="C79" i="14"/>
  <c r="I343" i="6"/>
  <c r="M526" i="1"/>
  <c r="A485" i="5"/>
  <c r="C485" i="5"/>
  <c r="E485" i="5"/>
  <c r="H485" i="5"/>
  <c r="A531" i="5"/>
  <c r="C531" i="5"/>
  <c r="E531" i="5"/>
  <c r="H531" i="5"/>
  <c r="E434" i="5"/>
  <c r="A585" i="5"/>
  <c r="C585" i="5"/>
  <c r="E585" i="5"/>
  <c r="G585" i="5"/>
  <c r="I585" i="5"/>
  <c r="L585" i="5"/>
  <c r="A630" i="5"/>
  <c r="C630" i="5"/>
  <c r="E630" i="5"/>
  <c r="G630" i="5"/>
  <c r="I630" i="5"/>
  <c r="L630" i="5"/>
  <c r="A683" i="5"/>
  <c r="C390" i="5"/>
  <c r="I683" i="5"/>
  <c r="C683" i="5"/>
  <c r="A389" i="5"/>
  <c r="E389" i="5"/>
  <c r="E683" i="5"/>
  <c r="G389" i="5"/>
  <c r="G683" i="5"/>
  <c r="I390" i="5"/>
  <c r="K683" i="5"/>
  <c r="G434" i="5"/>
  <c r="I434" i="5"/>
  <c r="E424" i="1"/>
  <c r="A343" i="6"/>
  <c r="C343" i="6"/>
  <c r="E343" i="6"/>
  <c r="G343" i="6"/>
  <c r="K526" i="1"/>
  <c r="A462" i="11"/>
  <c r="C462" i="11"/>
  <c r="E462" i="11"/>
  <c r="H462" i="11"/>
  <c r="A416" i="11"/>
  <c r="C416" i="11"/>
  <c r="E416" i="11"/>
  <c r="H416" i="11"/>
  <c r="E365" i="11"/>
  <c r="A516" i="11"/>
  <c r="C516" i="11"/>
  <c r="E516" i="11"/>
  <c r="G516" i="11"/>
  <c r="I516" i="11"/>
  <c r="L516" i="11"/>
  <c r="A561" i="11"/>
  <c r="C561" i="11"/>
  <c r="E561" i="11"/>
  <c r="G561" i="11"/>
  <c r="I561" i="11"/>
  <c r="L561" i="11"/>
  <c r="A320" i="11"/>
  <c r="E320" i="11"/>
  <c r="A614" i="11"/>
  <c r="E614" i="11"/>
  <c r="G320" i="11"/>
  <c r="I614" i="11"/>
  <c r="G614" i="11"/>
  <c r="I320" i="11"/>
  <c r="K614" i="11"/>
  <c r="G365" i="11"/>
  <c r="I365" i="11"/>
  <c r="I424" i="1"/>
  <c r="G875" i="1"/>
  <c r="E79" i="14"/>
  <c r="A957" i="1"/>
  <c r="C957" i="1"/>
  <c r="A491" i="13"/>
  <c r="C491" i="13"/>
  <c r="E957" i="1"/>
  <c r="G957" i="1"/>
  <c r="G79" i="14"/>
  <c r="I79" i="14"/>
  <c r="A526" i="1"/>
  <c r="E526" i="1"/>
  <c r="G526" i="1"/>
  <c r="I526" i="1"/>
  <c r="E875" i="1"/>
  <c r="I117" i="3"/>
  <c r="K117" i="3"/>
  <c r="G266" i="1"/>
  <c r="L875" i="1"/>
  <c r="C205" i="7"/>
  <c r="N78" i="14"/>
  <c r="F117" i="2"/>
  <c r="G117" i="2"/>
  <c r="H117" i="2"/>
  <c r="K390" i="6"/>
  <c r="B560" i="6"/>
  <c r="D560" i="6"/>
  <c r="F560" i="6"/>
  <c r="B526" i="1"/>
  <c r="F526" i="1"/>
  <c r="H560" i="6"/>
  <c r="H526" i="1"/>
  <c r="J560" i="6"/>
  <c r="J526" i="1"/>
  <c r="F875" i="1"/>
  <c r="H158" i="4"/>
  <c r="J266" i="1"/>
  <c r="D117" i="3"/>
  <c r="A118" i="3"/>
  <c r="B118" i="3"/>
  <c r="F117" i="3"/>
  <c r="H117" i="3"/>
  <c r="D266" i="1"/>
  <c r="G96" i="10"/>
  <c r="H96" i="10"/>
  <c r="I96" i="10"/>
  <c r="J96" i="10"/>
  <c r="D339" i="1"/>
  <c r="B130" i="15"/>
  <c r="D130" i="15"/>
  <c r="F339" i="1"/>
  <c r="F130" i="15"/>
  <c r="H339" i="1"/>
  <c r="L339" i="1"/>
  <c r="J875" i="1"/>
  <c r="J117" i="3"/>
  <c r="L117" i="3"/>
  <c r="H266" i="1"/>
  <c r="M875" i="1"/>
  <c r="D205" i="7"/>
  <c r="E205" i="7"/>
  <c r="A205" i="7"/>
  <c r="F205" i="7"/>
  <c r="A536" i="13"/>
  <c r="B536" i="13"/>
  <c r="C536" i="13"/>
  <c r="G491" i="13"/>
  <c r="F536" i="13"/>
  <c r="I536" i="13"/>
  <c r="D536" i="13"/>
  <c r="B491" i="13"/>
  <c r="H491" i="13"/>
  <c r="G536" i="13"/>
  <c r="J536" i="13"/>
  <c r="K536" i="13"/>
  <c r="G205" i="7"/>
  <c r="H205" i="7"/>
  <c r="C253" i="7"/>
  <c r="D253" i="7"/>
  <c r="E253" i="7"/>
  <c r="F253" i="7"/>
  <c r="G253" i="7"/>
  <c r="H253" i="7"/>
  <c r="I253" i="7"/>
  <c r="C526" i="1"/>
  <c r="I205" i="7"/>
  <c r="D526" i="1"/>
  <c r="J205" i="7"/>
  <c r="K253" i="7"/>
  <c r="K79" i="14"/>
  <c r="D79" i="14"/>
  <c r="B391" i="6"/>
  <c r="F391" i="6"/>
  <c r="D391" i="6"/>
  <c r="H391" i="6"/>
  <c r="J343" i="6"/>
  <c r="N526" i="1"/>
  <c r="B485" i="5"/>
  <c r="D485" i="5"/>
  <c r="F485" i="5"/>
  <c r="I485" i="5"/>
  <c r="B531" i="5"/>
  <c r="D531" i="5"/>
  <c r="F531" i="5"/>
  <c r="I531" i="5"/>
  <c r="F434" i="5"/>
  <c r="B585" i="5"/>
  <c r="D585" i="5"/>
  <c r="F585" i="5"/>
  <c r="H585" i="5"/>
  <c r="J585" i="5"/>
  <c r="M585" i="5"/>
  <c r="B630" i="5"/>
  <c r="D630" i="5"/>
  <c r="F630" i="5"/>
  <c r="H630" i="5"/>
  <c r="J630" i="5"/>
  <c r="M630" i="5"/>
  <c r="B683" i="5"/>
  <c r="D390" i="5"/>
  <c r="J683" i="5"/>
  <c r="D683" i="5"/>
  <c r="B389" i="5"/>
  <c r="F389" i="5"/>
  <c r="F683" i="5"/>
  <c r="H389" i="5"/>
  <c r="H683" i="5"/>
  <c r="J390" i="5"/>
  <c r="L683" i="5"/>
  <c r="H434" i="5"/>
  <c r="J434" i="5"/>
  <c r="F424" i="1"/>
  <c r="B343" i="6"/>
  <c r="D343" i="6"/>
  <c r="F343" i="6"/>
  <c r="H343" i="6"/>
  <c r="L526" i="1"/>
  <c r="B462" i="11"/>
  <c r="D462" i="11"/>
  <c r="F462" i="11"/>
  <c r="I462" i="11"/>
  <c r="B416" i="11"/>
  <c r="D416" i="11"/>
  <c r="F416" i="11"/>
  <c r="I416" i="11"/>
  <c r="F365" i="11"/>
  <c r="B516" i="11"/>
  <c r="D516" i="11"/>
  <c r="F516" i="11"/>
  <c r="H516" i="11"/>
  <c r="J516" i="11"/>
  <c r="M516" i="11"/>
  <c r="B561" i="11"/>
  <c r="D561" i="11"/>
  <c r="F561" i="11"/>
  <c r="H561" i="11"/>
  <c r="J561" i="11"/>
  <c r="M561" i="11"/>
  <c r="B320" i="11"/>
  <c r="F320" i="11"/>
  <c r="B614" i="11"/>
  <c r="F614" i="11"/>
  <c r="H320" i="11"/>
  <c r="J614" i="11"/>
  <c r="H614" i="11"/>
  <c r="J320" i="11"/>
  <c r="L614" i="11"/>
  <c r="H365" i="11"/>
  <c r="J365" i="11"/>
  <c r="J424" i="1"/>
  <c r="H875" i="1"/>
  <c r="F79" i="14"/>
  <c r="B957" i="1"/>
  <c r="D957" i="1"/>
  <c r="D491" i="13"/>
  <c r="F957" i="1"/>
  <c r="H957" i="1"/>
  <c r="H79" i="14"/>
  <c r="J79" i="14"/>
  <c r="L79" i="14"/>
  <c r="M79" i="14"/>
  <c r="A118" i="2"/>
  <c r="C118" i="2"/>
  <c r="B118" i="2"/>
  <c r="D118" i="2"/>
  <c r="E118" i="2"/>
  <c r="J391" i="6"/>
  <c r="A561" i="6"/>
  <c r="C561" i="6"/>
  <c r="E561" i="6"/>
  <c r="G561" i="6"/>
  <c r="I561" i="6"/>
  <c r="A392" i="6"/>
  <c r="E392" i="6"/>
  <c r="C392" i="6"/>
  <c r="G392" i="6"/>
  <c r="A159" i="4"/>
  <c r="E159" i="4"/>
  <c r="B159" i="4"/>
  <c r="D159" i="4"/>
  <c r="K159" i="4"/>
  <c r="F159" i="4"/>
  <c r="G159" i="4"/>
  <c r="I267" i="1"/>
  <c r="G118" i="3"/>
  <c r="C267" i="1"/>
  <c r="A97" i="10"/>
  <c r="C97" i="10"/>
  <c r="B97" i="10"/>
  <c r="D97" i="10"/>
  <c r="E97" i="10"/>
  <c r="F97" i="10"/>
  <c r="C340" i="1"/>
  <c r="A131" i="15"/>
  <c r="C131" i="15"/>
  <c r="E340" i="1"/>
  <c r="K340" i="1"/>
  <c r="I876" i="1"/>
  <c r="C80" i="14"/>
  <c r="I344" i="6"/>
  <c r="M527" i="1"/>
  <c r="A486" i="5"/>
  <c r="C486" i="5"/>
  <c r="E486" i="5"/>
  <c r="H486" i="5"/>
  <c r="A532" i="5"/>
  <c r="C532" i="5"/>
  <c r="E532" i="5"/>
  <c r="H532" i="5"/>
  <c r="E435" i="5"/>
  <c r="A586" i="5"/>
  <c r="C586" i="5"/>
  <c r="E586" i="5"/>
  <c r="G586" i="5"/>
  <c r="I586" i="5"/>
  <c r="L586" i="5"/>
  <c r="A631" i="5"/>
  <c r="C631" i="5"/>
  <c r="E631" i="5"/>
  <c r="G631" i="5"/>
  <c r="I631" i="5"/>
  <c r="L631" i="5"/>
  <c r="A684" i="5"/>
  <c r="C391" i="5"/>
  <c r="I684" i="5"/>
  <c r="C684" i="5"/>
  <c r="A390" i="5"/>
  <c r="E390" i="5"/>
  <c r="E684" i="5"/>
  <c r="G390" i="5"/>
  <c r="G684" i="5"/>
  <c r="I391" i="5"/>
  <c r="K684" i="5"/>
  <c r="G435" i="5"/>
  <c r="I435" i="5"/>
  <c r="E425" i="1"/>
  <c r="A344" i="6"/>
  <c r="C344" i="6"/>
  <c r="E344" i="6"/>
  <c r="G344" i="6"/>
  <c r="K527" i="1"/>
  <c r="A463" i="11"/>
  <c r="C463" i="11"/>
  <c r="E463" i="11"/>
  <c r="H463" i="11"/>
  <c r="A417" i="11"/>
  <c r="C417" i="11"/>
  <c r="E417" i="11"/>
  <c r="H417" i="11"/>
  <c r="E366" i="11"/>
  <c r="A517" i="11"/>
  <c r="C517" i="11"/>
  <c r="E517" i="11"/>
  <c r="G517" i="11"/>
  <c r="I517" i="11"/>
  <c r="L517" i="11"/>
  <c r="A562" i="11"/>
  <c r="C562" i="11"/>
  <c r="E562" i="11"/>
  <c r="G562" i="11"/>
  <c r="I562" i="11"/>
  <c r="L562" i="11"/>
  <c r="A321" i="11"/>
  <c r="E321" i="11"/>
  <c r="A615" i="11"/>
  <c r="E615" i="11"/>
  <c r="G321" i="11"/>
  <c r="I615" i="11"/>
  <c r="G615" i="11"/>
  <c r="I321" i="11"/>
  <c r="K615" i="11"/>
  <c r="G366" i="11"/>
  <c r="I366" i="11"/>
  <c r="I425" i="1"/>
  <c r="G876" i="1"/>
  <c r="E80" i="14"/>
  <c r="A958" i="1"/>
  <c r="C958" i="1"/>
  <c r="A492" i="13"/>
  <c r="C492" i="13"/>
  <c r="E958" i="1"/>
  <c r="G958" i="1"/>
  <c r="G80" i="14"/>
  <c r="I80" i="14"/>
  <c r="A527" i="1"/>
  <c r="E527" i="1"/>
  <c r="G527" i="1"/>
  <c r="I527" i="1"/>
  <c r="E876" i="1"/>
  <c r="I118" i="3"/>
  <c r="K118" i="3"/>
  <c r="G267" i="1"/>
  <c r="L876" i="1"/>
  <c r="C206" i="7"/>
  <c r="N79" i="14"/>
  <c r="F118" i="2"/>
  <c r="G118" i="2"/>
  <c r="H118" i="2"/>
  <c r="K391" i="6"/>
  <c r="B561" i="6"/>
  <c r="D561" i="6"/>
  <c r="F561" i="6"/>
  <c r="B527" i="1"/>
  <c r="F527" i="1"/>
  <c r="H561" i="6"/>
  <c r="H527" i="1"/>
  <c r="J561" i="6"/>
  <c r="J527" i="1"/>
  <c r="F876" i="1"/>
  <c r="H159" i="4"/>
  <c r="J267" i="1"/>
  <c r="D118" i="3"/>
  <c r="A119" i="3"/>
  <c r="B119" i="3"/>
  <c r="F118" i="3"/>
  <c r="H118" i="3"/>
  <c r="D267" i="1"/>
  <c r="G97" i="10"/>
  <c r="H97" i="10"/>
  <c r="I97" i="10"/>
  <c r="J97" i="10"/>
  <c r="D340" i="1"/>
  <c r="B131" i="15"/>
  <c r="D131" i="15"/>
  <c r="F340" i="1"/>
  <c r="F131" i="15"/>
  <c r="H340" i="1"/>
  <c r="L340" i="1"/>
  <c r="J876" i="1"/>
  <c r="J118" i="3"/>
  <c r="L118" i="3"/>
  <c r="H267" i="1"/>
  <c r="M876" i="1"/>
  <c r="D206" i="7"/>
  <c r="E206" i="7"/>
  <c r="A206" i="7"/>
  <c r="F206" i="7"/>
  <c r="A537" i="13"/>
  <c r="B537" i="13"/>
  <c r="C537" i="13"/>
  <c r="G492" i="13"/>
  <c r="F537" i="13"/>
  <c r="I537" i="13"/>
  <c r="D537" i="13"/>
  <c r="B492" i="13"/>
  <c r="H492" i="13"/>
  <c r="G537" i="13"/>
  <c r="J537" i="13"/>
  <c r="K537" i="13"/>
  <c r="G206" i="7"/>
  <c r="H206" i="7"/>
  <c r="C254" i="7"/>
  <c r="D254" i="7"/>
  <c r="E254" i="7"/>
  <c r="F254" i="7"/>
  <c r="G254" i="7"/>
  <c r="H254" i="7"/>
  <c r="I254" i="7"/>
  <c r="C527" i="1"/>
  <c r="I206" i="7"/>
  <c r="D527" i="1"/>
  <c r="J206" i="7"/>
  <c r="K254" i="7"/>
  <c r="K80" i="14"/>
  <c r="D80" i="14"/>
  <c r="B392" i="6"/>
  <c r="F392" i="6"/>
  <c r="D392" i="6"/>
  <c r="H392" i="6"/>
  <c r="J344" i="6"/>
  <c r="N527" i="1"/>
  <c r="B486" i="5"/>
  <c r="D486" i="5"/>
  <c r="F486" i="5"/>
  <c r="I486" i="5"/>
  <c r="B532" i="5"/>
  <c r="D532" i="5"/>
  <c r="F532" i="5"/>
  <c r="I532" i="5"/>
  <c r="F435" i="5"/>
  <c r="B586" i="5"/>
  <c r="D586" i="5"/>
  <c r="F586" i="5"/>
  <c r="H586" i="5"/>
  <c r="J586" i="5"/>
  <c r="M586" i="5"/>
  <c r="B631" i="5"/>
  <c r="D631" i="5"/>
  <c r="F631" i="5"/>
  <c r="H631" i="5"/>
  <c r="J631" i="5"/>
  <c r="M631" i="5"/>
  <c r="B684" i="5"/>
  <c r="D391" i="5"/>
  <c r="J684" i="5"/>
  <c r="D684" i="5"/>
  <c r="B390" i="5"/>
  <c r="F390" i="5"/>
  <c r="F684" i="5"/>
  <c r="H390" i="5"/>
  <c r="H684" i="5"/>
  <c r="J391" i="5"/>
  <c r="L684" i="5"/>
  <c r="H435" i="5"/>
  <c r="J435" i="5"/>
  <c r="F425" i="1"/>
  <c r="B344" i="6"/>
  <c r="D344" i="6"/>
  <c r="F344" i="6"/>
  <c r="H344" i="6"/>
  <c r="L527" i="1"/>
  <c r="B463" i="11"/>
  <c r="D463" i="11"/>
  <c r="F463" i="11"/>
  <c r="I463" i="11"/>
  <c r="B417" i="11"/>
  <c r="D417" i="11"/>
  <c r="F417" i="11"/>
  <c r="I417" i="11"/>
  <c r="F366" i="11"/>
  <c r="B517" i="11"/>
  <c r="D517" i="11"/>
  <c r="F517" i="11"/>
  <c r="H517" i="11"/>
  <c r="J517" i="11"/>
  <c r="M517" i="11"/>
  <c r="B562" i="11"/>
  <c r="D562" i="11"/>
  <c r="F562" i="11"/>
  <c r="H562" i="11"/>
  <c r="J562" i="11"/>
  <c r="M562" i="11"/>
  <c r="B321" i="11"/>
  <c r="F321" i="11"/>
  <c r="B615" i="11"/>
  <c r="F615" i="11"/>
  <c r="H321" i="11"/>
  <c r="J615" i="11"/>
  <c r="H615" i="11"/>
  <c r="J321" i="11"/>
  <c r="L615" i="11"/>
  <c r="H366" i="11"/>
  <c r="J366" i="11"/>
  <c r="J425" i="1"/>
  <c r="H876" i="1"/>
  <c r="F80" i="14"/>
  <c r="B958" i="1"/>
  <c r="D958" i="1"/>
  <c r="D492" i="13"/>
  <c r="F958" i="1"/>
  <c r="H958" i="1"/>
  <c r="H80" i="14"/>
  <c r="J80" i="14"/>
  <c r="L80" i="14"/>
  <c r="M80" i="14"/>
  <c r="A119" i="2"/>
  <c r="C119" i="2"/>
  <c r="B119" i="2"/>
  <c r="D119" i="2"/>
  <c r="E119" i="2"/>
  <c r="J392" i="6"/>
  <c r="A562" i="6"/>
  <c r="C562" i="6"/>
  <c r="E562" i="6"/>
  <c r="G562" i="6"/>
  <c r="I562" i="6"/>
  <c r="A393" i="6"/>
  <c r="E393" i="6"/>
  <c r="C393" i="6"/>
  <c r="G393" i="6"/>
  <c r="A160" i="4"/>
  <c r="E160" i="4"/>
  <c r="B160" i="4"/>
  <c r="D160" i="4"/>
  <c r="K160" i="4"/>
  <c r="F160" i="4"/>
  <c r="G160" i="4"/>
  <c r="I268" i="1"/>
  <c r="G119" i="3"/>
  <c r="C268" i="1"/>
  <c r="A98" i="10"/>
  <c r="C98" i="10"/>
  <c r="B98" i="10"/>
  <c r="D98" i="10"/>
  <c r="E98" i="10"/>
  <c r="F98" i="10"/>
  <c r="C341" i="1"/>
  <c r="A132" i="15"/>
  <c r="C132" i="15"/>
  <c r="E341" i="1"/>
  <c r="K341" i="1"/>
  <c r="I877" i="1"/>
  <c r="C81" i="14"/>
  <c r="I345" i="6"/>
  <c r="M528" i="1"/>
  <c r="A487" i="5"/>
  <c r="C487" i="5"/>
  <c r="E487" i="5"/>
  <c r="H487" i="5"/>
  <c r="A533" i="5"/>
  <c r="C533" i="5"/>
  <c r="E533" i="5"/>
  <c r="H533" i="5"/>
  <c r="E436" i="5"/>
  <c r="A587" i="5"/>
  <c r="C587" i="5"/>
  <c r="E587" i="5"/>
  <c r="G587" i="5"/>
  <c r="I587" i="5"/>
  <c r="L587" i="5"/>
  <c r="A632" i="5"/>
  <c r="C632" i="5"/>
  <c r="E632" i="5"/>
  <c r="G632" i="5"/>
  <c r="I632" i="5"/>
  <c r="L632" i="5"/>
  <c r="A685" i="5"/>
  <c r="C392" i="5"/>
  <c r="I685" i="5"/>
  <c r="C685" i="5"/>
  <c r="A391" i="5"/>
  <c r="E391" i="5"/>
  <c r="E685" i="5"/>
  <c r="G391" i="5"/>
  <c r="G685" i="5"/>
  <c r="I392" i="5"/>
  <c r="K685" i="5"/>
  <c r="G436" i="5"/>
  <c r="I436" i="5"/>
  <c r="E426" i="1"/>
  <c r="A345" i="6"/>
  <c r="C345" i="6"/>
  <c r="E345" i="6"/>
  <c r="G345" i="6"/>
  <c r="K528" i="1"/>
  <c r="A464" i="11"/>
  <c r="C464" i="11"/>
  <c r="E464" i="11"/>
  <c r="H464" i="11"/>
  <c r="A418" i="11"/>
  <c r="C418" i="11"/>
  <c r="E418" i="11"/>
  <c r="H418" i="11"/>
  <c r="E367" i="11"/>
  <c r="A518" i="11"/>
  <c r="C518" i="11"/>
  <c r="E518" i="11"/>
  <c r="G518" i="11"/>
  <c r="I518" i="11"/>
  <c r="L518" i="11"/>
  <c r="A563" i="11"/>
  <c r="C563" i="11"/>
  <c r="E563" i="11"/>
  <c r="G563" i="11"/>
  <c r="I563" i="11"/>
  <c r="L563" i="11"/>
  <c r="A322" i="11"/>
  <c r="E322" i="11"/>
  <c r="A616" i="11"/>
  <c r="E616" i="11"/>
  <c r="G322" i="11"/>
  <c r="I616" i="11"/>
  <c r="G616" i="11"/>
  <c r="I322" i="11"/>
  <c r="K616" i="11"/>
  <c r="G367" i="11"/>
  <c r="I367" i="11"/>
  <c r="I426" i="1"/>
  <c r="G877" i="1"/>
  <c r="E81" i="14"/>
  <c r="A959" i="1"/>
  <c r="C959" i="1"/>
  <c r="A493" i="13"/>
  <c r="C493" i="13"/>
  <c r="E959" i="1"/>
  <c r="G959" i="1"/>
  <c r="G81" i="14"/>
  <c r="I81" i="14"/>
  <c r="A528" i="1"/>
  <c r="E528" i="1"/>
  <c r="G528" i="1"/>
  <c r="I528" i="1"/>
  <c r="E877" i="1"/>
  <c r="I119" i="3"/>
  <c r="K119" i="3"/>
  <c r="G268" i="1"/>
  <c r="L877" i="1"/>
  <c r="C207" i="7"/>
  <c r="N80" i="14"/>
  <c r="F119" i="2"/>
  <c r="G119" i="2"/>
  <c r="H119" i="2"/>
  <c r="K392" i="6"/>
  <c r="B562" i="6"/>
  <c r="D562" i="6"/>
  <c r="F562" i="6"/>
  <c r="B528" i="1"/>
  <c r="F528" i="1"/>
  <c r="H562" i="6"/>
  <c r="H528" i="1"/>
  <c r="J562" i="6"/>
  <c r="J528" i="1"/>
  <c r="F877" i="1"/>
  <c r="H160" i="4"/>
  <c r="J268" i="1"/>
  <c r="D119" i="3"/>
  <c r="A120" i="3"/>
  <c r="B120" i="3"/>
  <c r="F119" i="3"/>
  <c r="H119" i="3"/>
  <c r="D268" i="1"/>
  <c r="G98" i="10"/>
  <c r="H98" i="10"/>
  <c r="I98" i="10"/>
  <c r="J98" i="10"/>
  <c r="D341" i="1"/>
  <c r="B132" i="15"/>
  <c r="D132" i="15"/>
  <c r="F341" i="1"/>
  <c r="F132" i="15"/>
  <c r="H341" i="1"/>
  <c r="L341" i="1"/>
  <c r="J877" i="1"/>
  <c r="J119" i="3"/>
  <c r="L119" i="3"/>
  <c r="H268" i="1"/>
  <c r="M877" i="1"/>
  <c r="D207" i="7"/>
  <c r="E207" i="7"/>
  <c r="A207" i="7"/>
  <c r="F207" i="7"/>
  <c r="A538" i="13"/>
  <c r="B538" i="13"/>
  <c r="C538" i="13"/>
  <c r="G493" i="13"/>
  <c r="F538" i="13"/>
  <c r="I538" i="13"/>
  <c r="D538" i="13"/>
  <c r="B493" i="13"/>
  <c r="H493" i="13"/>
  <c r="G538" i="13"/>
  <c r="J538" i="13"/>
  <c r="K538" i="13"/>
  <c r="G207" i="7"/>
  <c r="H207" i="7"/>
  <c r="C255" i="7"/>
  <c r="D255" i="7"/>
  <c r="E255" i="7"/>
  <c r="F255" i="7"/>
  <c r="G255" i="7"/>
  <c r="H255" i="7"/>
  <c r="I255" i="7"/>
  <c r="C528" i="1"/>
  <c r="I207" i="7"/>
  <c r="D528" i="1"/>
  <c r="J207" i="7"/>
  <c r="K255" i="7"/>
  <c r="K81" i="14"/>
  <c r="D81" i="14"/>
  <c r="B393" i="6"/>
  <c r="F393" i="6"/>
  <c r="D393" i="6"/>
  <c r="H393" i="6"/>
  <c r="J345" i="6"/>
  <c r="N528" i="1"/>
  <c r="B487" i="5"/>
  <c r="D487" i="5"/>
  <c r="F487" i="5"/>
  <c r="I487" i="5"/>
  <c r="B533" i="5"/>
  <c r="D533" i="5"/>
  <c r="F533" i="5"/>
  <c r="I533" i="5"/>
  <c r="F436" i="5"/>
  <c r="B587" i="5"/>
  <c r="D587" i="5"/>
  <c r="F587" i="5"/>
  <c r="H587" i="5"/>
  <c r="J587" i="5"/>
  <c r="M587" i="5"/>
  <c r="B632" i="5"/>
  <c r="D632" i="5"/>
  <c r="F632" i="5"/>
  <c r="H632" i="5"/>
  <c r="J632" i="5"/>
  <c r="M632" i="5"/>
  <c r="B685" i="5"/>
  <c r="D392" i="5"/>
  <c r="J685" i="5"/>
  <c r="D685" i="5"/>
  <c r="B391" i="5"/>
  <c r="F391" i="5"/>
  <c r="F685" i="5"/>
  <c r="H391" i="5"/>
  <c r="H685" i="5"/>
  <c r="J392" i="5"/>
  <c r="L685" i="5"/>
  <c r="H436" i="5"/>
  <c r="J436" i="5"/>
  <c r="F426" i="1"/>
  <c r="B345" i="6"/>
  <c r="D345" i="6"/>
  <c r="F345" i="6"/>
  <c r="H345" i="6"/>
  <c r="L528" i="1"/>
  <c r="B464" i="11"/>
  <c r="D464" i="11"/>
  <c r="F464" i="11"/>
  <c r="I464" i="11"/>
  <c r="B418" i="11"/>
  <c r="D418" i="11"/>
  <c r="F418" i="11"/>
  <c r="I418" i="11"/>
  <c r="F367" i="11"/>
  <c r="B518" i="11"/>
  <c r="D518" i="11"/>
  <c r="F518" i="11"/>
  <c r="H518" i="11"/>
  <c r="J518" i="11"/>
  <c r="M518" i="11"/>
  <c r="B563" i="11"/>
  <c r="D563" i="11"/>
  <c r="F563" i="11"/>
  <c r="H563" i="11"/>
  <c r="J563" i="11"/>
  <c r="M563" i="11"/>
  <c r="B322" i="11"/>
  <c r="F322" i="11"/>
  <c r="B616" i="11"/>
  <c r="F616" i="11"/>
  <c r="H322" i="11"/>
  <c r="J616" i="11"/>
  <c r="H616" i="11"/>
  <c r="J322" i="11"/>
  <c r="L616" i="11"/>
  <c r="H367" i="11"/>
  <c r="J367" i="11"/>
  <c r="J426" i="1"/>
  <c r="H877" i="1"/>
  <c r="F81" i="14"/>
  <c r="B959" i="1"/>
  <c r="D959" i="1"/>
  <c r="D493" i="13"/>
  <c r="F959" i="1"/>
  <c r="H959" i="1"/>
  <c r="H81" i="14"/>
  <c r="J81" i="14"/>
  <c r="L81" i="14"/>
  <c r="M81" i="14"/>
  <c r="A120" i="2"/>
  <c r="C120" i="2"/>
  <c r="B120" i="2"/>
  <c r="D120" i="2"/>
  <c r="E120" i="2"/>
  <c r="J393" i="6"/>
  <c r="A563" i="6"/>
  <c r="C563" i="6"/>
  <c r="E563" i="6"/>
  <c r="G563" i="6"/>
  <c r="I563" i="6"/>
  <c r="A394" i="6"/>
  <c r="E394" i="6"/>
  <c r="C394" i="6"/>
  <c r="G394" i="6"/>
  <c r="A161" i="4"/>
  <c r="E161" i="4"/>
  <c r="B161" i="4"/>
  <c r="D161" i="4"/>
  <c r="K161" i="4"/>
  <c r="F161" i="4"/>
  <c r="G161" i="4"/>
  <c r="I269" i="1"/>
  <c r="G120" i="3"/>
  <c r="C269" i="1"/>
  <c r="A99" i="10"/>
  <c r="C99" i="10"/>
  <c r="B99" i="10"/>
  <c r="D99" i="10"/>
  <c r="E99" i="10"/>
  <c r="F99" i="10"/>
  <c r="C342" i="1"/>
  <c r="A133" i="15"/>
  <c r="C133" i="15"/>
  <c r="E342" i="1"/>
  <c r="K342" i="1"/>
  <c r="I878" i="1"/>
  <c r="C82" i="14"/>
  <c r="I346" i="6"/>
  <c r="M529" i="1"/>
  <c r="A488" i="5"/>
  <c r="C488" i="5"/>
  <c r="E488" i="5"/>
  <c r="H488" i="5"/>
  <c r="A534" i="5"/>
  <c r="C534" i="5"/>
  <c r="E534" i="5"/>
  <c r="H534" i="5"/>
  <c r="E437" i="5"/>
  <c r="A588" i="5"/>
  <c r="C588" i="5"/>
  <c r="E588" i="5"/>
  <c r="G588" i="5"/>
  <c r="I588" i="5"/>
  <c r="L588" i="5"/>
  <c r="A633" i="5"/>
  <c r="C633" i="5"/>
  <c r="E633" i="5"/>
  <c r="G633" i="5"/>
  <c r="I633" i="5"/>
  <c r="L633" i="5"/>
  <c r="A686" i="5"/>
  <c r="C393" i="5"/>
  <c r="I686" i="5"/>
  <c r="C686" i="5"/>
  <c r="A392" i="5"/>
  <c r="E392" i="5"/>
  <c r="E686" i="5"/>
  <c r="G392" i="5"/>
  <c r="G686" i="5"/>
  <c r="I393" i="5"/>
  <c r="K686" i="5"/>
  <c r="G437" i="5"/>
  <c r="I437" i="5"/>
  <c r="E427" i="1"/>
  <c r="A346" i="6"/>
  <c r="C346" i="6"/>
  <c r="E346" i="6"/>
  <c r="G346" i="6"/>
  <c r="K529" i="1"/>
  <c r="A465" i="11"/>
  <c r="C465" i="11"/>
  <c r="E465" i="11"/>
  <c r="H465" i="11"/>
  <c r="A419" i="11"/>
  <c r="C419" i="11"/>
  <c r="E419" i="11"/>
  <c r="H419" i="11"/>
  <c r="E368" i="11"/>
  <c r="A519" i="11"/>
  <c r="C519" i="11"/>
  <c r="E519" i="11"/>
  <c r="G519" i="11"/>
  <c r="I519" i="11"/>
  <c r="L519" i="11"/>
  <c r="A564" i="11"/>
  <c r="C564" i="11"/>
  <c r="E564" i="11"/>
  <c r="G564" i="11"/>
  <c r="I564" i="11"/>
  <c r="L564" i="11"/>
  <c r="A323" i="11"/>
  <c r="E323" i="11"/>
  <c r="A617" i="11"/>
  <c r="E617" i="11"/>
  <c r="G323" i="11"/>
  <c r="I617" i="11"/>
  <c r="G617" i="11"/>
  <c r="I323" i="11"/>
  <c r="K617" i="11"/>
  <c r="G368" i="11"/>
  <c r="I368" i="11"/>
  <c r="I427" i="1"/>
  <c r="G878" i="1"/>
  <c r="E82" i="14"/>
  <c r="A960" i="1"/>
  <c r="C960" i="1"/>
  <c r="A494" i="13"/>
  <c r="C494" i="13"/>
  <c r="E960" i="1"/>
  <c r="G960" i="1"/>
  <c r="G82" i="14"/>
  <c r="I82" i="14"/>
  <c r="A529" i="1"/>
  <c r="E529" i="1"/>
  <c r="G529" i="1"/>
  <c r="I529" i="1"/>
  <c r="E878" i="1"/>
  <c r="I120" i="3"/>
  <c r="K120" i="3"/>
  <c r="G269" i="1"/>
  <c r="L878" i="1"/>
  <c r="C208" i="7"/>
  <c r="N81" i="14"/>
  <c r="F120" i="2"/>
  <c r="G120" i="2"/>
  <c r="H120" i="2"/>
  <c r="K393" i="6"/>
  <c r="B563" i="6"/>
  <c r="D563" i="6"/>
  <c r="F563" i="6"/>
  <c r="B529" i="1"/>
  <c r="F529" i="1"/>
  <c r="H563" i="6"/>
  <c r="H529" i="1"/>
  <c r="J563" i="6"/>
  <c r="J529" i="1"/>
  <c r="F878" i="1"/>
  <c r="H161" i="4"/>
  <c r="J269" i="1"/>
  <c r="D120" i="3"/>
  <c r="A121" i="3"/>
  <c r="B121" i="3"/>
  <c r="F120" i="3"/>
  <c r="H120" i="3"/>
  <c r="D269" i="1"/>
  <c r="G99" i="10"/>
  <c r="H99" i="10"/>
  <c r="I99" i="10"/>
  <c r="J99" i="10"/>
  <c r="D342" i="1"/>
  <c r="B133" i="15"/>
  <c r="D133" i="15"/>
  <c r="F342" i="1"/>
  <c r="F133" i="15"/>
  <c r="H342" i="1"/>
  <c r="L342" i="1"/>
  <c r="J878" i="1"/>
  <c r="J120" i="3"/>
  <c r="L120" i="3"/>
  <c r="H269" i="1"/>
  <c r="M878" i="1"/>
  <c r="D208" i="7"/>
  <c r="E208" i="7"/>
  <c r="A208" i="7"/>
  <c r="F208" i="7"/>
  <c r="A539" i="13"/>
  <c r="B539" i="13"/>
  <c r="C539" i="13"/>
  <c r="G494" i="13"/>
  <c r="F539" i="13"/>
  <c r="I539" i="13"/>
  <c r="D539" i="13"/>
  <c r="B494" i="13"/>
  <c r="H494" i="13"/>
  <c r="G539" i="13"/>
  <c r="J539" i="13"/>
  <c r="K539" i="13"/>
  <c r="G208" i="7"/>
  <c r="H208" i="7"/>
  <c r="C256" i="7"/>
  <c r="D256" i="7"/>
  <c r="E256" i="7"/>
  <c r="F256" i="7"/>
  <c r="G256" i="7"/>
  <c r="H256" i="7"/>
  <c r="I256" i="7"/>
  <c r="C529" i="1"/>
  <c r="I208" i="7"/>
  <c r="D529" i="1"/>
  <c r="J208" i="7"/>
  <c r="K256" i="7"/>
  <c r="K82" i="14"/>
  <c r="D82" i="14"/>
  <c r="B394" i="6"/>
  <c r="F394" i="6"/>
  <c r="D394" i="6"/>
  <c r="H394" i="6"/>
  <c r="J346" i="6"/>
  <c r="N529" i="1"/>
  <c r="B488" i="5"/>
  <c r="D488" i="5"/>
  <c r="F488" i="5"/>
  <c r="I488" i="5"/>
  <c r="B534" i="5"/>
  <c r="D534" i="5"/>
  <c r="F534" i="5"/>
  <c r="I534" i="5"/>
  <c r="F437" i="5"/>
  <c r="B588" i="5"/>
  <c r="D588" i="5"/>
  <c r="F588" i="5"/>
  <c r="H588" i="5"/>
  <c r="J588" i="5"/>
  <c r="M588" i="5"/>
  <c r="B633" i="5"/>
  <c r="D633" i="5"/>
  <c r="F633" i="5"/>
  <c r="H633" i="5"/>
  <c r="J633" i="5"/>
  <c r="M633" i="5"/>
  <c r="B686" i="5"/>
  <c r="D393" i="5"/>
  <c r="J686" i="5"/>
  <c r="D686" i="5"/>
  <c r="B392" i="5"/>
  <c r="F392" i="5"/>
  <c r="F686" i="5"/>
  <c r="H392" i="5"/>
  <c r="H686" i="5"/>
  <c r="J393" i="5"/>
  <c r="L686" i="5"/>
  <c r="H437" i="5"/>
  <c r="J437" i="5"/>
  <c r="F427" i="1"/>
  <c r="B346" i="6"/>
  <c r="D346" i="6"/>
  <c r="F346" i="6"/>
  <c r="H346" i="6"/>
  <c r="L529" i="1"/>
  <c r="B465" i="11"/>
  <c r="D465" i="11"/>
  <c r="F465" i="11"/>
  <c r="I465" i="11"/>
  <c r="B419" i="11"/>
  <c r="D419" i="11"/>
  <c r="F419" i="11"/>
  <c r="I419" i="11"/>
  <c r="F368" i="11"/>
  <c r="B519" i="11"/>
  <c r="D519" i="11"/>
  <c r="F519" i="11"/>
  <c r="H519" i="11"/>
  <c r="J519" i="11"/>
  <c r="M519" i="11"/>
  <c r="B564" i="11"/>
  <c r="D564" i="11"/>
  <c r="F564" i="11"/>
  <c r="H564" i="11"/>
  <c r="J564" i="11"/>
  <c r="M564" i="11"/>
  <c r="B323" i="11"/>
  <c r="F323" i="11"/>
  <c r="B617" i="11"/>
  <c r="F617" i="11"/>
  <c r="H323" i="11"/>
  <c r="J617" i="11"/>
  <c r="H617" i="11"/>
  <c r="J323" i="11"/>
  <c r="L617" i="11"/>
  <c r="H368" i="11"/>
  <c r="J368" i="11"/>
  <c r="J427" i="1"/>
  <c r="H878" i="1"/>
  <c r="F82" i="14"/>
  <c r="B960" i="1"/>
  <c r="D960" i="1"/>
  <c r="D494" i="13"/>
  <c r="F960" i="1"/>
  <c r="H960" i="1"/>
  <c r="H82" i="14"/>
  <c r="J82" i="14"/>
  <c r="L82" i="14"/>
  <c r="M82" i="14"/>
  <c r="A121" i="2"/>
  <c r="C121" i="2"/>
  <c r="B121" i="2"/>
  <c r="D121" i="2"/>
  <c r="E121" i="2"/>
  <c r="J394" i="6"/>
  <c r="A564" i="6"/>
  <c r="C564" i="6"/>
  <c r="E564" i="6"/>
  <c r="G564" i="6"/>
  <c r="I564" i="6"/>
  <c r="A395" i="6"/>
  <c r="E395" i="6"/>
  <c r="C395" i="6"/>
  <c r="G395" i="6"/>
  <c r="A162" i="4"/>
  <c r="E162" i="4"/>
  <c r="B162" i="4"/>
  <c r="D162" i="4"/>
  <c r="K162" i="4"/>
  <c r="F162" i="4"/>
  <c r="G162" i="4"/>
  <c r="I270" i="1"/>
  <c r="G121" i="3"/>
  <c r="C270" i="1"/>
  <c r="A100" i="10"/>
  <c r="C100" i="10"/>
  <c r="B100" i="10"/>
  <c r="D100" i="10"/>
  <c r="E100" i="10"/>
  <c r="F100" i="10"/>
  <c r="C343" i="1"/>
  <c r="A134" i="15"/>
  <c r="C134" i="15"/>
  <c r="E343" i="1"/>
  <c r="K343" i="1"/>
  <c r="I879" i="1"/>
  <c r="C83" i="14"/>
  <c r="I347" i="6"/>
  <c r="M530" i="1"/>
  <c r="A489" i="5"/>
  <c r="C489" i="5"/>
  <c r="E489" i="5"/>
  <c r="H489" i="5"/>
  <c r="A535" i="5"/>
  <c r="C535" i="5"/>
  <c r="E535" i="5"/>
  <c r="H535" i="5"/>
  <c r="E438" i="5"/>
  <c r="A589" i="5"/>
  <c r="C589" i="5"/>
  <c r="E589" i="5"/>
  <c r="G589" i="5"/>
  <c r="I589" i="5"/>
  <c r="L589" i="5"/>
  <c r="A634" i="5"/>
  <c r="C634" i="5"/>
  <c r="E634" i="5"/>
  <c r="G634" i="5"/>
  <c r="I634" i="5"/>
  <c r="L634" i="5"/>
  <c r="A687" i="5"/>
  <c r="C394" i="5"/>
  <c r="I687" i="5"/>
  <c r="C687" i="5"/>
  <c r="A393" i="5"/>
  <c r="E393" i="5"/>
  <c r="E687" i="5"/>
  <c r="G393" i="5"/>
  <c r="G687" i="5"/>
  <c r="I394" i="5"/>
  <c r="K687" i="5"/>
  <c r="G438" i="5"/>
  <c r="I438" i="5"/>
  <c r="E428" i="1"/>
  <c r="A347" i="6"/>
  <c r="C347" i="6"/>
  <c r="E347" i="6"/>
  <c r="G347" i="6"/>
  <c r="K530" i="1"/>
  <c r="A466" i="11"/>
  <c r="C466" i="11"/>
  <c r="E466" i="11"/>
  <c r="H466" i="11"/>
  <c r="A420" i="11"/>
  <c r="C420" i="11"/>
  <c r="E420" i="11"/>
  <c r="H420" i="11"/>
  <c r="E369" i="11"/>
  <c r="A520" i="11"/>
  <c r="C520" i="11"/>
  <c r="E520" i="11"/>
  <c r="G520" i="11"/>
  <c r="I520" i="11"/>
  <c r="L520" i="11"/>
  <c r="A565" i="11"/>
  <c r="C565" i="11"/>
  <c r="E565" i="11"/>
  <c r="G565" i="11"/>
  <c r="I565" i="11"/>
  <c r="L565" i="11"/>
  <c r="A324" i="11"/>
  <c r="E324" i="11"/>
  <c r="A618" i="11"/>
  <c r="E618" i="11"/>
  <c r="G324" i="11"/>
  <c r="I618" i="11"/>
  <c r="G618" i="11"/>
  <c r="I324" i="11"/>
  <c r="K618" i="11"/>
  <c r="G369" i="11"/>
  <c r="I369" i="11"/>
  <c r="I428" i="1"/>
  <c r="G879" i="1"/>
  <c r="E83" i="14"/>
  <c r="A961" i="1"/>
  <c r="C961" i="1"/>
  <c r="A495" i="13"/>
  <c r="C495" i="13"/>
  <c r="E961" i="1"/>
  <c r="G961" i="1"/>
  <c r="G83" i="14"/>
  <c r="I83" i="14"/>
  <c r="A530" i="1"/>
  <c r="E530" i="1"/>
  <c r="G530" i="1"/>
  <c r="I530" i="1"/>
  <c r="E879" i="1"/>
  <c r="I121" i="3"/>
  <c r="K121" i="3"/>
  <c r="G270" i="1"/>
  <c r="L879" i="1"/>
  <c r="C209" i="7"/>
  <c r="B530" i="1"/>
  <c r="F530" i="1"/>
  <c r="H530" i="1"/>
  <c r="J530" i="1"/>
  <c r="F879" i="1"/>
  <c r="H162" i="4"/>
  <c r="J270" i="1"/>
  <c r="D121" i="3"/>
  <c r="A122" i="3"/>
  <c r="B122" i="3"/>
  <c r="F121" i="3"/>
  <c r="H121" i="3"/>
  <c r="D270" i="1"/>
  <c r="G100" i="10"/>
  <c r="H100" i="10"/>
  <c r="I100" i="10"/>
  <c r="J100" i="10"/>
  <c r="D343" i="1"/>
  <c r="B134" i="15"/>
  <c r="D134" i="15"/>
  <c r="F343" i="1"/>
  <c r="F134" i="15"/>
  <c r="H343" i="1"/>
  <c r="L343" i="1"/>
  <c r="J879" i="1"/>
  <c r="J121" i="3"/>
  <c r="L121" i="3"/>
  <c r="H270" i="1"/>
  <c r="M879" i="1"/>
  <c r="D209" i="7"/>
  <c r="E209" i="7"/>
  <c r="A209" i="7"/>
  <c r="F209" i="7"/>
  <c r="A540" i="13"/>
  <c r="B540" i="13"/>
  <c r="C540" i="13"/>
  <c r="G495" i="13"/>
  <c r="F540" i="13"/>
  <c r="I540" i="13"/>
  <c r="D540" i="13"/>
  <c r="B495" i="13"/>
  <c r="H495" i="13"/>
  <c r="G540" i="13"/>
  <c r="J540" i="13"/>
  <c r="K540" i="13"/>
  <c r="G209" i="7"/>
  <c r="H209" i="7"/>
  <c r="C257" i="7"/>
  <c r="D257" i="7"/>
  <c r="E257" i="7"/>
  <c r="F257" i="7"/>
  <c r="G257" i="7"/>
  <c r="H257" i="7"/>
  <c r="I257" i="7"/>
  <c r="C530" i="1"/>
  <c r="I209" i="7"/>
  <c r="N82" i="14"/>
  <c r="F121" i="2"/>
  <c r="G121" i="2"/>
  <c r="H121" i="2"/>
  <c r="K394" i="6"/>
  <c r="B564" i="6"/>
  <c r="D564" i="6"/>
  <c r="D530" i="1"/>
  <c r="J209" i="7"/>
  <c r="K257" i="7"/>
  <c r="K83" i="14"/>
  <c r="D83" i="14"/>
  <c r="B395" i="6"/>
  <c r="F395" i="6"/>
  <c r="D395" i="6"/>
  <c r="H395" i="6"/>
  <c r="J347" i="6"/>
  <c r="N530" i="1"/>
  <c r="B489" i="5"/>
  <c r="D489" i="5"/>
  <c r="F489" i="5"/>
  <c r="I489" i="5"/>
  <c r="B535" i="5"/>
  <c r="D535" i="5"/>
  <c r="F535" i="5"/>
  <c r="I535" i="5"/>
  <c r="F438" i="5"/>
  <c r="B589" i="5"/>
  <c r="D589" i="5"/>
  <c r="F589" i="5"/>
  <c r="H589" i="5"/>
  <c r="J589" i="5"/>
  <c r="M589" i="5"/>
  <c r="B634" i="5"/>
  <c r="D634" i="5"/>
  <c r="F634" i="5"/>
  <c r="H634" i="5"/>
  <c r="J634" i="5"/>
  <c r="M634" i="5"/>
  <c r="B687" i="5"/>
  <c r="D394" i="5"/>
  <c r="J687" i="5"/>
  <c r="D687" i="5"/>
  <c r="B393" i="5"/>
  <c r="F393" i="5"/>
  <c r="F687" i="5"/>
  <c r="H393" i="5"/>
  <c r="H687" i="5"/>
  <c r="J394" i="5"/>
  <c r="L687" i="5"/>
  <c r="H438" i="5"/>
  <c r="J438" i="5"/>
  <c r="F428" i="1"/>
  <c r="B347" i="6"/>
  <c r="D347" i="6"/>
  <c r="F347" i="6"/>
  <c r="H347" i="6"/>
  <c r="L530" i="1"/>
  <c r="B466" i="11"/>
  <c r="D466" i="11"/>
  <c r="F466" i="11"/>
  <c r="I466" i="11"/>
  <c r="B420" i="11"/>
  <c r="D420" i="11"/>
  <c r="F420" i="11"/>
  <c r="I420" i="11"/>
  <c r="F369" i="11"/>
  <c r="B520" i="11"/>
  <c r="D520" i="11"/>
  <c r="F520" i="11"/>
  <c r="H520" i="11"/>
  <c r="J520" i="11"/>
  <c r="M520" i="11"/>
  <c r="B565" i="11"/>
  <c r="D565" i="11"/>
  <c r="F565" i="11"/>
  <c r="H565" i="11"/>
  <c r="J565" i="11"/>
  <c r="M565" i="11"/>
  <c r="B324" i="11"/>
  <c r="F324" i="11"/>
  <c r="B618" i="11"/>
  <c r="F618" i="11"/>
  <c r="H324" i="11"/>
  <c r="J618" i="11"/>
  <c r="H618" i="11"/>
  <c r="J324" i="11"/>
  <c r="L618" i="11"/>
  <c r="H369" i="11"/>
  <c r="J369" i="11"/>
  <c r="J428" i="1"/>
  <c r="H879" i="1"/>
  <c r="F83" i="14"/>
  <c r="B961" i="1"/>
  <c r="D961" i="1"/>
  <c r="D495" i="13"/>
  <c r="F961" i="1"/>
  <c r="H961" i="1"/>
  <c r="H83" i="14"/>
  <c r="J83" i="14"/>
  <c r="L83" i="14"/>
  <c r="M83" i="14"/>
  <c r="A122" i="2"/>
  <c r="C122" i="2"/>
  <c r="B122" i="2"/>
  <c r="D122" i="2"/>
  <c r="E122" i="2"/>
  <c r="J395" i="6"/>
  <c r="A565" i="6"/>
  <c r="C565" i="6"/>
  <c r="E565" i="6"/>
  <c r="G565" i="6"/>
  <c r="I565" i="6"/>
  <c r="A396" i="6"/>
  <c r="E396" i="6"/>
  <c r="C396" i="6"/>
  <c r="G396" i="6"/>
  <c r="A163" i="4"/>
  <c r="E163" i="4"/>
  <c r="B163" i="4"/>
  <c r="F163" i="4"/>
  <c r="G163" i="4"/>
  <c r="I271" i="1"/>
  <c r="G122" i="3"/>
  <c r="C271" i="1"/>
  <c r="A101" i="10"/>
  <c r="C101" i="10"/>
  <c r="B101" i="10"/>
  <c r="D101" i="10"/>
  <c r="E101" i="10"/>
  <c r="F101" i="10"/>
  <c r="C344" i="1"/>
  <c r="A135" i="15"/>
  <c r="C135" i="15"/>
  <c r="E344" i="1"/>
  <c r="K344" i="1"/>
  <c r="I880" i="1"/>
  <c r="C84" i="14"/>
  <c r="I348" i="6"/>
  <c r="M531" i="1"/>
  <c r="A490" i="5"/>
  <c r="C490" i="5"/>
  <c r="E490" i="5"/>
  <c r="H490" i="5"/>
  <c r="A536" i="5"/>
  <c r="C536" i="5"/>
  <c r="E536" i="5"/>
  <c r="H536" i="5"/>
  <c r="E439" i="5"/>
  <c r="A590" i="5"/>
  <c r="C590" i="5"/>
  <c r="E590" i="5"/>
  <c r="G590" i="5"/>
  <c r="I590" i="5"/>
  <c r="L590" i="5"/>
  <c r="A635" i="5"/>
  <c r="C635" i="5"/>
  <c r="E635" i="5"/>
  <c r="G635" i="5"/>
  <c r="I635" i="5"/>
  <c r="L635" i="5"/>
  <c r="A688" i="5"/>
  <c r="C395" i="5"/>
  <c r="I688" i="5"/>
  <c r="C688" i="5"/>
  <c r="A394" i="5"/>
  <c r="E394" i="5"/>
  <c r="E688" i="5"/>
  <c r="G394" i="5"/>
  <c r="G688" i="5"/>
  <c r="I395" i="5"/>
  <c r="K688" i="5"/>
  <c r="G439" i="5"/>
  <c r="I439" i="5"/>
  <c r="E429" i="1"/>
  <c r="A348" i="6"/>
  <c r="C348" i="6"/>
  <c r="E348" i="6"/>
  <c r="G348" i="6"/>
  <c r="K531" i="1"/>
  <c r="A467" i="11"/>
  <c r="C467" i="11"/>
  <c r="E467" i="11"/>
  <c r="H467" i="11"/>
  <c r="A421" i="11"/>
  <c r="C421" i="11"/>
  <c r="E421" i="11"/>
  <c r="H421" i="11"/>
  <c r="E370" i="11"/>
  <c r="A521" i="11"/>
  <c r="C521" i="11"/>
  <c r="E521" i="11"/>
  <c r="G521" i="11"/>
  <c r="I521" i="11"/>
  <c r="L521" i="11"/>
  <c r="A566" i="11"/>
  <c r="C566" i="11"/>
  <c r="E566" i="11"/>
  <c r="G566" i="11"/>
  <c r="I566" i="11"/>
  <c r="L566" i="11"/>
  <c r="A325" i="11"/>
  <c r="E325" i="11"/>
  <c r="A619" i="11"/>
  <c r="E619" i="11"/>
  <c r="G325" i="11"/>
  <c r="I619" i="11"/>
  <c r="G619" i="11"/>
  <c r="I325" i="11"/>
  <c r="K619" i="11"/>
  <c r="G370" i="11"/>
  <c r="I370" i="11"/>
  <c r="I429" i="1"/>
  <c r="G880" i="1"/>
  <c r="E84" i="14"/>
  <c r="A962" i="1"/>
  <c r="C962" i="1"/>
  <c r="A496" i="13"/>
  <c r="C496" i="13"/>
  <c r="E962" i="1"/>
  <c r="G962" i="1"/>
  <c r="G84" i="14"/>
  <c r="I84" i="14"/>
  <c r="A531" i="1"/>
  <c r="E531" i="1"/>
  <c r="G531" i="1"/>
  <c r="I531" i="1"/>
  <c r="E880" i="1"/>
  <c r="I122" i="3"/>
  <c r="K122" i="3"/>
  <c r="G271" i="1"/>
  <c r="L880" i="1"/>
  <c r="C210" i="7"/>
  <c r="B531" i="1"/>
  <c r="F531" i="1"/>
  <c r="H531" i="1"/>
  <c r="J531" i="1"/>
  <c r="F880" i="1"/>
  <c r="H163" i="4"/>
  <c r="J271" i="1"/>
  <c r="H122" i="3"/>
  <c r="D271" i="1"/>
  <c r="G101" i="10"/>
  <c r="H101" i="10"/>
  <c r="I101" i="10"/>
  <c r="J101" i="10"/>
  <c r="D344" i="1"/>
  <c r="B135" i="15"/>
  <c r="D135" i="15"/>
  <c r="F344" i="1"/>
  <c r="F135" i="15"/>
  <c r="H344" i="1"/>
  <c r="L344" i="1"/>
  <c r="J880" i="1"/>
  <c r="J122" i="3"/>
  <c r="L122" i="3"/>
  <c r="H271" i="1"/>
  <c r="M880" i="1"/>
  <c r="D210" i="7"/>
  <c r="E210" i="7"/>
  <c r="A210" i="7"/>
  <c r="F210" i="7"/>
  <c r="A541" i="13"/>
  <c r="B541" i="13"/>
  <c r="C541" i="13"/>
  <c r="G496" i="13"/>
  <c r="F541" i="13"/>
  <c r="I541" i="13"/>
  <c r="D541" i="13"/>
  <c r="B496" i="13"/>
  <c r="H496" i="13"/>
  <c r="G541" i="13"/>
  <c r="J541" i="13"/>
  <c r="K541" i="13"/>
  <c r="G210" i="7"/>
  <c r="H210" i="7"/>
  <c r="C258" i="7"/>
  <c r="D258" i="7"/>
  <c r="E258" i="7"/>
  <c r="F258" i="7"/>
  <c r="G258" i="7"/>
  <c r="H258" i="7"/>
  <c r="I258" i="7"/>
  <c r="K258" i="7"/>
  <c r="K84" i="14"/>
  <c r="D84" i="14"/>
  <c r="F564" i="6"/>
  <c r="H564" i="6"/>
  <c r="J564" i="6"/>
  <c r="N83" i="14"/>
  <c r="F122" i="2"/>
  <c r="G122" i="2"/>
  <c r="H122" i="2"/>
  <c r="K395" i="6"/>
  <c r="B565" i="6"/>
  <c r="D565" i="6"/>
  <c r="B396" i="6"/>
  <c r="F396" i="6"/>
  <c r="D396" i="6"/>
  <c r="H396" i="6"/>
  <c r="J348" i="6"/>
  <c r="N531" i="1"/>
  <c r="B490" i="5"/>
  <c r="D490" i="5"/>
  <c r="F490" i="5"/>
  <c r="I490" i="5"/>
  <c r="B536" i="5"/>
  <c r="D536" i="5"/>
  <c r="F536" i="5"/>
  <c r="I536" i="5"/>
  <c r="F439" i="5"/>
  <c r="B590" i="5"/>
  <c r="D590" i="5"/>
  <c r="F590" i="5"/>
  <c r="H590" i="5"/>
  <c r="J590" i="5"/>
  <c r="M590" i="5"/>
  <c r="B635" i="5"/>
  <c r="D635" i="5"/>
  <c r="F635" i="5"/>
  <c r="H635" i="5"/>
  <c r="J635" i="5"/>
  <c r="M635" i="5"/>
  <c r="B688" i="5"/>
  <c r="D395" i="5"/>
  <c r="J688" i="5"/>
  <c r="D688" i="5"/>
  <c r="B394" i="5"/>
  <c r="F394" i="5"/>
  <c r="F688" i="5"/>
  <c r="H394" i="5"/>
  <c r="H688" i="5"/>
  <c r="J395" i="5"/>
  <c r="L688" i="5"/>
  <c r="H439" i="5"/>
  <c r="J439" i="5"/>
  <c r="F429" i="1"/>
  <c r="B348" i="6"/>
  <c r="D348" i="6"/>
  <c r="F348" i="6"/>
  <c r="H348" i="6"/>
  <c r="L531" i="1"/>
  <c r="B467" i="11"/>
  <c r="D467" i="11"/>
  <c r="F467" i="11"/>
  <c r="I467" i="11"/>
  <c r="B421" i="11"/>
  <c r="D421" i="11"/>
  <c r="F421" i="11"/>
  <c r="I421" i="11"/>
  <c r="F370" i="11"/>
  <c r="B521" i="11"/>
  <c r="D521" i="11"/>
  <c r="F521" i="11"/>
  <c r="H521" i="11"/>
  <c r="J521" i="11"/>
  <c r="M521" i="11"/>
  <c r="B566" i="11"/>
  <c r="D566" i="11"/>
  <c r="F566" i="11"/>
  <c r="H566" i="11"/>
  <c r="J566" i="11"/>
  <c r="M566" i="11"/>
  <c r="B325" i="11"/>
  <c r="F325" i="11"/>
  <c r="B619" i="11"/>
  <c r="F619" i="11"/>
  <c r="H325" i="11"/>
  <c r="J619" i="11"/>
  <c r="H619" i="11"/>
  <c r="J325" i="11"/>
  <c r="L619" i="11"/>
  <c r="H370" i="11"/>
  <c r="J370" i="11"/>
  <c r="J429" i="1"/>
  <c r="H880" i="1"/>
  <c r="F84" i="14"/>
  <c r="B962" i="1"/>
  <c r="D962" i="1"/>
  <c r="D496" i="13"/>
  <c r="F962" i="1"/>
  <c r="H962" i="1"/>
  <c r="H84" i="14"/>
  <c r="J84" i="14"/>
  <c r="L84" i="14"/>
  <c r="M84" i="14"/>
  <c r="A123" i="2"/>
  <c r="C123" i="2"/>
  <c r="B123" i="2"/>
  <c r="D123" i="2"/>
  <c r="E123" i="2"/>
  <c r="J396" i="6"/>
  <c r="A566" i="6"/>
  <c r="C566" i="6"/>
  <c r="E566" i="6"/>
  <c r="G566" i="6"/>
  <c r="I566" i="6"/>
  <c r="A397" i="6"/>
  <c r="E397" i="6"/>
  <c r="C397" i="6"/>
  <c r="G397" i="6"/>
  <c r="A164" i="4"/>
  <c r="E164" i="4"/>
  <c r="B164" i="4"/>
  <c r="F164" i="4"/>
  <c r="G164" i="4"/>
  <c r="I272" i="1"/>
  <c r="A123" i="3"/>
  <c r="B123" i="3"/>
  <c r="G123" i="3"/>
  <c r="C272" i="1"/>
  <c r="A102" i="10"/>
  <c r="C102" i="10"/>
  <c r="B102" i="10"/>
  <c r="D102" i="10"/>
  <c r="E102" i="10"/>
  <c r="F102" i="10"/>
  <c r="C345" i="1"/>
  <c r="A136" i="15"/>
  <c r="C136" i="15"/>
  <c r="E345" i="1"/>
  <c r="K345" i="1"/>
  <c r="I881" i="1"/>
  <c r="C85" i="14"/>
  <c r="I349" i="6"/>
  <c r="M532" i="1"/>
  <c r="A491" i="5"/>
  <c r="C491" i="5"/>
  <c r="E491" i="5"/>
  <c r="H491" i="5"/>
  <c r="A537" i="5"/>
  <c r="C537" i="5"/>
  <c r="E537" i="5"/>
  <c r="H537" i="5"/>
  <c r="E440" i="5"/>
  <c r="A591" i="5"/>
  <c r="C591" i="5"/>
  <c r="E591" i="5"/>
  <c r="G591" i="5"/>
  <c r="I591" i="5"/>
  <c r="L591" i="5"/>
  <c r="A636" i="5"/>
  <c r="C636" i="5"/>
  <c r="E636" i="5"/>
  <c r="G636" i="5"/>
  <c r="I636" i="5"/>
  <c r="L636" i="5"/>
  <c r="A689" i="5"/>
  <c r="C396" i="5"/>
  <c r="I689" i="5"/>
  <c r="C689" i="5"/>
  <c r="A395" i="5"/>
  <c r="E395" i="5"/>
  <c r="E689" i="5"/>
  <c r="G395" i="5"/>
  <c r="G689" i="5"/>
  <c r="I396" i="5"/>
  <c r="K689" i="5"/>
  <c r="G440" i="5"/>
  <c r="I440" i="5"/>
  <c r="E430" i="1"/>
  <c r="A349" i="6"/>
  <c r="C349" i="6"/>
  <c r="E349" i="6"/>
  <c r="G349" i="6"/>
  <c r="K532" i="1"/>
  <c r="A468" i="11"/>
  <c r="C468" i="11"/>
  <c r="E468" i="11"/>
  <c r="H468" i="11"/>
  <c r="A422" i="11"/>
  <c r="C422" i="11"/>
  <c r="E422" i="11"/>
  <c r="H422" i="11"/>
  <c r="E371" i="11"/>
  <c r="A522" i="11"/>
  <c r="C522" i="11"/>
  <c r="E522" i="11"/>
  <c r="G522" i="11"/>
  <c r="I522" i="11"/>
  <c r="L522" i="11"/>
  <c r="A567" i="11"/>
  <c r="C567" i="11"/>
  <c r="E567" i="11"/>
  <c r="G567" i="11"/>
  <c r="I567" i="11"/>
  <c r="L567" i="11"/>
  <c r="A326" i="11"/>
  <c r="E326" i="11"/>
  <c r="A620" i="11"/>
  <c r="E620" i="11"/>
  <c r="G326" i="11"/>
  <c r="I620" i="11"/>
  <c r="G620" i="11"/>
  <c r="I326" i="11"/>
  <c r="K620" i="11"/>
  <c r="G371" i="11"/>
  <c r="I371" i="11"/>
  <c r="I430" i="1"/>
  <c r="G881" i="1"/>
  <c r="E85" i="14"/>
  <c r="A963" i="1"/>
  <c r="C963" i="1"/>
  <c r="A497" i="13"/>
  <c r="C497" i="13"/>
  <c r="E963" i="1"/>
  <c r="G963" i="1"/>
  <c r="G85" i="14"/>
  <c r="I85" i="14"/>
  <c r="A532" i="1"/>
  <c r="E532" i="1"/>
  <c r="G532" i="1"/>
  <c r="I532" i="1"/>
  <c r="E881" i="1"/>
  <c r="I123" i="3"/>
  <c r="K123" i="3"/>
  <c r="G272" i="1"/>
  <c r="L881" i="1"/>
  <c r="C211" i="7"/>
  <c r="B532" i="1"/>
  <c r="F532" i="1"/>
  <c r="H532" i="1"/>
  <c r="J532" i="1"/>
  <c r="F881" i="1"/>
  <c r="H164" i="4"/>
  <c r="J272" i="1"/>
  <c r="H123" i="3"/>
  <c r="D272" i="1"/>
  <c r="G102" i="10"/>
  <c r="H102" i="10"/>
  <c r="I102" i="10"/>
  <c r="J102" i="10"/>
  <c r="D345" i="1"/>
  <c r="B136" i="15"/>
  <c r="D136" i="15"/>
  <c r="F345" i="1"/>
  <c r="F136" i="15"/>
  <c r="H345" i="1"/>
  <c r="L345" i="1"/>
  <c r="J881" i="1"/>
  <c r="J123" i="3"/>
  <c r="L123" i="3"/>
  <c r="H272" i="1"/>
  <c r="M881" i="1"/>
  <c r="D211" i="7"/>
  <c r="E211" i="7"/>
  <c r="A211" i="7"/>
  <c r="F211" i="7"/>
  <c r="A542" i="13"/>
  <c r="B542" i="13"/>
  <c r="C542" i="13"/>
  <c r="G497" i="13"/>
  <c r="F542" i="13"/>
  <c r="I542" i="13"/>
  <c r="D542" i="13"/>
  <c r="B497" i="13"/>
  <c r="H497" i="13"/>
  <c r="G542" i="13"/>
  <c r="J542" i="13"/>
  <c r="K542" i="13"/>
  <c r="G211" i="7"/>
  <c r="H211" i="7"/>
  <c r="C259" i="7"/>
  <c r="D259" i="7"/>
  <c r="E259" i="7"/>
  <c r="F259" i="7"/>
  <c r="G259" i="7"/>
  <c r="H259" i="7"/>
  <c r="I259" i="7"/>
  <c r="K259" i="7"/>
  <c r="K85" i="14"/>
  <c r="D85" i="14"/>
  <c r="B397" i="6"/>
  <c r="F397" i="6"/>
  <c r="D397" i="6"/>
  <c r="H397" i="6"/>
  <c r="J349" i="6"/>
  <c r="N532" i="1"/>
  <c r="B491" i="5"/>
  <c r="D491" i="5"/>
  <c r="F491" i="5"/>
  <c r="I491" i="5"/>
  <c r="B537" i="5"/>
  <c r="D537" i="5"/>
  <c r="F537" i="5"/>
  <c r="I537" i="5"/>
  <c r="F440" i="5"/>
  <c r="B591" i="5"/>
  <c r="D591" i="5"/>
  <c r="F591" i="5"/>
  <c r="H591" i="5"/>
  <c r="J591" i="5"/>
  <c r="M591" i="5"/>
  <c r="B636" i="5"/>
  <c r="D636" i="5"/>
  <c r="F636" i="5"/>
  <c r="H636" i="5"/>
  <c r="J636" i="5"/>
  <c r="M636" i="5"/>
  <c r="B689" i="5"/>
  <c r="D396" i="5"/>
  <c r="J689" i="5"/>
  <c r="D689" i="5"/>
  <c r="B395" i="5"/>
  <c r="F395" i="5"/>
  <c r="F689" i="5"/>
  <c r="H395" i="5"/>
  <c r="H689" i="5"/>
  <c r="J396" i="5"/>
  <c r="L689" i="5"/>
  <c r="H440" i="5"/>
  <c r="J440" i="5"/>
  <c r="F430" i="1"/>
  <c r="B349" i="6"/>
  <c r="D349" i="6"/>
  <c r="F349" i="6"/>
  <c r="H349" i="6"/>
  <c r="L532" i="1"/>
  <c r="B468" i="11"/>
  <c r="D468" i="11"/>
  <c r="F468" i="11"/>
  <c r="I468" i="11"/>
  <c r="B422" i="11"/>
  <c r="D422" i="11"/>
  <c r="F422" i="11"/>
  <c r="I422" i="11"/>
  <c r="F371" i="11"/>
  <c r="B522" i="11"/>
  <c r="D522" i="11"/>
  <c r="F522" i="11"/>
  <c r="H522" i="11"/>
  <c r="J522" i="11"/>
  <c r="M522" i="11"/>
  <c r="B567" i="11"/>
  <c r="D567" i="11"/>
  <c r="F567" i="11"/>
  <c r="H567" i="11"/>
  <c r="J567" i="11"/>
  <c r="M567" i="11"/>
  <c r="B326" i="11"/>
  <c r="F326" i="11"/>
  <c r="B620" i="11"/>
  <c r="F620" i="11"/>
  <c r="H326" i="11"/>
  <c r="J620" i="11"/>
  <c r="H620" i="11"/>
  <c r="J326" i="11"/>
  <c r="L620" i="11"/>
  <c r="H371" i="11"/>
  <c r="J371" i="11"/>
  <c r="J430" i="1"/>
  <c r="H881" i="1"/>
  <c r="F85" i="14"/>
  <c r="B963" i="1"/>
  <c r="D963" i="1"/>
  <c r="D497" i="13"/>
  <c r="F963" i="1"/>
  <c r="H963" i="1"/>
  <c r="H85" i="14"/>
  <c r="J85" i="14"/>
  <c r="L85" i="14"/>
  <c r="M85" i="14"/>
  <c r="A124" i="2"/>
  <c r="C124" i="2"/>
  <c r="B124" i="2"/>
  <c r="D124" i="2"/>
  <c r="E124" i="2"/>
  <c r="J397" i="6"/>
  <c r="A567" i="6"/>
  <c r="C567" i="6"/>
  <c r="E567" i="6"/>
  <c r="G567" i="6"/>
  <c r="I567" i="6"/>
  <c r="A398" i="6"/>
  <c r="E398" i="6"/>
  <c r="C398" i="6"/>
  <c r="G398" i="6"/>
  <c r="A165" i="4"/>
  <c r="E165" i="4"/>
  <c r="B165" i="4"/>
  <c r="F165" i="4"/>
  <c r="G165" i="4"/>
  <c r="I273" i="1"/>
  <c r="A124" i="3"/>
  <c r="B124" i="3"/>
  <c r="G124" i="3"/>
  <c r="C273" i="1"/>
  <c r="A103" i="10"/>
  <c r="C103" i="10"/>
  <c r="B103" i="10"/>
  <c r="D103" i="10"/>
  <c r="E103" i="10"/>
  <c r="F103" i="10"/>
  <c r="C346" i="1"/>
  <c r="A137" i="15"/>
  <c r="C137" i="15"/>
  <c r="E346" i="1"/>
  <c r="K346" i="1"/>
  <c r="I882" i="1"/>
  <c r="C86" i="14"/>
  <c r="I350" i="6"/>
  <c r="M533" i="1"/>
  <c r="A492" i="5"/>
  <c r="C492" i="5"/>
  <c r="E492" i="5"/>
  <c r="H492" i="5"/>
  <c r="A538" i="5"/>
  <c r="C538" i="5"/>
  <c r="E538" i="5"/>
  <c r="H538" i="5"/>
  <c r="E441" i="5"/>
  <c r="A592" i="5"/>
  <c r="C592" i="5"/>
  <c r="E592" i="5"/>
  <c r="G592" i="5"/>
  <c r="I592" i="5"/>
  <c r="L592" i="5"/>
  <c r="A637" i="5"/>
  <c r="C637" i="5"/>
  <c r="E637" i="5"/>
  <c r="G637" i="5"/>
  <c r="I637" i="5"/>
  <c r="L637" i="5"/>
  <c r="A690" i="5"/>
  <c r="C397" i="5"/>
  <c r="I690" i="5"/>
  <c r="C690" i="5"/>
  <c r="A396" i="5"/>
  <c r="E396" i="5"/>
  <c r="E690" i="5"/>
  <c r="G396" i="5"/>
  <c r="G690" i="5"/>
  <c r="I397" i="5"/>
  <c r="K690" i="5"/>
  <c r="G441" i="5"/>
  <c r="I441" i="5"/>
  <c r="E431" i="1"/>
  <c r="A350" i="6"/>
  <c r="C350" i="6"/>
  <c r="E350" i="6"/>
  <c r="G350" i="6"/>
  <c r="K533" i="1"/>
  <c r="A469" i="11"/>
  <c r="C469" i="11"/>
  <c r="E469" i="11"/>
  <c r="H469" i="11"/>
  <c r="A423" i="11"/>
  <c r="C423" i="11"/>
  <c r="E423" i="11"/>
  <c r="H423" i="11"/>
  <c r="E372" i="11"/>
  <c r="A523" i="11"/>
  <c r="C523" i="11"/>
  <c r="E523" i="11"/>
  <c r="G523" i="11"/>
  <c r="I523" i="11"/>
  <c r="L523" i="11"/>
  <c r="A568" i="11"/>
  <c r="C568" i="11"/>
  <c r="E568" i="11"/>
  <c r="G568" i="11"/>
  <c r="I568" i="11"/>
  <c r="L568" i="11"/>
  <c r="A327" i="11"/>
  <c r="E327" i="11"/>
  <c r="A621" i="11"/>
  <c r="E621" i="11"/>
  <c r="G327" i="11"/>
  <c r="I621" i="11"/>
  <c r="G621" i="11"/>
  <c r="I327" i="11"/>
  <c r="K621" i="11"/>
  <c r="G372" i="11"/>
  <c r="I372" i="11"/>
  <c r="I431" i="1"/>
  <c r="G882" i="1"/>
  <c r="E86" i="14"/>
  <c r="A964" i="1"/>
  <c r="C964" i="1"/>
  <c r="A498" i="13"/>
  <c r="C498" i="13"/>
  <c r="E964" i="1"/>
  <c r="G964" i="1"/>
  <c r="G86" i="14"/>
  <c r="I86" i="14"/>
  <c r="A533" i="1"/>
  <c r="E533" i="1"/>
  <c r="G533" i="1"/>
  <c r="I533" i="1"/>
  <c r="E882" i="1"/>
  <c r="I124" i="3"/>
  <c r="K124" i="3"/>
  <c r="G273" i="1"/>
  <c r="L882" i="1"/>
  <c r="C212" i="7"/>
  <c r="B533" i="1"/>
  <c r="F533" i="1"/>
  <c r="H533" i="1"/>
  <c r="J533" i="1"/>
  <c r="F882" i="1"/>
  <c r="H165" i="4"/>
  <c r="J273" i="1"/>
  <c r="H124" i="3"/>
  <c r="D273" i="1"/>
  <c r="G103" i="10"/>
  <c r="H103" i="10"/>
  <c r="I103" i="10"/>
  <c r="J103" i="10"/>
  <c r="D346" i="1"/>
  <c r="B137" i="15"/>
  <c r="D137" i="15"/>
  <c r="F346" i="1"/>
  <c r="F137" i="15"/>
  <c r="H346" i="1"/>
  <c r="L346" i="1"/>
  <c r="J882" i="1"/>
  <c r="J124" i="3"/>
  <c r="L124" i="3"/>
  <c r="H273" i="1"/>
  <c r="M882" i="1"/>
  <c r="D212" i="7"/>
  <c r="E212" i="7"/>
  <c r="A212" i="7"/>
  <c r="F212" i="7"/>
  <c r="A543" i="13"/>
  <c r="B543" i="13"/>
  <c r="C543" i="13"/>
  <c r="G498" i="13"/>
  <c r="F543" i="13"/>
  <c r="I543" i="13"/>
  <c r="D543" i="13"/>
  <c r="B498" i="13"/>
  <c r="H498" i="13"/>
  <c r="G543" i="13"/>
  <c r="J543" i="13"/>
  <c r="K543" i="13"/>
  <c r="G212" i="7"/>
  <c r="H212" i="7"/>
  <c r="C260" i="7"/>
  <c r="D260" i="7"/>
  <c r="E260" i="7"/>
  <c r="F260" i="7"/>
  <c r="G260" i="7"/>
  <c r="H260" i="7"/>
  <c r="I260" i="7"/>
  <c r="K260" i="7"/>
  <c r="K86" i="14"/>
  <c r="D86" i="14"/>
  <c r="B398" i="6"/>
  <c r="F398" i="6"/>
  <c r="D398" i="6"/>
  <c r="H398" i="6"/>
  <c r="J350" i="6"/>
  <c r="N533" i="1"/>
  <c r="B492" i="5"/>
  <c r="D492" i="5"/>
  <c r="F492" i="5"/>
  <c r="I492" i="5"/>
  <c r="B538" i="5"/>
  <c r="D538" i="5"/>
  <c r="F538" i="5"/>
  <c r="I538" i="5"/>
  <c r="F441" i="5"/>
  <c r="B592" i="5"/>
  <c r="D592" i="5"/>
  <c r="F592" i="5"/>
  <c r="H592" i="5"/>
  <c r="J592" i="5"/>
  <c r="M592" i="5"/>
  <c r="B637" i="5"/>
  <c r="D637" i="5"/>
  <c r="F637" i="5"/>
  <c r="H637" i="5"/>
  <c r="J637" i="5"/>
  <c r="M637" i="5"/>
  <c r="B690" i="5"/>
  <c r="D397" i="5"/>
  <c r="J690" i="5"/>
  <c r="D690" i="5"/>
  <c r="B396" i="5"/>
  <c r="F396" i="5"/>
  <c r="F690" i="5"/>
  <c r="H396" i="5"/>
  <c r="H690" i="5"/>
  <c r="J397" i="5"/>
  <c r="L690" i="5"/>
  <c r="H441" i="5"/>
  <c r="J441" i="5"/>
  <c r="F431" i="1"/>
  <c r="B350" i="6"/>
  <c r="D350" i="6"/>
  <c r="F350" i="6"/>
  <c r="H350" i="6"/>
  <c r="L533" i="1"/>
  <c r="B469" i="11"/>
  <c r="D469" i="11"/>
  <c r="F469" i="11"/>
  <c r="I469" i="11"/>
  <c r="B423" i="11"/>
  <c r="D423" i="11"/>
  <c r="F423" i="11"/>
  <c r="I423" i="11"/>
  <c r="F372" i="11"/>
  <c r="B523" i="11"/>
  <c r="D523" i="11"/>
  <c r="F523" i="11"/>
  <c r="H523" i="11"/>
  <c r="J523" i="11"/>
  <c r="M523" i="11"/>
  <c r="B568" i="11"/>
  <c r="D568" i="11"/>
  <c r="F568" i="11"/>
  <c r="H568" i="11"/>
  <c r="J568" i="11"/>
  <c r="M568" i="11"/>
  <c r="B327" i="11"/>
  <c r="F327" i="11"/>
  <c r="B621" i="11"/>
  <c r="F621" i="11"/>
  <c r="H327" i="11"/>
  <c r="J621" i="11"/>
  <c r="H621" i="11"/>
  <c r="J327" i="11"/>
  <c r="L621" i="11"/>
  <c r="H372" i="11"/>
  <c r="J372" i="11"/>
  <c r="J431" i="1"/>
  <c r="H882" i="1"/>
  <c r="F86" i="14"/>
  <c r="B964" i="1"/>
  <c r="D964" i="1"/>
  <c r="D498" i="13"/>
  <c r="F964" i="1"/>
  <c r="H964" i="1"/>
  <c r="H86" i="14"/>
  <c r="J86" i="14"/>
  <c r="L86" i="14"/>
  <c r="M86" i="14"/>
  <c r="A125" i="2"/>
  <c r="C125" i="2"/>
  <c r="B125" i="2"/>
  <c r="D125" i="2"/>
  <c r="E125" i="2"/>
  <c r="J398" i="6"/>
  <c r="A568" i="6"/>
  <c r="C568" i="6"/>
  <c r="E568" i="6"/>
  <c r="G568" i="6"/>
  <c r="I568" i="6"/>
  <c r="A399" i="6"/>
  <c r="E399" i="6"/>
  <c r="C399" i="6"/>
  <c r="G399" i="6"/>
  <c r="A166" i="4"/>
  <c r="E166" i="4"/>
  <c r="B166" i="4"/>
  <c r="F166" i="4"/>
  <c r="G166" i="4"/>
  <c r="I274" i="1"/>
  <c r="A125" i="3"/>
  <c r="B125" i="3"/>
  <c r="G125" i="3"/>
  <c r="C274" i="1"/>
  <c r="A104" i="10"/>
  <c r="C104" i="10"/>
  <c r="B104" i="10"/>
  <c r="D104" i="10"/>
  <c r="E104" i="10"/>
  <c r="F104" i="10"/>
  <c r="C347" i="1"/>
  <c r="A138" i="15"/>
  <c r="C138" i="15"/>
  <c r="E347" i="1"/>
  <c r="K347" i="1"/>
  <c r="I883" i="1"/>
  <c r="C87" i="14"/>
  <c r="I351" i="6"/>
  <c r="M534" i="1"/>
  <c r="A493" i="5"/>
  <c r="C493" i="5"/>
  <c r="E493" i="5"/>
  <c r="H493" i="5"/>
  <c r="A539" i="5"/>
  <c r="C539" i="5"/>
  <c r="E539" i="5"/>
  <c r="H539" i="5"/>
  <c r="E442" i="5"/>
  <c r="A593" i="5"/>
  <c r="C593" i="5"/>
  <c r="E593" i="5"/>
  <c r="G593" i="5"/>
  <c r="I593" i="5"/>
  <c r="L593" i="5"/>
  <c r="A638" i="5"/>
  <c r="C638" i="5"/>
  <c r="E638" i="5"/>
  <c r="G638" i="5"/>
  <c r="I638" i="5"/>
  <c r="L638" i="5"/>
  <c r="A691" i="5"/>
  <c r="C398" i="5"/>
  <c r="I691" i="5"/>
  <c r="C691" i="5"/>
  <c r="A397" i="5"/>
  <c r="E397" i="5"/>
  <c r="E691" i="5"/>
  <c r="G397" i="5"/>
  <c r="G691" i="5"/>
  <c r="I398" i="5"/>
  <c r="K691" i="5"/>
  <c r="G442" i="5"/>
  <c r="I442" i="5"/>
  <c r="E432" i="1"/>
  <c r="A351" i="6"/>
  <c r="C351" i="6"/>
  <c r="E351" i="6"/>
  <c r="G351" i="6"/>
  <c r="K534" i="1"/>
  <c r="A470" i="11"/>
  <c r="C470" i="11"/>
  <c r="E470" i="11"/>
  <c r="H470" i="11"/>
  <c r="A424" i="11"/>
  <c r="C424" i="11"/>
  <c r="E424" i="11"/>
  <c r="H424" i="11"/>
  <c r="E373" i="11"/>
  <c r="A524" i="11"/>
  <c r="C524" i="11"/>
  <c r="E524" i="11"/>
  <c r="G524" i="11"/>
  <c r="I524" i="11"/>
  <c r="L524" i="11"/>
  <c r="A569" i="11"/>
  <c r="C569" i="11"/>
  <c r="E569" i="11"/>
  <c r="G569" i="11"/>
  <c r="I569" i="11"/>
  <c r="L569" i="11"/>
  <c r="A328" i="11"/>
  <c r="E328" i="11"/>
  <c r="A622" i="11"/>
  <c r="E622" i="11"/>
  <c r="G328" i="11"/>
  <c r="I622" i="11"/>
  <c r="G622" i="11"/>
  <c r="I328" i="11"/>
  <c r="K622" i="11"/>
  <c r="G373" i="11"/>
  <c r="I373" i="11"/>
  <c r="I432" i="1"/>
  <c r="G883" i="1"/>
  <c r="E87" i="14"/>
  <c r="A965" i="1"/>
  <c r="C965" i="1"/>
  <c r="A499" i="13"/>
  <c r="C499" i="13"/>
  <c r="E965" i="1"/>
  <c r="G965" i="1"/>
  <c r="G87" i="14"/>
  <c r="I87" i="14"/>
  <c r="A534" i="1"/>
  <c r="E534" i="1"/>
  <c r="G534" i="1"/>
  <c r="I534" i="1"/>
  <c r="E883" i="1"/>
  <c r="I125" i="3"/>
  <c r="K125" i="3"/>
  <c r="G274" i="1"/>
  <c r="L883" i="1"/>
  <c r="C213" i="7"/>
  <c r="B534" i="1"/>
  <c r="F534" i="1"/>
  <c r="H534" i="1"/>
  <c r="J534" i="1"/>
  <c r="F883" i="1"/>
  <c r="H166" i="4"/>
  <c r="J274" i="1"/>
  <c r="H125" i="3"/>
  <c r="D274" i="1"/>
  <c r="G104" i="10"/>
  <c r="H104" i="10"/>
  <c r="I104" i="10"/>
  <c r="J104" i="10"/>
  <c r="D347" i="1"/>
  <c r="B138" i="15"/>
  <c r="D138" i="15"/>
  <c r="F347" i="1"/>
  <c r="F138" i="15"/>
  <c r="H347" i="1"/>
  <c r="L347" i="1"/>
  <c r="J883" i="1"/>
  <c r="J125" i="3"/>
  <c r="L125" i="3"/>
  <c r="H274" i="1"/>
  <c r="M883" i="1"/>
  <c r="D213" i="7"/>
  <c r="E213" i="7"/>
  <c r="A213" i="7"/>
  <c r="F213" i="7"/>
  <c r="A544" i="13"/>
  <c r="B544" i="13"/>
  <c r="C544" i="13"/>
  <c r="G499" i="13"/>
  <c r="F544" i="13"/>
  <c r="I544" i="13"/>
  <c r="D544" i="13"/>
  <c r="B499" i="13"/>
  <c r="H499" i="13"/>
  <c r="G544" i="13"/>
  <c r="J544" i="13"/>
  <c r="K544" i="13"/>
  <c r="G213" i="7"/>
  <c r="H213" i="7"/>
  <c r="C261" i="7"/>
  <c r="D261" i="7"/>
  <c r="E261" i="7"/>
  <c r="F261" i="7"/>
  <c r="G261" i="7"/>
  <c r="H261" i="7"/>
  <c r="I261" i="7"/>
  <c r="K261" i="7"/>
  <c r="K87" i="14"/>
  <c r="D87" i="14"/>
  <c r="B399" i="6"/>
  <c r="F399" i="6"/>
  <c r="D399" i="6"/>
  <c r="H399" i="6"/>
  <c r="J351" i="6"/>
  <c r="N534" i="1"/>
  <c r="B493" i="5"/>
  <c r="D493" i="5"/>
  <c r="F493" i="5"/>
  <c r="I493" i="5"/>
  <c r="B539" i="5"/>
  <c r="D539" i="5"/>
  <c r="F539" i="5"/>
  <c r="I539" i="5"/>
  <c r="F442" i="5"/>
  <c r="B593" i="5"/>
  <c r="D593" i="5"/>
  <c r="F593" i="5"/>
  <c r="H593" i="5"/>
  <c r="J593" i="5"/>
  <c r="M593" i="5"/>
  <c r="B638" i="5"/>
  <c r="D638" i="5"/>
  <c r="F638" i="5"/>
  <c r="H638" i="5"/>
  <c r="J638" i="5"/>
  <c r="M638" i="5"/>
  <c r="B691" i="5"/>
  <c r="D398" i="5"/>
  <c r="J691" i="5"/>
  <c r="D691" i="5"/>
  <c r="B397" i="5"/>
  <c r="F397" i="5"/>
  <c r="F691" i="5"/>
  <c r="H397" i="5"/>
  <c r="H691" i="5"/>
  <c r="J398" i="5"/>
  <c r="L691" i="5"/>
  <c r="H442" i="5"/>
  <c r="J442" i="5"/>
  <c r="F432" i="1"/>
  <c r="B351" i="6"/>
  <c r="D351" i="6"/>
  <c r="F351" i="6"/>
  <c r="H351" i="6"/>
  <c r="L534" i="1"/>
  <c r="B470" i="11"/>
  <c r="D470" i="11"/>
  <c r="F470" i="11"/>
  <c r="I470" i="11"/>
  <c r="B424" i="11"/>
  <c r="D424" i="11"/>
  <c r="F424" i="11"/>
  <c r="I424" i="11"/>
  <c r="F373" i="11"/>
  <c r="B524" i="11"/>
  <c r="D524" i="11"/>
  <c r="F524" i="11"/>
  <c r="H524" i="11"/>
  <c r="J524" i="11"/>
  <c r="M524" i="11"/>
  <c r="B569" i="11"/>
  <c r="D569" i="11"/>
  <c r="F569" i="11"/>
  <c r="H569" i="11"/>
  <c r="J569" i="11"/>
  <c r="M569" i="11"/>
  <c r="B328" i="11"/>
  <c r="F328" i="11"/>
  <c r="B622" i="11"/>
  <c r="F622" i="11"/>
  <c r="H328" i="11"/>
  <c r="J622" i="11"/>
  <c r="H622" i="11"/>
  <c r="J328" i="11"/>
  <c r="L622" i="11"/>
  <c r="H373" i="11"/>
  <c r="J373" i="11"/>
  <c r="J432" i="1"/>
  <c r="H883" i="1"/>
  <c r="F87" i="14"/>
  <c r="B965" i="1"/>
  <c r="D965" i="1"/>
  <c r="D499" i="13"/>
  <c r="F965" i="1"/>
  <c r="H965" i="1"/>
  <c r="H87" i="14"/>
  <c r="J87" i="14"/>
  <c r="L87" i="14"/>
  <c r="M87" i="14"/>
  <c r="A126" i="2"/>
  <c r="C126" i="2"/>
  <c r="B126" i="2"/>
  <c r="D126" i="2"/>
  <c r="E126" i="2"/>
  <c r="J399" i="6"/>
  <c r="A569" i="6"/>
  <c r="C569" i="6"/>
  <c r="C530" i="6"/>
  <c r="E1013" i="1"/>
  <c r="F565" i="6"/>
  <c r="H565" i="6"/>
  <c r="J565" i="6"/>
  <c r="N84" i="14"/>
  <c r="F123" i="2"/>
  <c r="G123" i="2"/>
  <c r="H123" i="2"/>
  <c r="K396" i="6"/>
  <c r="B566" i="6"/>
  <c r="D566" i="6"/>
  <c r="F566" i="6"/>
  <c r="H566" i="6"/>
  <c r="J566" i="6"/>
  <c r="N85" i="14"/>
  <c r="F124" i="2"/>
  <c r="G124" i="2"/>
  <c r="H124" i="2"/>
  <c r="K397" i="6"/>
  <c r="B567" i="6"/>
  <c r="D567" i="6"/>
  <c r="F567" i="6"/>
  <c r="H567" i="6"/>
  <c r="J567" i="6"/>
  <c r="N86" i="14"/>
  <c r="F125" i="2"/>
  <c r="G125" i="2"/>
  <c r="H125" i="2"/>
  <c r="K398" i="6"/>
  <c r="B568" i="6"/>
  <c r="D568" i="6"/>
  <c r="F568" i="6"/>
  <c r="H568" i="6"/>
  <c r="J568" i="6"/>
  <c r="N87" i="14"/>
  <c r="F126" i="2"/>
  <c r="G126" i="2"/>
  <c r="H126" i="2"/>
  <c r="K399" i="6"/>
  <c r="B569" i="6"/>
  <c r="D569" i="6"/>
  <c r="C531" i="6"/>
  <c r="E1014" i="1"/>
  <c r="C399" i="5"/>
  <c r="A398" i="5"/>
  <c r="A399" i="5"/>
  <c r="E398" i="5"/>
  <c r="A594" i="5"/>
  <c r="E594" i="5"/>
  <c r="A639" i="5"/>
  <c r="E639" i="5"/>
  <c r="A692" i="5"/>
  <c r="E692" i="5"/>
  <c r="E399" i="5"/>
  <c r="G398" i="5"/>
  <c r="G594" i="5"/>
  <c r="G639" i="5"/>
  <c r="I692" i="5"/>
  <c r="G692" i="5"/>
  <c r="G399" i="5"/>
  <c r="I399" i="5"/>
  <c r="L399" i="5"/>
  <c r="B358" i="5"/>
  <c r="E1009" i="1"/>
  <c r="D399" i="5"/>
  <c r="B398" i="5"/>
  <c r="B399" i="5"/>
  <c r="F398" i="5"/>
  <c r="B594" i="5"/>
  <c r="F594" i="5"/>
  <c r="F639" i="5"/>
  <c r="B692" i="5"/>
  <c r="F692" i="5"/>
  <c r="F399" i="5"/>
  <c r="H398" i="5"/>
  <c r="H594" i="5"/>
  <c r="B639" i="5"/>
  <c r="H639" i="5"/>
  <c r="J692" i="5"/>
  <c r="H692" i="5"/>
  <c r="H399" i="5"/>
  <c r="J399" i="5"/>
  <c r="M399" i="5"/>
  <c r="B359" i="5"/>
  <c r="E1010" i="1"/>
  <c r="C320" i="11"/>
  <c r="C321" i="11"/>
  <c r="C322" i="11"/>
  <c r="C323" i="11"/>
  <c r="C324" i="11"/>
  <c r="C325" i="11"/>
  <c r="C326" i="11"/>
  <c r="C327" i="11"/>
  <c r="C328" i="11"/>
  <c r="C329" i="11"/>
  <c r="C330" i="11"/>
  <c r="A329" i="11"/>
  <c r="E329" i="11"/>
  <c r="A525" i="11"/>
  <c r="E525" i="11"/>
  <c r="A570" i="11"/>
  <c r="E570" i="11"/>
  <c r="A623" i="11"/>
  <c r="E623" i="11"/>
  <c r="A330" i="11"/>
  <c r="E330" i="11"/>
  <c r="G329" i="11"/>
  <c r="G525" i="11"/>
  <c r="G570" i="11"/>
  <c r="I623" i="11"/>
  <c r="G623" i="11"/>
  <c r="G330" i="11"/>
  <c r="I329" i="11"/>
  <c r="K623" i="11"/>
  <c r="I330" i="11"/>
  <c r="L330" i="11"/>
  <c r="B290" i="11"/>
  <c r="E1011" i="1"/>
  <c r="D315" i="11"/>
  <c r="D316" i="11"/>
  <c r="D317" i="11"/>
  <c r="D318" i="11"/>
  <c r="D319" i="11"/>
  <c r="D320" i="11"/>
  <c r="D321" i="11"/>
  <c r="D322" i="11"/>
  <c r="D323" i="11"/>
  <c r="D324" i="11"/>
  <c r="D325" i="11"/>
  <c r="D326" i="11"/>
  <c r="D327" i="11"/>
  <c r="D328" i="11"/>
  <c r="D329" i="11"/>
  <c r="D330" i="11"/>
  <c r="B329" i="11"/>
  <c r="F329" i="11"/>
  <c r="B525" i="11"/>
  <c r="F525" i="11"/>
  <c r="B570" i="11"/>
  <c r="F570" i="11"/>
  <c r="B623" i="11"/>
  <c r="F623" i="11"/>
  <c r="B330" i="11"/>
  <c r="F330" i="11"/>
  <c r="H329" i="11"/>
  <c r="H525" i="11"/>
  <c r="H570" i="11"/>
  <c r="J623" i="11"/>
  <c r="H623" i="11"/>
  <c r="H330" i="11"/>
  <c r="J329" i="11"/>
  <c r="L623" i="11"/>
  <c r="J330" i="11"/>
  <c r="M330" i="11"/>
  <c r="B291" i="11"/>
  <c r="E1012" i="1"/>
  <c r="B54" i="1"/>
  <c r="G229" i="17"/>
  <c r="C115" i="4"/>
  <c r="C116" i="4"/>
  <c r="C117" i="4"/>
  <c r="C118" i="4"/>
  <c r="F113" i="4"/>
  <c r="F114" i="4"/>
  <c r="F115" i="4"/>
  <c r="F116" i="4"/>
  <c r="F117" i="4"/>
  <c r="F118" i="4"/>
  <c r="L105" i="4"/>
  <c r="I111" i="4"/>
  <c r="I112" i="4"/>
  <c r="I113" i="4"/>
  <c r="I114" i="4"/>
  <c r="I115" i="4"/>
  <c r="I116" i="4"/>
  <c r="I117" i="4"/>
  <c r="I118" i="4"/>
  <c r="G110" i="4"/>
  <c r="J111" i="4"/>
  <c r="J112" i="4"/>
  <c r="J113" i="4"/>
  <c r="J114" i="4"/>
  <c r="J115" i="4"/>
  <c r="J116" i="4"/>
  <c r="J117" i="4"/>
  <c r="J118" i="4"/>
  <c r="J110" i="4"/>
  <c r="L104" i="4"/>
  <c r="H110" i="4"/>
  <c r="E174" i="5"/>
  <c r="H166" i="5"/>
  <c r="E166" i="5"/>
  <c r="G61" i="6"/>
  <c r="H61" i="6"/>
  <c r="F61" i="6"/>
  <c r="I90" i="6"/>
  <c r="F80" i="6"/>
  <c r="F307" i="17"/>
  <c r="F306" i="17"/>
  <c r="F305" i="17"/>
  <c r="F304" i="17"/>
  <c r="F303" i="17"/>
  <c r="F302" i="17"/>
  <c r="F301" i="17"/>
  <c r="F300" i="17"/>
  <c r="F299" i="17"/>
  <c r="F298" i="17"/>
  <c r="F297" i="17"/>
  <c r="F296" i="17"/>
  <c r="F295" i="17"/>
  <c r="F294" i="17"/>
  <c r="F293" i="17"/>
  <c r="F292" i="17"/>
  <c r="F291" i="17"/>
  <c r="F290" i="17"/>
  <c r="F289" i="17"/>
  <c r="F288" i="17"/>
  <c r="F287" i="17"/>
  <c r="F286" i="17"/>
  <c r="F285" i="17"/>
  <c r="F284" i="17"/>
  <c r="F283" i="17"/>
  <c r="F282" i="17"/>
  <c r="F281" i="17"/>
  <c r="F280" i="17"/>
  <c r="F279" i="17"/>
  <c r="F278" i="17"/>
  <c r="F277" i="17"/>
  <c r="F276" i="17"/>
  <c r="F275" i="17"/>
  <c r="F274" i="17"/>
  <c r="F273" i="17"/>
  <c r="F272" i="17"/>
  <c r="F271" i="17"/>
  <c r="F270" i="17"/>
  <c r="F269" i="17"/>
  <c r="F268" i="17"/>
  <c r="F267" i="17"/>
  <c r="F266" i="17"/>
  <c r="F265" i="17"/>
  <c r="F264" i="17"/>
  <c r="F263" i="17"/>
  <c r="F262" i="17"/>
  <c r="F261" i="17"/>
  <c r="F260" i="17"/>
  <c r="F259" i="17"/>
  <c r="F258" i="17"/>
  <c r="F257" i="17"/>
  <c r="F256" i="17"/>
  <c r="F255" i="17"/>
  <c r="F254" i="17"/>
  <c r="F253" i="17"/>
  <c r="F252" i="17"/>
  <c r="F251" i="17"/>
  <c r="F250" i="17"/>
  <c r="F249" i="17"/>
  <c r="F248" i="17"/>
  <c r="F247" i="17"/>
  <c r="F246" i="17"/>
  <c r="F245" i="17"/>
  <c r="F244" i="17"/>
  <c r="F243" i="17"/>
  <c r="F242" i="17"/>
  <c r="F241" i="17"/>
  <c r="F240" i="17"/>
  <c r="F239" i="17"/>
  <c r="F238" i="17"/>
  <c r="F236" i="17"/>
  <c r="F235" i="17"/>
  <c r="F234" i="17"/>
  <c r="F233" i="17"/>
  <c r="F232" i="17"/>
  <c r="F231" i="17"/>
  <c r="F230" i="17"/>
  <c r="F229" i="17"/>
  <c r="B202" i="17"/>
  <c r="E216" i="17"/>
  <c r="B113" i="17"/>
  <c r="D216" i="17"/>
  <c r="E215" i="17"/>
  <c r="D215" i="17"/>
  <c r="E214" i="17"/>
  <c r="D214" i="17"/>
  <c r="E213" i="17"/>
  <c r="D213" i="17"/>
  <c r="E212" i="17"/>
  <c r="D212" i="17"/>
  <c r="E211" i="17"/>
  <c r="D211" i="17"/>
  <c r="E210" i="17"/>
  <c r="D210" i="17"/>
  <c r="E209" i="17"/>
  <c r="D209" i="17"/>
  <c r="E208" i="17"/>
  <c r="D208" i="17"/>
  <c r="E207" i="17"/>
  <c r="D207" i="17"/>
  <c r="C202" i="17"/>
  <c r="D187" i="17"/>
  <c r="D191" i="17"/>
  <c r="F191" i="17"/>
  <c r="D192" i="17"/>
  <c r="C194" i="17"/>
  <c r="E180" i="5"/>
  <c r="E186" i="5"/>
  <c r="H180" i="5"/>
  <c r="D180" i="5"/>
  <c r="J294" i="11"/>
  <c r="I294" i="11"/>
  <c r="J293" i="11"/>
  <c r="I293" i="11"/>
  <c r="D293" i="11"/>
  <c r="C293" i="11"/>
  <c r="H586" i="11"/>
  <c r="G586" i="11"/>
  <c r="F586" i="11"/>
  <c r="E586" i="11"/>
  <c r="H293" i="11"/>
  <c r="G293" i="11"/>
  <c r="A293" i="11"/>
  <c r="G294" i="11"/>
  <c r="H362" i="5"/>
  <c r="H655" i="5"/>
  <c r="G362" i="5"/>
  <c r="G655" i="5"/>
  <c r="J81" i="11"/>
  <c r="I81" i="11"/>
  <c r="E81" i="11"/>
  <c r="D81" i="11"/>
  <c r="J95" i="5"/>
  <c r="I95" i="5"/>
  <c r="E95" i="5"/>
  <c r="D95" i="5"/>
  <c r="D67" i="23"/>
  <c r="E67" i="23"/>
  <c r="H67" i="23"/>
  <c r="E66" i="23"/>
  <c r="H66" i="23"/>
  <c r="D66" i="23"/>
  <c r="D62" i="23"/>
  <c r="D63" i="23"/>
  <c r="E63" i="23"/>
  <c r="H63" i="23"/>
  <c r="E62" i="23"/>
  <c r="H62" i="23"/>
  <c r="G67" i="23"/>
  <c r="G66" i="23"/>
  <c r="G63" i="23"/>
  <c r="F65" i="17"/>
  <c r="F63" i="17"/>
  <c r="G63" i="17"/>
  <c r="F67" i="23"/>
  <c r="F66" i="23"/>
  <c r="F63" i="23"/>
  <c r="F62" i="23"/>
  <c r="G62" i="23"/>
  <c r="E57" i="25"/>
  <c r="D227" i="23"/>
  <c r="E227" i="23"/>
  <c r="G227" i="23"/>
  <c r="D228" i="23"/>
  <c r="E228" i="23"/>
  <c r="G228" i="23"/>
  <c r="D229" i="23"/>
  <c r="E229" i="23"/>
  <c r="G229" i="23"/>
  <c r="G226" i="23"/>
  <c r="E226" i="23"/>
  <c r="D226" i="23"/>
  <c r="D221" i="23"/>
  <c r="E221" i="23"/>
  <c r="G221" i="23"/>
  <c r="D222" i="23"/>
  <c r="E222" i="23"/>
  <c r="G222" i="23"/>
  <c r="D223" i="23"/>
  <c r="E223" i="23"/>
  <c r="G223" i="23"/>
  <c r="E220" i="23"/>
  <c r="G220" i="23"/>
  <c r="D220" i="23"/>
  <c r="J238" i="23"/>
  <c r="I238" i="23"/>
  <c r="H238" i="23"/>
  <c r="G238" i="23"/>
  <c r="F238" i="23"/>
  <c r="E238" i="23"/>
  <c r="D238" i="23"/>
  <c r="H233" i="23"/>
  <c r="I233" i="23"/>
  <c r="J233" i="23"/>
  <c r="H234" i="23"/>
  <c r="I234" i="23"/>
  <c r="J234" i="23"/>
  <c r="H235" i="23"/>
  <c r="I235" i="23"/>
  <c r="J235" i="23"/>
  <c r="G235" i="23"/>
  <c r="F235" i="23"/>
  <c r="E235" i="23"/>
  <c r="D235" i="23"/>
  <c r="E232" i="23"/>
  <c r="F232" i="23"/>
  <c r="G232" i="23"/>
  <c r="H232" i="23"/>
  <c r="I232" i="23"/>
  <c r="J232" i="23"/>
  <c r="D232" i="23"/>
  <c r="J240" i="23"/>
  <c r="J239" i="23"/>
  <c r="I211" i="23"/>
  <c r="J211" i="23"/>
  <c r="K211" i="23"/>
  <c r="I212" i="23"/>
  <c r="J212" i="23"/>
  <c r="K212" i="23"/>
  <c r="F210" i="23"/>
  <c r="G210" i="23"/>
  <c r="H210" i="23"/>
  <c r="I210" i="23"/>
  <c r="J210" i="23"/>
  <c r="K210" i="23"/>
  <c r="L210" i="23"/>
  <c r="E210" i="23"/>
  <c r="I206" i="23"/>
  <c r="J206" i="23"/>
  <c r="K206" i="23"/>
  <c r="I207" i="23"/>
  <c r="J207" i="23"/>
  <c r="K207" i="23"/>
  <c r="L205" i="23"/>
  <c r="K205" i="23"/>
  <c r="J205" i="23"/>
  <c r="I205" i="23"/>
  <c r="H205" i="23"/>
  <c r="G205" i="23"/>
  <c r="F205" i="23"/>
  <c r="E205" i="23"/>
  <c r="H196" i="23"/>
  <c r="I196" i="23"/>
  <c r="H197" i="23"/>
  <c r="I197" i="23"/>
  <c r="H195" i="23"/>
  <c r="I195" i="23"/>
  <c r="E196" i="23"/>
  <c r="E197" i="23"/>
  <c r="E195" i="23"/>
  <c r="E201" i="23"/>
  <c r="E202" i="23"/>
  <c r="E200" i="23"/>
  <c r="F201" i="23"/>
  <c r="F202" i="23"/>
  <c r="F200" i="23"/>
  <c r="F196" i="23"/>
  <c r="F197" i="23"/>
  <c r="F195" i="23"/>
  <c r="I202" i="23"/>
  <c r="G202" i="23"/>
  <c r="I201" i="23"/>
  <c r="G201" i="23"/>
  <c r="I200" i="23"/>
  <c r="G200" i="23"/>
  <c r="G195" i="23"/>
  <c r="G197" i="23"/>
  <c r="G196" i="23"/>
  <c r="B583" i="6"/>
  <c r="B584" i="6"/>
  <c r="B585" i="6"/>
  <c r="B586" i="6"/>
  <c r="B587" i="6"/>
  <c r="B588" i="6"/>
  <c r="B589" i="6"/>
  <c r="B590" i="6"/>
  <c r="B591" i="6"/>
  <c r="B592" i="6"/>
  <c r="B593" i="6"/>
  <c r="B594" i="6"/>
  <c r="B595" i="6"/>
  <c r="B596" i="6"/>
  <c r="B597" i="6"/>
  <c r="B598" i="6"/>
  <c r="B599" i="6"/>
  <c r="B600" i="6"/>
  <c r="B601" i="6"/>
  <c r="B602" i="6"/>
  <c r="B603" i="6"/>
  <c r="B604" i="6"/>
  <c r="B605" i="6"/>
  <c r="B606" i="6"/>
  <c r="B607" i="6"/>
  <c r="B608" i="6"/>
  <c r="B609" i="6"/>
  <c r="B610" i="6"/>
  <c r="B611" i="6"/>
  <c r="B612" i="6"/>
  <c r="B613" i="6"/>
  <c r="B614" i="6"/>
  <c r="B615" i="6"/>
  <c r="B616" i="6"/>
  <c r="B617" i="6"/>
  <c r="B618" i="6"/>
  <c r="B619" i="6"/>
  <c r="A583" i="6"/>
  <c r="A584" i="6"/>
  <c r="A585" i="6"/>
  <c r="A586" i="6"/>
  <c r="A587" i="6"/>
  <c r="A588" i="6"/>
  <c r="A589" i="6"/>
  <c r="A590" i="6"/>
  <c r="A591" i="6"/>
  <c r="A592" i="6"/>
  <c r="A593" i="6"/>
  <c r="A594" i="6"/>
  <c r="A595" i="6"/>
  <c r="A596" i="6"/>
  <c r="A597" i="6"/>
  <c r="A598" i="6"/>
  <c r="A599" i="6"/>
  <c r="A600" i="6"/>
  <c r="A601" i="6"/>
  <c r="A602" i="6"/>
  <c r="A603" i="6"/>
  <c r="A604" i="6"/>
  <c r="A605" i="6"/>
  <c r="A606" i="6"/>
  <c r="A607" i="6"/>
  <c r="A608" i="6"/>
  <c r="A609" i="6"/>
  <c r="A610" i="6"/>
  <c r="A611" i="6"/>
  <c r="A612" i="6"/>
  <c r="A613" i="6"/>
  <c r="A614" i="6"/>
  <c r="A615" i="6"/>
  <c r="A616" i="6"/>
  <c r="A617" i="6"/>
  <c r="A618" i="6"/>
  <c r="A619" i="6"/>
  <c r="B724" i="1"/>
  <c r="B725" i="1"/>
  <c r="B726" i="1"/>
  <c r="A724" i="1"/>
  <c r="A725" i="1"/>
  <c r="B727" i="1"/>
  <c r="A726" i="1"/>
  <c r="B728" i="1"/>
  <c r="A727" i="1"/>
  <c r="A728" i="1"/>
  <c r="B729" i="1"/>
  <c r="B730" i="1"/>
  <c r="A729" i="1"/>
  <c r="A730" i="1"/>
  <c r="B731" i="1"/>
  <c r="B732" i="1"/>
  <c r="A731" i="1"/>
  <c r="A732" i="1"/>
  <c r="B733" i="1"/>
  <c r="A733" i="1"/>
  <c r="B734" i="1"/>
  <c r="A734" i="1"/>
  <c r="B735" i="1"/>
  <c r="A735" i="1"/>
  <c r="B736" i="1"/>
  <c r="A736" i="1"/>
  <c r="B737" i="1"/>
  <c r="A737" i="1"/>
  <c r="B738" i="1"/>
  <c r="A738" i="1"/>
  <c r="B739" i="1"/>
  <c r="A739" i="1"/>
  <c r="B740" i="1"/>
  <c r="A740" i="1"/>
  <c r="B741" i="1"/>
  <c r="A741" i="1"/>
  <c r="B742" i="1"/>
  <c r="A742" i="1"/>
  <c r="B743" i="1"/>
  <c r="A743" i="1"/>
  <c r="B744" i="1"/>
  <c r="B745" i="1"/>
  <c r="A744" i="1"/>
  <c r="B746" i="1"/>
  <c r="A745" i="1"/>
  <c r="A746" i="1"/>
  <c r="B747" i="1"/>
  <c r="A747" i="1"/>
  <c r="B748" i="1"/>
  <c r="A748" i="1"/>
  <c r="B749" i="1"/>
  <c r="A749" i="1"/>
  <c r="B750" i="1"/>
  <c r="A750" i="1"/>
  <c r="B751" i="1"/>
  <c r="A751" i="1"/>
  <c r="B752" i="1"/>
  <c r="B753" i="1"/>
  <c r="A752" i="1"/>
  <c r="A753" i="1"/>
  <c r="B754" i="1"/>
  <c r="B755" i="1"/>
  <c r="A754" i="1"/>
  <c r="A755" i="1"/>
  <c r="B756" i="1"/>
  <c r="B757" i="1"/>
  <c r="A756" i="1"/>
  <c r="A757" i="1"/>
  <c r="B758" i="1"/>
  <c r="B759" i="1"/>
  <c r="A758" i="1"/>
  <c r="A759" i="1"/>
  <c r="B760" i="1"/>
  <c r="A760" i="1"/>
  <c r="L124" i="11"/>
  <c r="L121" i="11"/>
  <c r="L118" i="11"/>
  <c r="L115" i="11"/>
  <c r="E1033" i="1"/>
  <c r="E1032" i="1"/>
  <c r="L186" i="5"/>
  <c r="E1029" i="1"/>
  <c r="E1028" i="1"/>
  <c r="L180" i="5"/>
  <c r="E1025" i="1"/>
  <c r="I135" i="11"/>
  <c r="I10" i="11"/>
  <c r="L207" i="23"/>
  <c r="L206" i="23"/>
  <c r="L211" i="23"/>
  <c r="L212" i="23"/>
  <c r="G363" i="5"/>
  <c r="B407" i="5"/>
  <c r="A407" i="5"/>
  <c r="A655" i="5"/>
  <c r="B655" i="5"/>
  <c r="F655" i="5"/>
  <c r="B14" i="5"/>
  <c r="E655" i="5"/>
  <c r="B144" i="5"/>
  <c r="B202" i="5"/>
  <c r="A540" i="5"/>
  <c r="B540" i="5"/>
  <c r="G812" i="5"/>
  <c r="G813" i="5"/>
  <c r="G814" i="5"/>
  <c r="G815" i="5"/>
  <c r="G816" i="5"/>
  <c r="G817" i="5"/>
  <c r="G818" i="5"/>
  <c r="G819" i="5"/>
  <c r="G820" i="5"/>
  <c r="G821" i="5"/>
  <c r="G822" i="5"/>
  <c r="G823" i="5"/>
  <c r="G824" i="5"/>
  <c r="G825" i="5"/>
  <c r="G826" i="5"/>
  <c r="G828" i="5"/>
  <c r="G829" i="5"/>
  <c r="G830" i="5"/>
  <c r="G831" i="5"/>
  <c r="G832" i="5"/>
  <c r="G833" i="5"/>
  <c r="G834" i="5"/>
  <c r="G835" i="5"/>
  <c r="G836" i="5"/>
  <c r="G837" i="5"/>
  <c r="G838" i="5"/>
  <c r="G839" i="5"/>
  <c r="G840" i="5"/>
  <c r="G841" i="5"/>
  <c r="G842" i="5"/>
  <c r="G843" i="5"/>
  <c r="G844" i="5"/>
  <c r="G845" i="5"/>
  <c r="G846" i="5"/>
  <c r="G847" i="5"/>
  <c r="G848" i="5"/>
  <c r="G849" i="5"/>
  <c r="G850" i="5"/>
  <c r="G851" i="5"/>
  <c r="G852" i="5"/>
  <c r="G853" i="5"/>
  <c r="G854" i="5"/>
  <c r="G855" i="5"/>
  <c r="G856" i="5"/>
  <c r="G857" i="5"/>
  <c r="G858" i="5"/>
  <c r="G859" i="5"/>
  <c r="G860" i="5"/>
  <c r="G861" i="5"/>
  <c r="G862" i="5"/>
  <c r="G863" i="5"/>
  <c r="G864" i="5"/>
  <c r="G865" i="5"/>
  <c r="G866" i="5"/>
  <c r="G867" i="5"/>
  <c r="G868" i="5"/>
  <c r="G869" i="5"/>
  <c r="G870" i="5"/>
  <c r="G871" i="5"/>
  <c r="G872" i="5"/>
  <c r="G873" i="5"/>
  <c r="G874" i="5"/>
  <c r="G875" i="5"/>
  <c r="G876" i="5"/>
  <c r="G877" i="5"/>
  <c r="G878" i="5"/>
  <c r="G879" i="5"/>
  <c r="G880" i="5"/>
  <c r="G881" i="5"/>
  <c r="G882" i="5"/>
  <c r="G883" i="5"/>
  <c r="G884" i="5"/>
  <c r="G885" i="5"/>
  <c r="G886" i="5"/>
  <c r="G887" i="5"/>
  <c r="G888" i="5"/>
  <c r="G889" i="5"/>
  <c r="G890" i="5"/>
  <c r="G891" i="5"/>
  <c r="G892" i="5"/>
  <c r="G893" i="5"/>
  <c r="G894" i="5"/>
  <c r="G895" i="5"/>
  <c r="G896" i="5"/>
  <c r="G897" i="5"/>
  <c r="G898" i="5"/>
  <c r="G899" i="5"/>
  <c r="G900" i="5"/>
  <c r="G901" i="5"/>
  <c r="G902" i="5"/>
  <c r="G903" i="5"/>
  <c r="G904" i="5"/>
  <c r="G905" i="5"/>
  <c r="G906" i="5"/>
  <c r="F907" i="5"/>
  <c r="G907" i="5"/>
  <c r="F908" i="5"/>
  <c r="G908" i="5"/>
  <c r="F909" i="5"/>
  <c r="G909" i="5"/>
  <c r="F910" i="5"/>
  <c r="G910" i="5"/>
  <c r="F911" i="5"/>
  <c r="G911" i="5"/>
  <c r="F912" i="5"/>
  <c r="G912" i="5"/>
  <c r="F913" i="5"/>
  <c r="G913" i="5"/>
  <c r="G811" i="5"/>
  <c r="F540" i="5"/>
  <c r="I639" i="5"/>
  <c r="J639" i="5"/>
  <c r="B408" i="5"/>
  <c r="B409" i="5"/>
  <c r="B410" i="5"/>
  <c r="B411" i="5"/>
  <c r="B412" i="5"/>
  <c r="B413" i="5"/>
  <c r="B414" i="5"/>
  <c r="B415" i="5"/>
  <c r="B416" i="5"/>
  <c r="B417" i="5"/>
  <c r="B418" i="5"/>
  <c r="B419" i="5"/>
  <c r="B420" i="5"/>
  <c r="B421" i="5"/>
  <c r="B422" i="5"/>
  <c r="B423" i="5"/>
  <c r="B424" i="5"/>
  <c r="B425" i="5"/>
  <c r="B426" i="5"/>
  <c r="B427" i="5"/>
  <c r="B428" i="5"/>
  <c r="B429" i="5"/>
  <c r="B430" i="5"/>
  <c r="B431" i="5"/>
  <c r="B432" i="5"/>
  <c r="B433" i="5"/>
  <c r="B434" i="5"/>
  <c r="B435" i="5"/>
  <c r="B436" i="5"/>
  <c r="B437" i="5"/>
  <c r="B438" i="5"/>
  <c r="B439" i="5"/>
  <c r="B440" i="5"/>
  <c r="B441" i="5"/>
  <c r="B442" i="5"/>
  <c r="B443" i="5"/>
  <c r="A408" i="5"/>
  <c r="A409" i="5"/>
  <c r="A410" i="5"/>
  <c r="A411" i="5"/>
  <c r="A412" i="5"/>
  <c r="A413" i="5"/>
  <c r="A414" i="5"/>
  <c r="A415" i="5"/>
  <c r="A416" i="5"/>
  <c r="A417" i="5"/>
  <c r="A418" i="5"/>
  <c r="A419" i="5"/>
  <c r="A420" i="5"/>
  <c r="A421" i="5"/>
  <c r="A422" i="5"/>
  <c r="A423" i="5"/>
  <c r="A424" i="5"/>
  <c r="A425" i="5"/>
  <c r="A426" i="5"/>
  <c r="A427" i="5"/>
  <c r="A428" i="5"/>
  <c r="A429" i="5"/>
  <c r="A430" i="5"/>
  <c r="A431" i="5"/>
  <c r="A432" i="5"/>
  <c r="A433" i="5"/>
  <c r="A434" i="5"/>
  <c r="A435" i="5"/>
  <c r="A436" i="5"/>
  <c r="A437" i="5"/>
  <c r="A438" i="5"/>
  <c r="A439" i="5"/>
  <c r="A440" i="5"/>
  <c r="A441" i="5"/>
  <c r="A442" i="5"/>
  <c r="A443" i="5"/>
  <c r="C540" i="5"/>
  <c r="E540" i="5"/>
  <c r="D540" i="5"/>
  <c r="I540" i="5"/>
  <c r="D639" i="5"/>
  <c r="C639" i="5"/>
  <c r="H363" i="5"/>
  <c r="L639" i="5"/>
  <c r="H540" i="5"/>
  <c r="M639" i="5"/>
  <c r="D627" i="1"/>
  <c r="G364" i="5"/>
  <c r="H364" i="5"/>
  <c r="D628" i="1"/>
  <c r="D630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K692" i="5"/>
  <c r="B494" i="5"/>
  <c r="D661" i="1"/>
  <c r="A494" i="5"/>
  <c r="J594" i="5"/>
  <c r="D594" i="5"/>
  <c r="C594" i="5"/>
  <c r="I594" i="5"/>
  <c r="D494" i="5"/>
  <c r="F494" i="5"/>
  <c r="E494" i="5"/>
  <c r="L692" i="5"/>
  <c r="D662" i="1"/>
  <c r="M594" i="5"/>
  <c r="I494" i="5"/>
  <c r="F443" i="5"/>
  <c r="D663" i="1"/>
  <c r="L594" i="5"/>
  <c r="M169" i="11"/>
  <c r="M170" i="11"/>
  <c r="M171" i="11"/>
  <c r="M172" i="11"/>
  <c r="M180" i="11"/>
  <c r="M181" i="11"/>
  <c r="M182" i="11"/>
  <c r="M183" i="11"/>
  <c r="M184" i="11"/>
  <c r="M185" i="11"/>
  <c r="M186" i="11"/>
  <c r="M187" i="11"/>
  <c r="M188" i="11"/>
  <c r="M189" i="11"/>
  <c r="M190" i="11"/>
  <c r="M191" i="11"/>
  <c r="M192" i="11"/>
  <c r="M193" i="11"/>
  <c r="M194" i="11"/>
  <c r="M195" i="11"/>
  <c r="M196" i="11"/>
  <c r="M197" i="11"/>
  <c r="M198" i="11"/>
  <c r="M199" i="11"/>
  <c r="M200" i="11"/>
  <c r="M201" i="11"/>
  <c r="M202" i="11"/>
  <c r="M203" i="11"/>
  <c r="M204" i="11"/>
  <c r="M205" i="11"/>
  <c r="M206" i="11"/>
  <c r="M207" i="11"/>
  <c r="M208" i="11"/>
  <c r="M209" i="11"/>
  <c r="M210" i="11"/>
  <c r="M211" i="11"/>
  <c r="M212" i="11"/>
  <c r="M213" i="11"/>
  <c r="M214" i="11"/>
  <c r="M215" i="11"/>
  <c r="M216" i="11"/>
  <c r="M217" i="11"/>
  <c r="M218" i="11"/>
  <c r="M219" i="11"/>
  <c r="M220" i="11"/>
  <c r="M221" i="11"/>
  <c r="M222" i="11"/>
  <c r="M223" i="11"/>
  <c r="M224" i="11"/>
  <c r="M225" i="11"/>
  <c r="M226" i="11"/>
  <c r="M227" i="11"/>
  <c r="M228" i="11"/>
  <c r="M229" i="11"/>
  <c r="M230" i="11"/>
  <c r="M231" i="11"/>
  <c r="M232" i="11"/>
  <c r="M233" i="11"/>
  <c r="M234" i="11"/>
  <c r="M235" i="11"/>
  <c r="M236" i="11"/>
  <c r="M237" i="11"/>
  <c r="M238" i="11"/>
  <c r="M239" i="11"/>
  <c r="M240" i="11"/>
  <c r="M241" i="11"/>
  <c r="M242" i="11"/>
  <c r="M243" i="11"/>
  <c r="M244" i="11"/>
  <c r="M245" i="11"/>
  <c r="M246" i="11"/>
  <c r="M247" i="11"/>
  <c r="M248" i="11"/>
  <c r="M249" i="11"/>
  <c r="M250" i="11"/>
  <c r="M251" i="11"/>
  <c r="M252" i="11"/>
  <c r="M253" i="11"/>
  <c r="M254" i="11"/>
  <c r="M255" i="11"/>
  <c r="M256" i="11"/>
  <c r="M257" i="11"/>
  <c r="M258" i="11"/>
  <c r="M259" i="11"/>
  <c r="M260" i="11"/>
  <c r="M261" i="11"/>
  <c r="M262" i="11"/>
  <c r="M263" i="11"/>
  <c r="M264" i="11"/>
  <c r="M265" i="11"/>
  <c r="M266" i="11"/>
  <c r="M267" i="11"/>
  <c r="M268" i="11"/>
  <c r="G172" i="11"/>
  <c r="G180" i="11"/>
  <c r="G181" i="11"/>
  <c r="G182" i="11"/>
  <c r="G183" i="11"/>
  <c r="G184" i="11"/>
  <c r="G185" i="11"/>
  <c r="G186" i="11"/>
  <c r="G187" i="11"/>
  <c r="G188" i="11"/>
  <c r="G189" i="11"/>
  <c r="G190" i="11"/>
  <c r="G191" i="11"/>
  <c r="G192" i="11"/>
  <c r="G193" i="11"/>
  <c r="G194" i="11"/>
  <c r="G195" i="11"/>
  <c r="G196" i="11"/>
  <c r="G197" i="11"/>
  <c r="G198" i="11"/>
  <c r="G199" i="11"/>
  <c r="G200" i="11"/>
  <c r="G201" i="11"/>
  <c r="G202" i="11"/>
  <c r="G203" i="11"/>
  <c r="G204" i="11"/>
  <c r="G205" i="11"/>
  <c r="G206" i="11"/>
  <c r="G207" i="11"/>
  <c r="G208" i="11"/>
  <c r="G209" i="11"/>
  <c r="G210" i="11"/>
  <c r="G211" i="11"/>
  <c r="G212" i="11"/>
  <c r="G213" i="11"/>
  <c r="G214" i="11"/>
  <c r="G215" i="11"/>
  <c r="G216" i="11"/>
  <c r="G217" i="11"/>
  <c r="G218" i="11"/>
  <c r="G219" i="11"/>
  <c r="G220" i="11"/>
  <c r="G221" i="11"/>
  <c r="G222" i="11"/>
  <c r="G223" i="11"/>
  <c r="G224" i="11"/>
  <c r="G225" i="11"/>
  <c r="G226" i="11"/>
  <c r="G227" i="11"/>
  <c r="G228" i="11"/>
  <c r="G229" i="11"/>
  <c r="G230" i="11"/>
  <c r="G231" i="11"/>
  <c r="G232" i="11"/>
  <c r="G233" i="11"/>
  <c r="G234" i="11"/>
  <c r="G235" i="11"/>
  <c r="G236" i="11"/>
  <c r="G237" i="11"/>
  <c r="G238" i="11"/>
  <c r="G239" i="11"/>
  <c r="G240" i="11"/>
  <c r="G241" i="11"/>
  <c r="G242" i="11"/>
  <c r="G243" i="11"/>
  <c r="G244" i="11"/>
  <c r="G245" i="11"/>
  <c r="G246" i="11"/>
  <c r="G247" i="11"/>
  <c r="G248" i="11"/>
  <c r="G249" i="11"/>
  <c r="G250" i="11"/>
  <c r="G251" i="11"/>
  <c r="G252" i="11"/>
  <c r="G253" i="11"/>
  <c r="G254" i="11"/>
  <c r="G255" i="11"/>
  <c r="G256" i="11"/>
  <c r="G257" i="11"/>
  <c r="G258" i="11"/>
  <c r="G259" i="11"/>
  <c r="G260" i="11"/>
  <c r="G261" i="11"/>
  <c r="G262" i="11"/>
  <c r="G263" i="11"/>
  <c r="G264" i="11"/>
  <c r="G265" i="11"/>
  <c r="G266" i="11"/>
  <c r="G267" i="11"/>
  <c r="G268" i="11"/>
  <c r="M338" i="5"/>
  <c r="M236" i="5"/>
  <c r="M241" i="5"/>
  <c r="M242" i="5"/>
  <c r="M250" i="5"/>
  <c r="M251" i="5"/>
  <c r="M252" i="5"/>
  <c r="M253" i="5"/>
  <c r="M254" i="5"/>
  <c r="M255" i="5"/>
  <c r="M256" i="5"/>
  <c r="M257" i="5"/>
  <c r="M258" i="5"/>
  <c r="M259" i="5"/>
  <c r="M260" i="5"/>
  <c r="M261" i="5"/>
  <c r="M262" i="5"/>
  <c r="M263" i="5"/>
  <c r="M264" i="5"/>
  <c r="M265" i="5"/>
  <c r="M266" i="5"/>
  <c r="M267" i="5"/>
  <c r="M268" i="5"/>
  <c r="M269" i="5"/>
  <c r="M270" i="5"/>
  <c r="M271" i="5"/>
  <c r="M272" i="5"/>
  <c r="M273" i="5"/>
  <c r="M274" i="5"/>
  <c r="M275" i="5"/>
  <c r="M276" i="5"/>
  <c r="M277" i="5"/>
  <c r="M278" i="5"/>
  <c r="M279" i="5"/>
  <c r="M280" i="5"/>
  <c r="M281" i="5"/>
  <c r="M282" i="5"/>
  <c r="M283" i="5"/>
  <c r="M284" i="5"/>
  <c r="M285" i="5"/>
  <c r="M286" i="5"/>
  <c r="M287" i="5"/>
  <c r="M288" i="5"/>
  <c r="M289" i="5"/>
  <c r="M290" i="5"/>
  <c r="M291" i="5"/>
  <c r="M292" i="5"/>
  <c r="M293" i="5"/>
  <c r="M294" i="5"/>
  <c r="M295" i="5"/>
  <c r="M296" i="5"/>
  <c r="M297" i="5"/>
  <c r="M298" i="5"/>
  <c r="M299" i="5"/>
  <c r="M300" i="5"/>
  <c r="M301" i="5"/>
  <c r="M302" i="5"/>
  <c r="M303" i="5"/>
  <c r="M304" i="5"/>
  <c r="M305" i="5"/>
  <c r="M306" i="5"/>
  <c r="M307" i="5"/>
  <c r="M308" i="5"/>
  <c r="M309" i="5"/>
  <c r="M310" i="5"/>
  <c r="M311" i="5"/>
  <c r="M312" i="5"/>
  <c r="M313" i="5"/>
  <c r="M314" i="5"/>
  <c r="M315" i="5"/>
  <c r="M316" i="5"/>
  <c r="M317" i="5"/>
  <c r="M318" i="5"/>
  <c r="M319" i="5"/>
  <c r="M320" i="5"/>
  <c r="M321" i="5"/>
  <c r="M322" i="5"/>
  <c r="M323" i="5"/>
  <c r="M324" i="5"/>
  <c r="M325" i="5"/>
  <c r="M326" i="5"/>
  <c r="M327" i="5"/>
  <c r="M328" i="5"/>
  <c r="M329" i="5"/>
  <c r="M330" i="5"/>
  <c r="M331" i="5"/>
  <c r="M332" i="5"/>
  <c r="M333" i="5"/>
  <c r="M334" i="5"/>
  <c r="M335" i="5"/>
  <c r="M336" i="5"/>
  <c r="M337" i="5"/>
  <c r="G244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235" i="5"/>
  <c r="L182" i="5"/>
  <c r="E1027" i="1"/>
  <c r="L181" i="5"/>
  <c r="E1026" i="1"/>
  <c r="L188" i="5"/>
  <c r="E1031" i="1"/>
  <c r="L187" i="5"/>
  <c r="E103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C494" i="5"/>
  <c r="H494" i="5"/>
  <c r="E443" i="5"/>
  <c r="C663" i="1"/>
  <c r="L116" i="11"/>
  <c r="L117" i="11"/>
  <c r="B52" i="10"/>
  <c r="C658" i="1"/>
  <c r="C650" i="1"/>
  <c r="C642" i="1"/>
  <c r="C634" i="1"/>
  <c r="C657" i="1"/>
  <c r="C649" i="1"/>
  <c r="C641" i="1"/>
  <c r="C633" i="1"/>
  <c r="C656" i="1"/>
  <c r="C648" i="1"/>
  <c r="C640" i="1"/>
  <c r="C632" i="1"/>
  <c r="C655" i="1"/>
  <c r="C647" i="1"/>
  <c r="C639" i="1"/>
  <c r="C631" i="1"/>
  <c r="C654" i="1"/>
  <c r="C646" i="1"/>
  <c r="C638" i="1"/>
  <c r="C661" i="1"/>
  <c r="C653" i="1"/>
  <c r="C645" i="1"/>
  <c r="C637" i="1"/>
  <c r="C629" i="1"/>
  <c r="C660" i="1"/>
  <c r="C652" i="1"/>
  <c r="C644" i="1"/>
  <c r="C636" i="1"/>
  <c r="C662" i="1"/>
  <c r="C659" i="1"/>
  <c r="C651" i="1"/>
  <c r="C643" i="1"/>
  <c r="C635" i="1"/>
  <c r="E1034" i="1"/>
  <c r="E1035" i="1"/>
  <c r="J821" i="1"/>
  <c r="K821" i="1"/>
  <c r="J822" i="1"/>
  <c r="K822" i="1"/>
  <c r="J823" i="1"/>
  <c r="K823" i="1"/>
  <c r="J820" i="1"/>
  <c r="K820" i="1"/>
  <c r="J817" i="1"/>
  <c r="K817" i="1"/>
  <c r="J818" i="1"/>
  <c r="K818" i="1"/>
  <c r="J819" i="1"/>
  <c r="K819" i="1"/>
  <c r="J816" i="1"/>
  <c r="K816" i="1"/>
  <c r="H821" i="1"/>
  <c r="H822" i="1"/>
  <c r="H823" i="1"/>
  <c r="H817" i="1"/>
  <c r="H818" i="1"/>
  <c r="H819" i="1"/>
  <c r="F817" i="1"/>
  <c r="G817" i="1"/>
  <c r="F818" i="1"/>
  <c r="G818" i="1"/>
  <c r="F819" i="1"/>
  <c r="G819" i="1"/>
  <c r="F816" i="1"/>
  <c r="G816" i="1"/>
  <c r="F821" i="1"/>
  <c r="G821" i="1"/>
  <c r="F822" i="1"/>
  <c r="G822" i="1"/>
  <c r="F823" i="1"/>
  <c r="G823" i="1"/>
  <c r="F820" i="1"/>
  <c r="G820" i="1"/>
  <c r="D817" i="1"/>
  <c r="D818" i="1"/>
  <c r="D819" i="1"/>
  <c r="D821" i="1"/>
  <c r="D822" i="1"/>
  <c r="D823" i="1"/>
  <c r="C627" i="1"/>
  <c r="C628" i="1"/>
  <c r="L822" i="1"/>
  <c r="L823" i="1"/>
  <c r="L818" i="1"/>
  <c r="L817" i="1"/>
  <c r="L819" i="1"/>
  <c r="L821" i="1"/>
  <c r="B338" i="11"/>
  <c r="A338" i="11"/>
  <c r="A339" i="11"/>
  <c r="B339" i="11"/>
  <c r="A340" i="11"/>
  <c r="A341" i="11"/>
  <c r="B340" i="11"/>
  <c r="L123" i="11"/>
  <c r="L122" i="11"/>
  <c r="E1038" i="1"/>
  <c r="E1037" i="1"/>
  <c r="A342" i="11"/>
  <c r="B341" i="11"/>
  <c r="A343" i="11"/>
  <c r="B342" i="11"/>
  <c r="B343" i="11"/>
  <c r="A344" i="11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99" i="8"/>
  <c r="I100" i="8"/>
  <c r="I101" i="8"/>
  <c r="I102" i="8"/>
  <c r="I103" i="8"/>
  <c r="I104" i="8"/>
  <c r="I105" i="8"/>
  <c r="I106" i="8"/>
  <c r="I107" i="8"/>
  <c r="I108" i="8"/>
  <c r="I109" i="8"/>
  <c r="I110" i="8"/>
  <c r="I111" i="8"/>
  <c r="I112" i="8"/>
  <c r="I113" i="8"/>
  <c r="I114" i="8"/>
  <c r="I115" i="8"/>
  <c r="I116" i="8"/>
  <c r="I117" i="8"/>
  <c r="I118" i="8"/>
  <c r="I119" i="8"/>
  <c r="I120" i="8"/>
  <c r="I121" i="8"/>
  <c r="I122" i="8"/>
  <c r="I123" i="8"/>
  <c r="I124" i="8"/>
  <c r="I125" i="8"/>
  <c r="I126" i="8"/>
  <c r="I127" i="8"/>
  <c r="I128" i="8"/>
  <c r="I129" i="8"/>
  <c r="I130" i="8"/>
  <c r="I131" i="8"/>
  <c r="I132" i="8"/>
  <c r="I133" i="8"/>
  <c r="I134" i="8"/>
  <c r="I135" i="8"/>
  <c r="I136" i="8"/>
  <c r="I137" i="8"/>
  <c r="I138" i="8"/>
  <c r="I139" i="8"/>
  <c r="I140" i="8"/>
  <c r="I141" i="8"/>
  <c r="I142" i="8"/>
  <c r="I143" i="8"/>
  <c r="I144" i="8"/>
  <c r="I145" i="8"/>
  <c r="I146" i="8"/>
  <c r="I147" i="8"/>
  <c r="I148" i="8"/>
  <c r="I149" i="8"/>
  <c r="I150" i="8"/>
  <c r="I151" i="8"/>
  <c r="I152" i="8"/>
  <c r="I153" i="8"/>
  <c r="I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I44" i="8"/>
  <c r="B344" i="11"/>
  <c r="A345" i="11"/>
  <c r="B293" i="11"/>
  <c r="H365" i="5"/>
  <c r="M363" i="5"/>
  <c r="A346" i="11"/>
  <c r="B345" i="11"/>
  <c r="G295" i="11"/>
  <c r="D407" i="5"/>
  <c r="D397" i="1"/>
  <c r="D724" i="1"/>
  <c r="E1039" i="1"/>
  <c r="B346" i="11"/>
  <c r="A347" i="11"/>
  <c r="L52" i="25"/>
  <c r="B586" i="11"/>
  <c r="A586" i="11"/>
  <c r="M407" i="5"/>
  <c r="E1036" i="1"/>
  <c r="A348" i="11"/>
  <c r="B347" i="11"/>
  <c r="A349" i="11"/>
  <c r="B348" i="11"/>
  <c r="I295" i="11"/>
  <c r="B349" i="11"/>
  <c r="A350" i="11"/>
  <c r="H135" i="1"/>
  <c r="E724" i="1"/>
  <c r="J91" i="2"/>
  <c r="I91" i="2"/>
  <c r="J92" i="2"/>
  <c r="I92" i="2"/>
  <c r="J295" i="11"/>
  <c r="I296" i="11"/>
  <c r="B350" i="11"/>
  <c r="A351" i="11"/>
  <c r="I297" i="11"/>
  <c r="I93" i="2"/>
  <c r="J93" i="2"/>
  <c r="J296" i="11"/>
  <c r="A352" i="11"/>
  <c r="B351" i="11"/>
  <c r="H101" i="11"/>
  <c r="H229" i="23"/>
  <c r="H100" i="11"/>
  <c r="H228" i="23"/>
  <c r="H99" i="11"/>
  <c r="H227" i="23"/>
  <c r="H98" i="11"/>
  <c r="H226" i="23"/>
  <c r="H95" i="11"/>
  <c r="H223" i="23"/>
  <c r="H94" i="11"/>
  <c r="H222" i="23"/>
  <c r="H93" i="11"/>
  <c r="H221" i="23"/>
  <c r="H92" i="11"/>
  <c r="H220" i="23"/>
  <c r="F79" i="11"/>
  <c r="F78" i="11"/>
  <c r="H140" i="5"/>
  <c r="H134" i="5"/>
  <c r="I298" i="11"/>
  <c r="J297" i="11"/>
  <c r="J298" i="11"/>
  <c r="F140" i="5"/>
  <c r="F134" i="5"/>
  <c r="J94" i="2"/>
  <c r="I94" i="2"/>
  <c r="A353" i="11"/>
  <c r="B352" i="11"/>
  <c r="F94" i="11"/>
  <c r="F222" i="23"/>
  <c r="F95" i="11"/>
  <c r="F223" i="23"/>
  <c r="F99" i="11"/>
  <c r="F227" i="23"/>
  <c r="F100" i="11"/>
  <c r="F228" i="23"/>
  <c r="F98" i="11"/>
  <c r="F226" i="23"/>
  <c r="F92" i="11"/>
  <c r="F220" i="23"/>
  <c r="F93" i="11"/>
  <c r="F221" i="23"/>
  <c r="F101" i="11"/>
  <c r="F229" i="23"/>
  <c r="J299" i="11"/>
  <c r="I95" i="2"/>
  <c r="J95" i="2"/>
  <c r="B353" i="11"/>
  <c r="A354" i="11"/>
  <c r="L921" i="1"/>
  <c r="J300" i="11"/>
  <c r="J96" i="2"/>
  <c r="I96" i="2"/>
  <c r="A355" i="11"/>
  <c r="B354" i="11"/>
  <c r="F135" i="1"/>
  <c r="J301" i="11"/>
  <c r="I97" i="2"/>
  <c r="J97" i="2"/>
  <c r="B355" i="11"/>
  <c r="A356" i="11"/>
  <c r="K299" i="23"/>
  <c r="H56" i="13"/>
  <c r="J920" i="1"/>
  <c r="H99" i="23"/>
  <c r="J302" i="11"/>
  <c r="J98" i="2"/>
  <c r="I98" i="2"/>
  <c r="H57" i="13"/>
  <c r="B356" i="11"/>
  <c r="A357" i="11"/>
  <c r="H100" i="23"/>
  <c r="K301" i="23"/>
  <c r="K300" i="23"/>
  <c r="D57" i="25"/>
  <c r="C57" i="25"/>
  <c r="B57" i="25"/>
  <c r="D96" i="23"/>
  <c r="E96" i="23"/>
  <c r="F96" i="23"/>
  <c r="G96" i="23"/>
  <c r="H96" i="23"/>
  <c r="D97" i="23"/>
  <c r="E97" i="23"/>
  <c r="G97" i="23"/>
  <c r="H97" i="23"/>
  <c r="E95" i="23"/>
  <c r="F95" i="23"/>
  <c r="G95" i="23"/>
  <c r="H95" i="23"/>
  <c r="D95" i="23"/>
  <c r="D91" i="23"/>
  <c r="E91" i="23"/>
  <c r="F91" i="23"/>
  <c r="G91" i="23"/>
  <c r="H91" i="23"/>
  <c r="D92" i="23"/>
  <c r="E92" i="23"/>
  <c r="F92" i="23"/>
  <c r="G92" i="23"/>
  <c r="H92" i="23"/>
  <c r="E90" i="23"/>
  <c r="F90" i="23"/>
  <c r="G90" i="23"/>
  <c r="H90" i="23"/>
  <c r="D90" i="23"/>
  <c r="G54" i="10"/>
  <c r="G53" i="10"/>
  <c r="G52" i="10"/>
  <c r="B54" i="10"/>
  <c r="E1050" i="1"/>
  <c r="B53" i="10"/>
  <c r="E1049" i="1"/>
  <c r="E1048" i="1"/>
  <c r="J303" i="11"/>
  <c r="I99" i="2"/>
  <c r="J99" i="2"/>
  <c r="F57" i="25"/>
  <c r="G57" i="25"/>
  <c r="A358" i="11"/>
  <c r="B357" i="11"/>
  <c r="K302" i="23"/>
  <c r="B58" i="25"/>
  <c r="G58" i="25"/>
  <c r="E1053" i="1"/>
  <c r="E1052" i="1"/>
  <c r="E1051" i="1"/>
  <c r="J304" i="11"/>
  <c r="J100" i="2"/>
  <c r="I100" i="2"/>
  <c r="H57" i="25"/>
  <c r="E58" i="25"/>
  <c r="F58" i="25"/>
  <c r="C58" i="25"/>
  <c r="B59" i="25"/>
  <c r="B358" i="11"/>
  <c r="A359" i="11"/>
  <c r="D58" i="25"/>
  <c r="J305" i="11"/>
  <c r="D59" i="25"/>
  <c r="I101" i="2"/>
  <c r="J101" i="2"/>
  <c r="H58" i="25"/>
  <c r="E59" i="25"/>
  <c r="F59" i="25"/>
  <c r="B60" i="25"/>
  <c r="B359" i="11"/>
  <c r="A360" i="11"/>
  <c r="B61" i="25"/>
  <c r="K86" i="10"/>
  <c r="K78" i="10"/>
  <c r="K91" i="10"/>
  <c r="K83" i="10"/>
  <c r="K92" i="10"/>
  <c r="K84" i="10"/>
  <c r="K76" i="10"/>
  <c r="K90" i="10"/>
  <c r="K82" i="10"/>
  <c r="K74" i="10"/>
  <c r="K87" i="10"/>
  <c r="K79" i="10"/>
  <c r="K71" i="10"/>
  <c r="K88" i="10"/>
  <c r="K80" i="10"/>
  <c r="K72" i="10"/>
  <c r="K94" i="10"/>
  <c r="K70" i="10"/>
  <c r="K75" i="10"/>
  <c r="K73" i="10"/>
  <c r="K69" i="10"/>
  <c r="K93" i="10"/>
  <c r="K85" i="10"/>
  <c r="K77" i="10"/>
  <c r="K89" i="10"/>
  <c r="K81" i="10"/>
  <c r="M127" i="7"/>
  <c r="M128" i="7"/>
  <c r="M129" i="7"/>
  <c r="M130" i="7"/>
  <c r="D60" i="25"/>
  <c r="J306" i="11"/>
  <c r="J102" i="2"/>
  <c r="I102" i="2"/>
  <c r="F61" i="25"/>
  <c r="E60" i="25"/>
  <c r="E61" i="25"/>
  <c r="F60" i="25"/>
  <c r="B360" i="11"/>
  <c r="A361" i="11"/>
  <c r="D61" i="25"/>
  <c r="B62" i="25"/>
  <c r="F62" i="25"/>
  <c r="K95" i="10"/>
  <c r="K295" i="13"/>
  <c r="K296" i="13"/>
  <c r="K298" i="13"/>
  <c r="K299" i="13"/>
  <c r="K300" i="13"/>
  <c r="K301" i="13"/>
  <c r="K302" i="13"/>
  <c r="K303" i="13"/>
  <c r="K304" i="13"/>
  <c r="K305" i="13"/>
  <c r="K306" i="13"/>
  <c r="K307" i="13"/>
  <c r="K308" i="13"/>
  <c r="K309" i="13"/>
  <c r="K310" i="13"/>
  <c r="K311" i="13"/>
  <c r="K312" i="13"/>
  <c r="K313" i="13"/>
  <c r="K314" i="13"/>
  <c r="K315" i="13"/>
  <c r="K316" i="13"/>
  <c r="K317" i="13"/>
  <c r="K318" i="13"/>
  <c r="K319" i="13"/>
  <c r="K320" i="13"/>
  <c r="K321" i="13"/>
  <c r="K322" i="13"/>
  <c r="K323" i="13"/>
  <c r="K324" i="13"/>
  <c r="K325" i="13"/>
  <c r="K326" i="13"/>
  <c r="K327" i="13"/>
  <c r="K328" i="13"/>
  <c r="K329" i="13"/>
  <c r="K330" i="13"/>
  <c r="K331" i="13"/>
  <c r="K332" i="13"/>
  <c r="K333" i="13"/>
  <c r="K334" i="13"/>
  <c r="K335" i="13"/>
  <c r="K336" i="13"/>
  <c r="K337" i="13"/>
  <c r="K338" i="13"/>
  <c r="K339" i="13"/>
  <c r="K340" i="13"/>
  <c r="K341" i="13"/>
  <c r="K342" i="13"/>
  <c r="K343" i="13"/>
  <c r="K344" i="13"/>
  <c r="K345" i="13"/>
  <c r="K346" i="13"/>
  <c r="K347" i="13"/>
  <c r="K348" i="13"/>
  <c r="K349" i="13"/>
  <c r="K350" i="13"/>
  <c r="K351" i="13"/>
  <c r="K352" i="13"/>
  <c r="K353" i="13"/>
  <c r="K354" i="13"/>
  <c r="K355" i="13"/>
  <c r="K356" i="13"/>
  <c r="K357" i="13"/>
  <c r="K358" i="13"/>
  <c r="K359" i="13"/>
  <c r="K360" i="13"/>
  <c r="K361" i="13"/>
  <c r="K362" i="13"/>
  <c r="K363" i="13"/>
  <c r="K364" i="13"/>
  <c r="K365" i="13"/>
  <c r="K366" i="13"/>
  <c r="K367" i="13"/>
  <c r="K368" i="13"/>
  <c r="K369" i="13"/>
  <c r="K370" i="13"/>
  <c r="K371" i="13"/>
  <c r="K372" i="13"/>
  <c r="K373" i="13"/>
  <c r="K374" i="13"/>
  <c r="K375" i="13"/>
  <c r="K376" i="13"/>
  <c r="K377" i="13"/>
  <c r="K378" i="13"/>
  <c r="K379" i="13"/>
  <c r="K380" i="13"/>
  <c r="K381" i="13"/>
  <c r="K382" i="13"/>
  <c r="K383" i="13"/>
  <c r="K384" i="13"/>
  <c r="K385" i="13"/>
  <c r="K386" i="13"/>
  <c r="K387" i="13"/>
  <c r="K388" i="13"/>
  <c r="K389" i="13"/>
  <c r="K390" i="13"/>
  <c r="K391" i="13"/>
  <c r="K392" i="13"/>
  <c r="K393" i="13"/>
  <c r="K394" i="13"/>
  <c r="K395" i="13"/>
  <c r="K396" i="13"/>
  <c r="K397" i="13"/>
  <c r="K398" i="13"/>
  <c r="K399" i="13"/>
  <c r="K400" i="13"/>
  <c r="K401" i="13"/>
  <c r="K402" i="13"/>
  <c r="K403" i="13"/>
  <c r="K404" i="13"/>
  <c r="K405" i="13"/>
  <c r="K406" i="13"/>
  <c r="K407" i="13"/>
  <c r="K408" i="13"/>
  <c r="K409" i="13"/>
  <c r="K410" i="13"/>
  <c r="K411" i="13"/>
  <c r="K412" i="13"/>
  <c r="K413" i="13"/>
  <c r="K414" i="13"/>
  <c r="K415" i="13"/>
  <c r="K416" i="13"/>
  <c r="K417" i="13"/>
  <c r="K418" i="13"/>
  <c r="K419" i="13"/>
  <c r="K420" i="13"/>
  <c r="K421" i="13"/>
  <c r="K422" i="13"/>
  <c r="K423" i="13"/>
  <c r="K424" i="13"/>
  <c r="K425" i="13"/>
  <c r="K426" i="13"/>
  <c r="K427" i="13"/>
  <c r="K428" i="13"/>
  <c r="K429" i="13"/>
  <c r="K430" i="13"/>
  <c r="K431" i="13"/>
  <c r="K432" i="13"/>
  <c r="K433" i="13"/>
  <c r="K434" i="13"/>
  <c r="K435" i="13"/>
  <c r="K436" i="13"/>
  <c r="K437" i="13"/>
  <c r="K438" i="13"/>
  <c r="K439" i="13"/>
  <c r="K440" i="13"/>
  <c r="K441" i="13"/>
  <c r="K442" i="13"/>
  <c r="K443" i="13"/>
  <c r="K444" i="13"/>
  <c r="K445" i="13"/>
  <c r="K446" i="13"/>
  <c r="K447" i="13"/>
  <c r="K448" i="13"/>
  <c r="K449" i="13"/>
  <c r="K450" i="13"/>
  <c r="K451" i="13"/>
  <c r="K293" i="13"/>
  <c r="F298" i="13"/>
  <c r="F299" i="13"/>
  <c r="F300" i="13"/>
  <c r="F301" i="13"/>
  <c r="F302" i="13"/>
  <c r="F303" i="13"/>
  <c r="F304" i="13"/>
  <c r="F305" i="13"/>
  <c r="F306" i="13"/>
  <c r="F307" i="13"/>
  <c r="F308" i="13"/>
  <c r="F309" i="13"/>
  <c r="F310" i="13"/>
  <c r="F311" i="13"/>
  <c r="F312" i="13"/>
  <c r="F313" i="13"/>
  <c r="F314" i="13"/>
  <c r="F315" i="13"/>
  <c r="F316" i="13"/>
  <c r="F317" i="13"/>
  <c r="F318" i="13"/>
  <c r="F319" i="13"/>
  <c r="F320" i="13"/>
  <c r="F321" i="13"/>
  <c r="F322" i="13"/>
  <c r="F323" i="13"/>
  <c r="F324" i="13"/>
  <c r="F325" i="13"/>
  <c r="F326" i="13"/>
  <c r="F327" i="13"/>
  <c r="F328" i="13"/>
  <c r="F329" i="13"/>
  <c r="F330" i="13"/>
  <c r="F331" i="13"/>
  <c r="F332" i="13"/>
  <c r="F333" i="13"/>
  <c r="F334" i="13"/>
  <c r="F335" i="13"/>
  <c r="F336" i="13"/>
  <c r="F337" i="13"/>
  <c r="F338" i="13"/>
  <c r="F339" i="13"/>
  <c r="F340" i="13"/>
  <c r="F341" i="13"/>
  <c r="F342" i="13"/>
  <c r="F343" i="13"/>
  <c r="F344" i="13"/>
  <c r="F345" i="13"/>
  <c r="F346" i="13"/>
  <c r="F347" i="13"/>
  <c r="F348" i="13"/>
  <c r="F349" i="13"/>
  <c r="F350" i="13"/>
  <c r="F351" i="13"/>
  <c r="F352" i="13"/>
  <c r="F353" i="13"/>
  <c r="F354" i="13"/>
  <c r="F355" i="13"/>
  <c r="F356" i="13"/>
  <c r="F357" i="13"/>
  <c r="F358" i="13"/>
  <c r="F359" i="13"/>
  <c r="F360" i="13"/>
  <c r="F361" i="13"/>
  <c r="F362" i="13"/>
  <c r="F363" i="13"/>
  <c r="F364" i="13"/>
  <c r="F365" i="13"/>
  <c r="F366" i="13"/>
  <c r="F367" i="13"/>
  <c r="F368" i="13"/>
  <c r="F369" i="13"/>
  <c r="F370" i="13"/>
  <c r="F371" i="13"/>
  <c r="F372" i="13"/>
  <c r="F373" i="13"/>
  <c r="F374" i="13"/>
  <c r="F375" i="13"/>
  <c r="F376" i="13"/>
  <c r="F377" i="13"/>
  <c r="F378" i="13"/>
  <c r="F379" i="13"/>
  <c r="F380" i="13"/>
  <c r="F381" i="13"/>
  <c r="F382" i="13"/>
  <c r="F383" i="13"/>
  <c r="F384" i="13"/>
  <c r="F385" i="13"/>
  <c r="F386" i="13"/>
  <c r="F387" i="13"/>
  <c r="F388" i="13"/>
  <c r="F389" i="13"/>
  <c r="F390" i="13"/>
  <c r="F391" i="13"/>
  <c r="F392" i="13"/>
  <c r="F393" i="13"/>
  <c r="F394" i="13"/>
  <c r="F395" i="13"/>
  <c r="F396" i="13"/>
  <c r="F397" i="13"/>
  <c r="F398" i="13"/>
  <c r="F399" i="13"/>
  <c r="F400" i="13"/>
  <c r="F401" i="13"/>
  <c r="F402" i="13"/>
  <c r="F403" i="13"/>
  <c r="F404" i="13"/>
  <c r="F405" i="13"/>
  <c r="F406" i="13"/>
  <c r="F407" i="13"/>
  <c r="F408" i="13"/>
  <c r="F409" i="13"/>
  <c r="F410" i="13"/>
  <c r="F411" i="13"/>
  <c r="F412" i="13"/>
  <c r="F413" i="13"/>
  <c r="F414" i="13"/>
  <c r="F415" i="13"/>
  <c r="F416" i="13"/>
  <c r="F417" i="13"/>
  <c r="F418" i="13"/>
  <c r="F419" i="13"/>
  <c r="F420" i="13"/>
  <c r="F421" i="13"/>
  <c r="F422" i="13"/>
  <c r="F423" i="13"/>
  <c r="F424" i="13"/>
  <c r="F425" i="13"/>
  <c r="F426" i="13"/>
  <c r="F427" i="13"/>
  <c r="F428" i="13"/>
  <c r="F429" i="13"/>
  <c r="F430" i="13"/>
  <c r="F431" i="13"/>
  <c r="F432" i="13"/>
  <c r="F433" i="13"/>
  <c r="F434" i="13"/>
  <c r="F435" i="13"/>
  <c r="F436" i="13"/>
  <c r="F437" i="13"/>
  <c r="F438" i="13"/>
  <c r="F439" i="13"/>
  <c r="F440" i="13"/>
  <c r="F441" i="13"/>
  <c r="F442" i="13"/>
  <c r="F443" i="13"/>
  <c r="F444" i="13"/>
  <c r="F445" i="13"/>
  <c r="F446" i="13"/>
  <c r="F447" i="13"/>
  <c r="F448" i="13"/>
  <c r="F449" i="13"/>
  <c r="F450" i="13"/>
  <c r="F451" i="13"/>
  <c r="F295" i="13"/>
  <c r="F296" i="13"/>
  <c r="F293" i="13"/>
  <c r="B97" i="13"/>
  <c r="D46" i="17"/>
  <c r="D39" i="17"/>
  <c r="I103" i="2"/>
  <c r="J103" i="2"/>
  <c r="E62" i="25"/>
  <c r="B361" i="11"/>
  <c r="A362" i="11"/>
  <c r="B63" i="25"/>
  <c r="F63" i="25"/>
  <c r="D62" i="25"/>
  <c r="K96" i="10"/>
  <c r="C312" i="6"/>
  <c r="J104" i="2"/>
  <c r="I104" i="2"/>
  <c r="E63" i="25"/>
  <c r="A363" i="11"/>
  <c r="B362" i="11"/>
  <c r="D63" i="25"/>
  <c r="B64" i="25"/>
  <c r="F64" i="25"/>
  <c r="K97" i="10"/>
  <c r="L216" i="6"/>
  <c r="L227" i="6"/>
  <c r="L251" i="6"/>
  <c r="L252" i="6"/>
  <c r="L253" i="6"/>
  <c r="L254" i="6"/>
  <c r="L255" i="6"/>
  <c r="L256" i="6"/>
  <c r="L257" i="6"/>
  <c r="L258" i="6"/>
  <c r="L259" i="6"/>
  <c r="L260" i="6"/>
  <c r="L261" i="6"/>
  <c r="L262" i="6"/>
  <c r="L263" i="6"/>
  <c r="L264" i="6"/>
  <c r="L265" i="6"/>
  <c r="L266" i="6"/>
  <c r="L267" i="6"/>
  <c r="L268" i="6"/>
  <c r="L269" i="6"/>
  <c r="L270" i="6"/>
  <c r="L271" i="6"/>
  <c r="L272" i="6"/>
  <c r="L273" i="6"/>
  <c r="L274" i="6"/>
  <c r="L275" i="6"/>
  <c r="L276" i="6"/>
  <c r="L277" i="6"/>
  <c r="L278" i="6"/>
  <c r="L279" i="6"/>
  <c r="L280" i="6"/>
  <c r="L281" i="6"/>
  <c r="L282" i="6"/>
  <c r="L283" i="6"/>
  <c r="L284" i="6"/>
  <c r="L285" i="6"/>
  <c r="L286" i="6"/>
  <c r="L287" i="6"/>
  <c r="L288" i="6"/>
  <c r="L289" i="6"/>
  <c r="L290" i="6"/>
  <c r="L291" i="6"/>
  <c r="L292" i="6"/>
  <c r="L293" i="6"/>
  <c r="L294" i="6"/>
  <c r="L295" i="6"/>
  <c r="L296" i="6"/>
  <c r="L297" i="6"/>
  <c r="L298" i="6"/>
  <c r="L299" i="6"/>
  <c r="L300" i="6"/>
  <c r="L301" i="6"/>
  <c r="L302" i="6"/>
  <c r="F216" i="6"/>
  <c r="F227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65" i="6"/>
  <c r="F266" i="6"/>
  <c r="F267" i="6"/>
  <c r="F268" i="6"/>
  <c r="F269" i="6"/>
  <c r="F270" i="6"/>
  <c r="F271" i="6"/>
  <c r="F273" i="6"/>
  <c r="F274" i="6"/>
  <c r="F275" i="6"/>
  <c r="F276" i="6"/>
  <c r="F277" i="6"/>
  <c r="F278" i="6"/>
  <c r="F279" i="6"/>
  <c r="F280" i="6"/>
  <c r="F281" i="6"/>
  <c r="F282" i="6"/>
  <c r="F283" i="6"/>
  <c r="F284" i="6"/>
  <c r="F285" i="6"/>
  <c r="F286" i="6"/>
  <c r="F287" i="6"/>
  <c r="F288" i="6"/>
  <c r="F289" i="6"/>
  <c r="F290" i="6"/>
  <c r="F291" i="6"/>
  <c r="F292" i="6"/>
  <c r="F293" i="6"/>
  <c r="F294" i="6"/>
  <c r="F295" i="6"/>
  <c r="F296" i="6"/>
  <c r="F297" i="6"/>
  <c r="F298" i="6"/>
  <c r="F299" i="6"/>
  <c r="F300" i="6"/>
  <c r="F301" i="6"/>
  <c r="F302" i="6"/>
  <c r="I105" i="2"/>
  <c r="J105" i="2"/>
  <c r="E64" i="25"/>
  <c r="B363" i="11"/>
  <c r="A364" i="11"/>
  <c r="B65" i="25"/>
  <c r="F65" i="25"/>
  <c r="D64" i="25"/>
  <c r="K98" i="10"/>
  <c r="K132" i="13"/>
  <c r="K133" i="13"/>
  <c r="K139" i="13"/>
  <c r="K167" i="13"/>
  <c r="K168" i="13"/>
  <c r="K169" i="13"/>
  <c r="K170" i="13"/>
  <c r="K171" i="13"/>
  <c r="K172" i="13"/>
  <c r="K173" i="13"/>
  <c r="K174" i="13"/>
  <c r="K175" i="13"/>
  <c r="K176" i="13"/>
  <c r="K177" i="13"/>
  <c r="K178" i="13"/>
  <c r="K179" i="13"/>
  <c r="K180" i="13"/>
  <c r="K181" i="13"/>
  <c r="K182" i="13"/>
  <c r="K183" i="13"/>
  <c r="K184" i="13"/>
  <c r="K185" i="13"/>
  <c r="K186" i="13"/>
  <c r="K187" i="13"/>
  <c r="K188" i="13"/>
  <c r="K189" i="13"/>
  <c r="K190" i="13"/>
  <c r="K191" i="13"/>
  <c r="K192" i="13"/>
  <c r="K193" i="13"/>
  <c r="K194" i="13"/>
  <c r="K195" i="13"/>
  <c r="K196" i="13"/>
  <c r="K197" i="13"/>
  <c r="K198" i="13"/>
  <c r="K199" i="13"/>
  <c r="K200" i="13"/>
  <c r="K201" i="13"/>
  <c r="K202" i="13"/>
  <c r="K203" i="13"/>
  <c r="K204" i="13"/>
  <c r="K205" i="13"/>
  <c r="K206" i="13"/>
  <c r="K207" i="13"/>
  <c r="K208" i="13"/>
  <c r="K209" i="13"/>
  <c r="K210" i="13"/>
  <c r="K211" i="13"/>
  <c r="K212" i="13"/>
  <c r="K213" i="13"/>
  <c r="K214" i="13"/>
  <c r="K215" i="13"/>
  <c r="K216" i="13"/>
  <c r="K217" i="13"/>
  <c r="K218" i="13"/>
  <c r="K219" i="13"/>
  <c r="K220" i="13"/>
  <c r="K221" i="13"/>
  <c r="K222" i="13"/>
  <c r="K223" i="13"/>
  <c r="K224" i="13"/>
  <c r="K225" i="13"/>
  <c r="K226" i="13"/>
  <c r="K227" i="13"/>
  <c r="K228" i="13"/>
  <c r="K229" i="13"/>
  <c r="K230" i="13"/>
  <c r="K231" i="13"/>
  <c r="K232" i="13"/>
  <c r="K233" i="13"/>
  <c r="K234" i="13"/>
  <c r="K235" i="13"/>
  <c r="K236" i="13"/>
  <c r="K237" i="13"/>
  <c r="K238" i="13"/>
  <c r="K239" i="13"/>
  <c r="K240" i="13"/>
  <c r="K241" i="13"/>
  <c r="K242" i="13"/>
  <c r="K243" i="13"/>
  <c r="K244" i="13"/>
  <c r="K245" i="13"/>
  <c r="K246" i="13"/>
  <c r="K247" i="13"/>
  <c r="K248" i="13"/>
  <c r="K249" i="13"/>
  <c r="K250" i="13"/>
  <c r="K251" i="13"/>
  <c r="K252" i="13"/>
  <c r="K253" i="13"/>
  <c r="K254" i="13"/>
  <c r="K255" i="13"/>
  <c r="K256" i="13"/>
  <c r="K257" i="13"/>
  <c r="K258" i="13"/>
  <c r="K259" i="13"/>
  <c r="K260" i="13"/>
  <c r="K261" i="13"/>
  <c r="K262" i="13"/>
  <c r="K263" i="13"/>
  <c r="K264" i="13"/>
  <c r="K265" i="13"/>
  <c r="K266" i="13"/>
  <c r="K267" i="13"/>
  <c r="K268" i="13"/>
  <c r="K269" i="13"/>
  <c r="K270" i="13"/>
  <c r="K271" i="13"/>
  <c r="K272" i="13"/>
  <c r="K273" i="13"/>
  <c r="K274" i="13"/>
  <c r="F132" i="13"/>
  <c r="F133" i="13"/>
  <c r="F139" i="13"/>
  <c r="F162" i="13"/>
  <c r="F163" i="13"/>
  <c r="F165" i="13"/>
  <c r="F166" i="13"/>
  <c r="F167" i="13"/>
  <c r="F168" i="13"/>
  <c r="F169" i="13"/>
  <c r="F170" i="13"/>
  <c r="F171" i="13"/>
  <c r="F172" i="13"/>
  <c r="F173" i="13"/>
  <c r="F174" i="13"/>
  <c r="F175" i="13"/>
  <c r="F176" i="13"/>
  <c r="F177" i="13"/>
  <c r="F178" i="13"/>
  <c r="F179" i="13"/>
  <c r="F180" i="13"/>
  <c r="F181" i="13"/>
  <c r="F182" i="13"/>
  <c r="F183" i="13"/>
  <c r="F184" i="13"/>
  <c r="F185" i="13"/>
  <c r="F186" i="13"/>
  <c r="F187" i="13"/>
  <c r="F188" i="13"/>
  <c r="F189" i="13"/>
  <c r="F190" i="13"/>
  <c r="F191" i="13"/>
  <c r="F192" i="13"/>
  <c r="F193" i="13"/>
  <c r="F194" i="13"/>
  <c r="F195" i="13"/>
  <c r="F196" i="13"/>
  <c r="F197" i="13"/>
  <c r="F198" i="13"/>
  <c r="F199" i="13"/>
  <c r="F200" i="13"/>
  <c r="F201" i="13"/>
  <c r="F202" i="13"/>
  <c r="F203" i="13"/>
  <c r="F204" i="13"/>
  <c r="F205" i="13"/>
  <c r="F206" i="13"/>
  <c r="F207" i="13"/>
  <c r="F208" i="13"/>
  <c r="F209" i="13"/>
  <c r="F210" i="13"/>
  <c r="F211" i="13"/>
  <c r="F212" i="13"/>
  <c r="F213" i="13"/>
  <c r="F214" i="13"/>
  <c r="F215" i="13"/>
  <c r="F216" i="13"/>
  <c r="F217" i="13"/>
  <c r="F218" i="13"/>
  <c r="F219" i="13"/>
  <c r="F220" i="13"/>
  <c r="F221" i="13"/>
  <c r="F222" i="13"/>
  <c r="F223" i="13"/>
  <c r="F224" i="13"/>
  <c r="F225" i="13"/>
  <c r="F226" i="13"/>
  <c r="F227" i="13"/>
  <c r="F228" i="13"/>
  <c r="F229" i="13"/>
  <c r="F230" i="13"/>
  <c r="F231" i="13"/>
  <c r="F232" i="13"/>
  <c r="F233" i="13"/>
  <c r="F234" i="13"/>
  <c r="F235" i="13"/>
  <c r="F236" i="13"/>
  <c r="F237" i="13"/>
  <c r="F238" i="13"/>
  <c r="F239" i="13"/>
  <c r="F240" i="13"/>
  <c r="F241" i="13"/>
  <c r="F242" i="13"/>
  <c r="F243" i="13"/>
  <c r="F244" i="13"/>
  <c r="F245" i="13"/>
  <c r="F246" i="13"/>
  <c r="F247" i="13"/>
  <c r="F248" i="13"/>
  <c r="F249" i="13"/>
  <c r="F250" i="13"/>
  <c r="F251" i="13"/>
  <c r="F252" i="13"/>
  <c r="F253" i="13"/>
  <c r="F254" i="13"/>
  <c r="F255" i="13"/>
  <c r="F256" i="13"/>
  <c r="F257" i="13"/>
  <c r="F258" i="13"/>
  <c r="F259" i="13"/>
  <c r="F260" i="13"/>
  <c r="F261" i="13"/>
  <c r="F262" i="13"/>
  <c r="F263" i="13"/>
  <c r="F264" i="13"/>
  <c r="F265" i="13"/>
  <c r="F266" i="13"/>
  <c r="F267" i="13"/>
  <c r="F268" i="13"/>
  <c r="F269" i="13"/>
  <c r="F270" i="13"/>
  <c r="F271" i="13"/>
  <c r="F272" i="13"/>
  <c r="F273" i="13"/>
  <c r="F274" i="13"/>
  <c r="J106" i="2"/>
  <c r="I106" i="2"/>
  <c r="E65" i="25"/>
  <c r="A365" i="11"/>
  <c r="B364" i="11"/>
  <c r="D65" i="25"/>
  <c r="B66" i="25"/>
  <c r="F66" i="25"/>
  <c r="K99" i="10"/>
  <c r="F96" i="15"/>
  <c r="F95" i="15"/>
  <c r="F60" i="15"/>
  <c r="F59" i="15"/>
  <c r="I107" i="2"/>
  <c r="J107" i="2"/>
  <c r="E66" i="25"/>
  <c r="B365" i="11"/>
  <c r="A366" i="11"/>
  <c r="B67" i="25"/>
  <c r="F67" i="25"/>
  <c r="D66" i="25"/>
  <c r="K100" i="10"/>
  <c r="J79" i="7"/>
  <c r="J108" i="2"/>
  <c r="I108" i="2"/>
  <c r="E67" i="25"/>
  <c r="B366" i="11"/>
  <c r="A367" i="11"/>
  <c r="D67" i="25"/>
  <c r="B68" i="25"/>
  <c r="F68" i="25"/>
  <c r="K101" i="10"/>
  <c r="I68" i="7"/>
  <c r="I109" i="2"/>
  <c r="J109" i="2"/>
  <c r="E68" i="25"/>
  <c r="B367" i="11"/>
  <c r="A368" i="11"/>
  <c r="B69" i="25"/>
  <c r="F69" i="25"/>
  <c r="D68" i="25"/>
  <c r="K102" i="10"/>
  <c r="A105" i="10"/>
  <c r="B105" i="10"/>
  <c r="J110" i="2"/>
  <c r="I110" i="2"/>
  <c r="E69" i="25"/>
  <c r="A369" i="11"/>
  <c r="B368" i="11"/>
  <c r="D69" i="25"/>
  <c r="B70" i="25"/>
  <c r="F70" i="25"/>
  <c r="D105" i="10"/>
  <c r="C105" i="10"/>
  <c r="E105" i="10"/>
  <c r="G105" i="10"/>
  <c r="I105" i="10"/>
  <c r="H105" i="10"/>
  <c r="K103" i="10"/>
  <c r="F134" i="17"/>
  <c r="F135" i="17"/>
  <c r="F136" i="17"/>
  <c r="F137" i="17"/>
  <c r="F138" i="17"/>
  <c r="F139" i="17"/>
  <c r="F140" i="17"/>
  <c r="F141" i="17"/>
  <c r="F142" i="17"/>
  <c r="F143" i="17"/>
  <c r="F144" i="17"/>
  <c r="F145" i="17"/>
  <c r="F146" i="17"/>
  <c r="F147" i="17"/>
  <c r="F148" i="17"/>
  <c r="F149" i="17"/>
  <c r="F150" i="17"/>
  <c r="F151" i="17"/>
  <c r="F152" i="17"/>
  <c r="F153" i="17"/>
  <c r="F154" i="17"/>
  <c r="F155" i="17"/>
  <c r="F156" i="17"/>
  <c r="F157" i="17"/>
  <c r="F158" i="17"/>
  <c r="F159" i="17"/>
  <c r="F160" i="17"/>
  <c r="F161" i="17"/>
  <c r="F162" i="17"/>
  <c r="F163" i="17"/>
  <c r="F164" i="17"/>
  <c r="F165" i="17"/>
  <c r="F166" i="17"/>
  <c r="F167" i="17"/>
  <c r="F168" i="17"/>
  <c r="F169" i="17"/>
  <c r="F170" i="17"/>
  <c r="H126" i="17"/>
  <c r="H130" i="17"/>
  <c r="I130" i="17"/>
  <c r="B134" i="17"/>
  <c r="B135" i="17"/>
  <c r="B136" i="17"/>
  <c r="B137" i="17"/>
  <c r="B138" i="17"/>
  <c r="B139" i="17"/>
  <c r="B140" i="17"/>
  <c r="B141" i="17"/>
  <c r="B142" i="17"/>
  <c r="B143" i="17"/>
  <c r="B144" i="17"/>
  <c r="B145" i="17"/>
  <c r="B146" i="17"/>
  <c r="B147" i="17"/>
  <c r="B148" i="17"/>
  <c r="B149" i="17"/>
  <c r="B150" i="17"/>
  <c r="B151" i="17"/>
  <c r="B152" i="17"/>
  <c r="B153" i="17"/>
  <c r="B154" i="17"/>
  <c r="B155" i="17"/>
  <c r="B156" i="17"/>
  <c r="B157" i="17"/>
  <c r="B158" i="17"/>
  <c r="B159" i="17"/>
  <c r="B160" i="17"/>
  <c r="B161" i="17"/>
  <c r="B162" i="17"/>
  <c r="B163" i="17"/>
  <c r="B164" i="17"/>
  <c r="B165" i="17"/>
  <c r="B166" i="17"/>
  <c r="B167" i="17"/>
  <c r="B168" i="17"/>
  <c r="B169" i="17"/>
  <c r="B170" i="17"/>
  <c r="A136" i="17"/>
  <c r="A137" i="17"/>
  <c r="A138" i="17"/>
  <c r="A139" i="17"/>
  <c r="A140" i="17"/>
  <c r="A141" i="17"/>
  <c r="A142" i="17"/>
  <c r="A143" i="17"/>
  <c r="A144" i="17"/>
  <c r="A145" i="17"/>
  <c r="A146" i="17"/>
  <c r="A147" i="17"/>
  <c r="A148" i="17"/>
  <c r="A149" i="17"/>
  <c r="A150" i="17"/>
  <c r="A151" i="17"/>
  <c r="A152" i="17"/>
  <c r="A153" i="17"/>
  <c r="A154" i="17"/>
  <c r="A155" i="17"/>
  <c r="A156" i="17"/>
  <c r="A157" i="17"/>
  <c r="A158" i="17"/>
  <c r="A159" i="17"/>
  <c r="A160" i="17"/>
  <c r="A161" i="17"/>
  <c r="A162" i="17"/>
  <c r="A163" i="17"/>
  <c r="A164" i="17"/>
  <c r="A165" i="17"/>
  <c r="A166" i="17"/>
  <c r="A167" i="17"/>
  <c r="A168" i="17"/>
  <c r="A169" i="17"/>
  <c r="A170" i="17"/>
  <c r="I111" i="2"/>
  <c r="J111" i="2"/>
  <c r="E70" i="25"/>
  <c r="B369" i="11"/>
  <c r="A370" i="11"/>
  <c r="B71" i="25"/>
  <c r="F71" i="25"/>
  <c r="D70" i="25"/>
  <c r="J105" i="10"/>
  <c r="D348" i="1"/>
  <c r="F105" i="10"/>
  <c r="C348" i="1"/>
  <c r="K104" i="10"/>
  <c r="J112" i="2"/>
  <c r="I112" i="2"/>
  <c r="E71" i="25"/>
  <c r="A371" i="11"/>
  <c r="B370" i="11"/>
  <c r="D71" i="25"/>
  <c r="B72" i="25"/>
  <c r="F72" i="25"/>
  <c r="K105" i="10"/>
  <c r="I113" i="2"/>
  <c r="J113" i="2"/>
  <c r="E72" i="25"/>
  <c r="B371" i="11"/>
  <c r="A372" i="11"/>
  <c r="B73" i="25"/>
  <c r="F73" i="25"/>
  <c r="D72" i="25"/>
  <c r="G158" i="6"/>
  <c r="G156" i="6"/>
  <c r="F76" i="15"/>
  <c r="F82" i="15"/>
  <c r="J114" i="2"/>
  <c r="I114" i="2"/>
  <c r="E73" i="25"/>
  <c r="A373" i="11"/>
  <c r="B372" i="11"/>
  <c r="D73" i="25"/>
  <c r="B74" i="25"/>
  <c r="F74" i="25"/>
  <c r="J30" i="2"/>
  <c r="I115" i="2"/>
  <c r="J115" i="2"/>
  <c r="E74" i="25"/>
  <c r="M175" i="11"/>
  <c r="G176" i="11"/>
  <c r="M245" i="5"/>
  <c r="G246" i="5"/>
  <c r="M176" i="11"/>
  <c r="G177" i="11"/>
  <c r="M246" i="5"/>
  <c r="G247" i="5"/>
  <c r="M177" i="11"/>
  <c r="G178" i="11"/>
  <c r="M247" i="5"/>
  <c r="G248" i="5"/>
  <c r="M178" i="11"/>
  <c r="G179" i="11"/>
  <c r="M248" i="5"/>
  <c r="G249" i="5"/>
  <c r="M179" i="11"/>
  <c r="M249" i="5"/>
  <c r="G250" i="5"/>
  <c r="G173" i="11"/>
  <c r="G251" i="5"/>
  <c r="G827" i="5"/>
  <c r="M173" i="11"/>
  <c r="G174" i="11"/>
  <c r="M243" i="5"/>
  <c r="M174" i="11"/>
  <c r="G175" i="11"/>
  <c r="M244" i="5"/>
  <c r="G245" i="5"/>
  <c r="B373" i="11"/>
  <c r="A374" i="11"/>
  <c r="B75" i="25"/>
  <c r="F75" i="25"/>
  <c r="D74" i="25"/>
  <c r="K294" i="13"/>
  <c r="F294" i="13"/>
  <c r="K297" i="13"/>
  <c r="F297" i="13"/>
  <c r="L213" i="6"/>
  <c r="L221" i="6"/>
  <c r="L229" i="6"/>
  <c r="L237" i="6"/>
  <c r="L245" i="6"/>
  <c r="L222" i="6"/>
  <c r="L230" i="6"/>
  <c r="L238" i="6"/>
  <c r="F272" i="6"/>
  <c r="F221" i="6"/>
  <c r="L207" i="6"/>
  <c r="L231" i="6"/>
  <c r="L239" i="6"/>
  <c r="L235" i="6"/>
  <c r="L232" i="6"/>
  <c r="L240" i="6"/>
  <c r="L248" i="6"/>
  <c r="L243" i="6"/>
  <c r="L209" i="6"/>
  <c r="L233" i="6"/>
  <c r="L241" i="6"/>
  <c r="L249" i="6"/>
  <c r="L210" i="6"/>
  <c r="L234" i="6"/>
  <c r="L242" i="6"/>
  <c r="L250" i="6"/>
  <c r="F228" i="6"/>
  <c r="L211" i="6"/>
  <c r="L212" i="6"/>
  <c r="L228" i="6"/>
  <c r="L236" i="6"/>
  <c r="L244" i="6"/>
  <c r="F222" i="6"/>
  <c r="K166" i="13"/>
  <c r="F120" i="13"/>
  <c r="F128" i="13"/>
  <c r="F144" i="13"/>
  <c r="K120" i="13"/>
  <c r="K128" i="13"/>
  <c r="K144" i="13"/>
  <c r="F129" i="13"/>
  <c r="F145" i="13"/>
  <c r="K129" i="13"/>
  <c r="K145" i="13"/>
  <c r="F138" i="13"/>
  <c r="F117" i="13"/>
  <c r="F124" i="13"/>
  <c r="K138" i="13"/>
  <c r="K162" i="13"/>
  <c r="K117" i="13"/>
  <c r="K124" i="13"/>
  <c r="K164" i="13"/>
  <c r="K163" i="13"/>
  <c r="K165" i="13"/>
  <c r="G77" i="3"/>
  <c r="G76" i="3"/>
  <c r="J116" i="2"/>
  <c r="I116" i="2"/>
  <c r="E75" i="25"/>
  <c r="B374" i="11"/>
  <c r="D75" i="25"/>
  <c r="B76" i="25"/>
  <c r="F76" i="25"/>
  <c r="B116" i="17"/>
  <c r="C116" i="17"/>
  <c r="F116" i="17"/>
  <c r="B112" i="17"/>
  <c r="C112" i="17"/>
  <c r="F112" i="17"/>
  <c r="C113" i="17"/>
  <c r="F113" i="17"/>
  <c r="B114" i="17"/>
  <c r="C114" i="17"/>
  <c r="F114" i="17"/>
  <c r="B115" i="17"/>
  <c r="C115" i="17"/>
  <c r="F115" i="17"/>
  <c r="F82" i="17"/>
  <c r="F83" i="17"/>
  <c r="F84" i="17"/>
  <c r="F85" i="17"/>
  <c r="F86" i="17"/>
  <c r="F87" i="17"/>
  <c r="F88" i="17"/>
  <c r="F89" i="17"/>
  <c r="F90" i="17"/>
  <c r="F91" i="17"/>
  <c r="F92" i="17"/>
  <c r="F93" i="17"/>
  <c r="F94" i="17"/>
  <c r="F95" i="17"/>
  <c r="F96" i="17"/>
  <c r="F97" i="17"/>
  <c r="F98" i="17"/>
  <c r="F99" i="17"/>
  <c r="F100" i="17"/>
  <c r="F101" i="17"/>
  <c r="F102" i="17"/>
  <c r="F103" i="17"/>
  <c r="F104" i="17"/>
  <c r="F105" i="17"/>
  <c r="F106" i="17"/>
  <c r="F107" i="17"/>
  <c r="F108" i="17"/>
  <c r="F109" i="17"/>
  <c r="F110" i="17"/>
  <c r="F111" i="17"/>
  <c r="F81" i="17"/>
  <c r="C82" i="17"/>
  <c r="C83" i="17"/>
  <c r="C84" i="17"/>
  <c r="C85" i="17"/>
  <c r="C86" i="17"/>
  <c r="C87" i="17"/>
  <c r="C88" i="17"/>
  <c r="C89" i="17"/>
  <c r="C90" i="17"/>
  <c r="C91" i="17"/>
  <c r="C92" i="17"/>
  <c r="C93" i="17"/>
  <c r="C94" i="17"/>
  <c r="C95" i="17"/>
  <c r="C96" i="17"/>
  <c r="C97" i="17"/>
  <c r="C98" i="17"/>
  <c r="C99" i="17"/>
  <c r="C100" i="17"/>
  <c r="C101" i="17"/>
  <c r="C102" i="17"/>
  <c r="C103" i="17"/>
  <c r="C104" i="17"/>
  <c r="C105" i="17"/>
  <c r="C106" i="17"/>
  <c r="C107" i="17"/>
  <c r="C108" i="17"/>
  <c r="C109" i="17"/>
  <c r="C110" i="17"/>
  <c r="C111" i="17"/>
  <c r="C81" i="17"/>
  <c r="B82" i="17"/>
  <c r="B83" i="17"/>
  <c r="B84" i="17"/>
  <c r="B85" i="17"/>
  <c r="B86" i="17"/>
  <c r="B87" i="17"/>
  <c r="B88" i="17"/>
  <c r="B89" i="17"/>
  <c r="B90" i="17"/>
  <c r="B91" i="17"/>
  <c r="B92" i="17"/>
  <c r="B93" i="17"/>
  <c r="B94" i="17"/>
  <c r="B95" i="17"/>
  <c r="B96" i="17"/>
  <c r="B97" i="17"/>
  <c r="B98" i="17"/>
  <c r="B99" i="17"/>
  <c r="B100" i="17"/>
  <c r="B101" i="17"/>
  <c r="B102" i="17"/>
  <c r="B103" i="17"/>
  <c r="B104" i="17"/>
  <c r="B105" i="17"/>
  <c r="B106" i="17"/>
  <c r="B107" i="17"/>
  <c r="B108" i="17"/>
  <c r="B109" i="17"/>
  <c r="B110" i="17"/>
  <c r="B111" i="17"/>
  <c r="B81" i="17"/>
  <c r="I117" i="2"/>
  <c r="J117" i="2"/>
  <c r="E76" i="25"/>
  <c r="D631" i="1"/>
  <c r="C570" i="11"/>
  <c r="I570" i="11"/>
  <c r="I542" i="5"/>
  <c r="H542" i="5"/>
  <c r="C630" i="1"/>
  <c r="M364" i="5"/>
  <c r="E725" i="1"/>
  <c r="B77" i="25"/>
  <c r="F77" i="25"/>
  <c r="D76" i="25"/>
  <c r="D86" i="17"/>
  <c r="E86" i="17"/>
  <c r="D107" i="17"/>
  <c r="E107" i="17"/>
  <c r="D99" i="17"/>
  <c r="E99" i="17"/>
  <c r="D91" i="17"/>
  <c r="E91" i="17"/>
  <c r="D83" i="17"/>
  <c r="E83" i="17"/>
  <c r="D115" i="17"/>
  <c r="E115" i="17"/>
  <c r="D96" i="17"/>
  <c r="E96" i="17"/>
  <c r="D111" i="17"/>
  <c r="E111" i="17"/>
  <c r="D113" i="17"/>
  <c r="E113" i="17"/>
  <c r="D81" i="17"/>
  <c r="E81" i="17"/>
  <c r="G81" i="17"/>
  <c r="G82" i="17"/>
  <c r="G83" i="17"/>
  <c r="G84" i="17"/>
  <c r="G85" i="17"/>
  <c r="G86" i="17"/>
  <c r="G87" i="17"/>
  <c r="G88" i="17"/>
  <c r="G89" i="17"/>
  <c r="G90" i="17"/>
  <c r="G91" i="17"/>
  <c r="G92" i="17"/>
  <c r="G93" i="17"/>
  <c r="G94" i="17"/>
  <c r="G95" i="17"/>
  <c r="G96" i="17"/>
  <c r="G97" i="17"/>
  <c r="G98" i="17"/>
  <c r="G99" i="17"/>
  <c r="G100" i="17"/>
  <c r="G101" i="17"/>
  <c r="G102" i="17"/>
  <c r="G103" i="17"/>
  <c r="G104" i="17"/>
  <c r="G105" i="17"/>
  <c r="G106" i="17"/>
  <c r="G107" i="17"/>
  <c r="G108" i="17"/>
  <c r="G109" i="17"/>
  <c r="G110" i="17"/>
  <c r="G111" i="17"/>
  <c r="G112" i="17"/>
  <c r="G113" i="17"/>
  <c r="G114" i="17"/>
  <c r="G115" i="17"/>
  <c r="G116" i="17"/>
  <c r="D106" i="17"/>
  <c r="E106" i="17"/>
  <c r="D98" i="17"/>
  <c r="E98" i="17"/>
  <c r="D90" i="17"/>
  <c r="E90" i="17"/>
  <c r="D82" i="17"/>
  <c r="E82" i="17"/>
  <c r="D104" i="17"/>
  <c r="E104" i="17"/>
  <c r="D88" i="17"/>
  <c r="E88" i="17"/>
  <c r="D103" i="17"/>
  <c r="E103" i="17"/>
  <c r="D95" i="17"/>
  <c r="E95" i="17"/>
  <c r="D87" i="17"/>
  <c r="E87" i="17"/>
  <c r="D114" i="17"/>
  <c r="E114" i="17"/>
  <c r="D102" i="17"/>
  <c r="E102" i="17"/>
  <c r="D108" i="17"/>
  <c r="E108" i="17"/>
  <c r="D100" i="17"/>
  <c r="E100" i="17"/>
  <c r="D92" i="17"/>
  <c r="E92" i="17"/>
  <c r="D84" i="17"/>
  <c r="E84" i="17"/>
  <c r="D116" i="17"/>
  <c r="E116" i="17"/>
  <c r="D110" i="17"/>
  <c r="E110" i="17"/>
  <c r="D94" i="17"/>
  <c r="E94" i="17"/>
  <c r="D109" i="17"/>
  <c r="E109" i="17"/>
  <c r="D101" i="17"/>
  <c r="E101" i="17"/>
  <c r="D93" i="17"/>
  <c r="E93" i="17"/>
  <c r="D85" i="17"/>
  <c r="E85" i="17"/>
  <c r="D105" i="17"/>
  <c r="E105" i="17"/>
  <c r="D97" i="17"/>
  <c r="E97" i="17"/>
  <c r="D89" i="17"/>
  <c r="E89" i="17"/>
  <c r="D112" i="17"/>
  <c r="E112" i="17"/>
  <c r="M365" i="5"/>
  <c r="D409" i="5"/>
  <c r="J118" i="2"/>
  <c r="I118" i="2"/>
  <c r="E77" i="25"/>
  <c r="D629" i="1"/>
  <c r="D408" i="5"/>
  <c r="D398" i="1"/>
  <c r="D570" i="11"/>
  <c r="J570" i="11"/>
  <c r="L295" i="11"/>
  <c r="L570" i="11"/>
  <c r="I525" i="11"/>
  <c r="D77" i="25"/>
  <c r="B78" i="25"/>
  <c r="F78" i="25"/>
  <c r="I306" i="23"/>
  <c r="I303" i="23"/>
  <c r="K297" i="23"/>
  <c r="I77" i="23"/>
  <c r="H51" i="13"/>
  <c r="H168" i="7"/>
  <c r="H164" i="7"/>
  <c r="K61" i="13"/>
  <c r="D725" i="1"/>
  <c r="D726" i="1"/>
  <c r="D399" i="1"/>
  <c r="M366" i="5"/>
  <c r="D410" i="5"/>
  <c r="I119" i="2"/>
  <c r="J119" i="2"/>
  <c r="M408" i="5"/>
  <c r="E78" i="25"/>
  <c r="M570" i="11"/>
  <c r="C339" i="11"/>
  <c r="G398" i="1"/>
  <c r="D525" i="11"/>
  <c r="J525" i="11"/>
  <c r="B79" i="25"/>
  <c r="F79" i="25"/>
  <c r="D78" i="25"/>
  <c r="G921" i="1"/>
  <c r="C39" i="14"/>
  <c r="D727" i="1"/>
  <c r="D400" i="1"/>
  <c r="J120" i="2"/>
  <c r="I120" i="2"/>
  <c r="E79" i="25"/>
  <c r="M525" i="11"/>
  <c r="D79" i="25"/>
  <c r="B80" i="25"/>
  <c r="F80" i="25"/>
  <c r="H820" i="1"/>
  <c r="H816" i="1"/>
  <c r="D820" i="1"/>
  <c r="D816" i="1"/>
  <c r="M409" i="5"/>
  <c r="I121" i="2"/>
  <c r="J121" i="2"/>
  <c r="M410" i="5"/>
  <c r="E80" i="25"/>
  <c r="B81" i="25"/>
  <c r="F81" i="25"/>
  <c r="D80" i="25"/>
  <c r="L816" i="1"/>
  <c r="L820" i="1"/>
  <c r="H57" i="3"/>
  <c r="K148" i="23"/>
  <c r="F294" i="23"/>
  <c r="F22" i="23"/>
  <c r="F49" i="23"/>
  <c r="F72" i="23"/>
  <c r="F163" i="23"/>
  <c r="B10" i="15"/>
  <c r="F141" i="23"/>
  <c r="B11" i="10"/>
  <c r="F87" i="23"/>
  <c r="B9" i="4"/>
  <c r="F120" i="23"/>
  <c r="B9" i="3"/>
  <c r="F104" i="23"/>
  <c r="K312" i="23"/>
  <c r="K311" i="23"/>
  <c r="K305" i="23"/>
  <c r="K304" i="23"/>
  <c r="K296" i="23"/>
  <c r="K290" i="23"/>
  <c r="K289" i="23"/>
  <c r="K288" i="23"/>
  <c r="K287" i="23"/>
  <c r="K283" i="23"/>
  <c r="K282" i="23"/>
  <c r="K279" i="23"/>
  <c r="K278" i="23"/>
  <c r="K277" i="23"/>
  <c r="K276" i="23"/>
  <c r="K274" i="23"/>
  <c r="K273" i="23"/>
  <c r="K272" i="23"/>
  <c r="K271" i="23"/>
  <c r="K270" i="23"/>
  <c r="K269" i="23"/>
  <c r="K264" i="23"/>
  <c r="K263" i="23"/>
  <c r="K261" i="23"/>
  <c r="K260" i="23"/>
  <c r="K256" i="23"/>
  <c r="K255" i="23"/>
  <c r="K254" i="23"/>
  <c r="K253" i="23"/>
  <c r="K251" i="23"/>
  <c r="K250" i="23"/>
  <c r="K159" i="23"/>
  <c r="K158" i="23"/>
  <c r="K157" i="23"/>
  <c r="K156" i="23"/>
  <c r="K155" i="23"/>
  <c r="K154" i="23"/>
  <c r="K153" i="23"/>
  <c r="K152" i="23"/>
  <c r="K150" i="23"/>
  <c r="K149" i="23"/>
  <c r="K146" i="23"/>
  <c r="K145" i="23"/>
  <c r="K144" i="23"/>
  <c r="K143" i="23"/>
  <c r="I69" i="7"/>
  <c r="K76" i="23"/>
  <c r="J122" i="2"/>
  <c r="I122" i="2"/>
  <c r="E81" i="25"/>
  <c r="K303" i="23"/>
  <c r="K298" i="23"/>
  <c r="D81" i="25"/>
  <c r="B82" i="25"/>
  <c r="F82" i="25"/>
  <c r="K306" i="23"/>
  <c r="K75" i="23"/>
  <c r="K77" i="23"/>
  <c r="I72" i="7"/>
  <c r="K134" i="23"/>
  <c r="K132" i="23"/>
  <c r="K130" i="23"/>
  <c r="K129" i="23"/>
  <c r="K127" i="23"/>
  <c r="K126" i="23"/>
  <c r="K124" i="23"/>
  <c r="K113" i="23"/>
  <c r="K110" i="23"/>
  <c r="K108" i="23"/>
  <c r="K107" i="23"/>
  <c r="K106" i="23"/>
  <c r="K80" i="23"/>
  <c r="K79" i="23"/>
  <c r="K78" i="23"/>
  <c r="K82" i="23"/>
  <c r="K59" i="23"/>
  <c r="K58" i="23"/>
  <c r="K56" i="23"/>
  <c r="K54" i="23"/>
  <c r="K53" i="23"/>
  <c r="K52" i="23"/>
  <c r="K51" i="23"/>
  <c r="K45" i="23"/>
  <c r="K44" i="23"/>
  <c r="K43" i="23"/>
  <c r="K42" i="23"/>
  <c r="K41" i="23"/>
  <c r="K39" i="23"/>
  <c r="K38" i="23"/>
  <c r="K37" i="23"/>
  <c r="K36" i="23"/>
  <c r="K35" i="23"/>
  <c r="K31" i="23"/>
  <c r="K32" i="23"/>
  <c r="K33" i="23"/>
  <c r="K30" i="23"/>
  <c r="K29" i="23"/>
  <c r="K28" i="23"/>
  <c r="K27" i="23"/>
  <c r="K26" i="23"/>
  <c r="K25" i="23"/>
  <c r="K24" i="23"/>
  <c r="I123" i="2"/>
  <c r="J123" i="2"/>
  <c r="E82" i="25"/>
  <c r="B83" i="25"/>
  <c r="F83" i="25"/>
  <c r="D82" i="25"/>
  <c r="G135" i="1"/>
  <c r="L225" i="7"/>
  <c r="M225" i="7"/>
  <c r="N225" i="7"/>
  <c r="J223" i="7"/>
  <c r="K225" i="7"/>
  <c r="B223" i="7"/>
  <c r="B11" i="7"/>
  <c r="H165" i="7"/>
  <c r="K168" i="7"/>
  <c r="J130" i="7"/>
  <c r="J129" i="7"/>
  <c r="J128" i="7"/>
  <c r="J127" i="7"/>
  <c r="J126" i="7"/>
  <c r="J125" i="7"/>
  <c r="J124" i="7"/>
  <c r="M120" i="7"/>
  <c r="K83" i="23"/>
  <c r="H140" i="6"/>
  <c r="E1042" i="1"/>
  <c r="J130" i="4"/>
  <c r="I130" i="4"/>
  <c r="H47" i="4"/>
  <c r="E1024" i="1"/>
  <c r="K116" i="23"/>
  <c r="G85" i="13"/>
  <c r="E1063" i="1"/>
  <c r="G89" i="13"/>
  <c r="E1064" i="1"/>
  <c r="K286" i="23"/>
  <c r="J31" i="2"/>
  <c r="J119" i="7"/>
  <c r="G89" i="3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J116" i="7"/>
  <c r="J117" i="7"/>
  <c r="J118" i="7"/>
  <c r="N51" i="14"/>
  <c r="M51" i="14"/>
  <c r="I11" i="15"/>
  <c r="G42" i="15"/>
  <c r="E1055" i="1"/>
  <c r="G48" i="15"/>
  <c r="E1057" i="1"/>
  <c r="G76" i="15"/>
  <c r="E1058" i="1"/>
  <c r="G78" i="15"/>
  <c r="E1059" i="1"/>
  <c r="G82" i="15"/>
  <c r="E1060" i="1"/>
  <c r="G84" i="15"/>
  <c r="E1061" i="1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B52" i="14"/>
  <c r="B53" i="14"/>
  <c r="B54" i="14"/>
  <c r="B55" i="14"/>
  <c r="B56" i="14"/>
  <c r="B57" i="14"/>
  <c r="B58" i="14"/>
  <c r="B59" i="14"/>
  <c r="B60" i="14"/>
  <c r="B61" i="14"/>
  <c r="B62" i="14"/>
  <c r="B63" i="14"/>
  <c r="B64" i="14"/>
  <c r="B65" i="14"/>
  <c r="B66" i="14"/>
  <c r="B67" i="14"/>
  <c r="B68" i="14"/>
  <c r="B69" i="14"/>
  <c r="B70" i="14"/>
  <c r="B71" i="14"/>
  <c r="B72" i="14"/>
  <c r="B73" i="14"/>
  <c r="B74" i="14"/>
  <c r="B75" i="14"/>
  <c r="B76" i="14"/>
  <c r="B77" i="14"/>
  <c r="B78" i="14"/>
  <c r="B79" i="14"/>
  <c r="B80" i="14"/>
  <c r="B81" i="14"/>
  <c r="B82" i="14"/>
  <c r="B83" i="14"/>
  <c r="B84" i="14"/>
  <c r="B85" i="14"/>
  <c r="B86" i="14"/>
  <c r="B87" i="14"/>
  <c r="B88" i="14"/>
  <c r="A97" i="14"/>
  <c r="A98" i="14"/>
  <c r="A99" i="14"/>
  <c r="A100" i="14"/>
  <c r="A101" i="14"/>
  <c r="A102" i="14"/>
  <c r="A103" i="14"/>
  <c r="A104" i="14"/>
  <c r="A105" i="14"/>
  <c r="A106" i="14"/>
  <c r="A107" i="14"/>
  <c r="A108" i="14"/>
  <c r="A109" i="14"/>
  <c r="A110" i="14"/>
  <c r="A111" i="14"/>
  <c r="A112" i="14"/>
  <c r="A113" i="14"/>
  <c r="A114" i="14"/>
  <c r="A115" i="14"/>
  <c r="A116" i="14"/>
  <c r="A117" i="14"/>
  <c r="A118" i="14"/>
  <c r="A119" i="14"/>
  <c r="A120" i="14"/>
  <c r="A121" i="14"/>
  <c r="A122" i="14"/>
  <c r="A123" i="14"/>
  <c r="A124" i="14"/>
  <c r="A125" i="14"/>
  <c r="A126" i="14"/>
  <c r="A127" i="14"/>
  <c r="A128" i="14"/>
  <c r="A129" i="14"/>
  <c r="A130" i="14"/>
  <c r="A131" i="14"/>
  <c r="A132" i="14"/>
  <c r="A133" i="14"/>
  <c r="B97" i="14"/>
  <c r="B98" i="14"/>
  <c r="B99" i="14"/>
  <c r="B100" i="14"/>
  <c r="B101" i="14"/>
  <c r="B102" i="14"/>
  <c r="B103" i="14"/>
  <c r="B104" i="14"/>
  <c r="B105" i="14"/>
  <c r="B106" i="14"/>
  <c r="B107" i="14"/>
  <c r="B108" i="14"/>
  <c r="B109" i="14"/>
  <c r="B110" i="14"/>
  <c r="B111" i="14"/>
  <c r="B112" i="14"/>
  <c r="B113" i="14"/>
  <c r="B114" i="14"/>
  <c r="B115" i="14"/>
  <c r="B116" i="14"/>
  <c r="B117" i="14"/>
  <c r="B118" i="14"/>
  <c r="B119" i="14"/>
  <c r="B120" i="14"/>
  <c r="B121" i="14"/>
  <c r="B122" i="14"/>
  <c r="B123" i="14"/>
  <c r="B124" i="14"/>
  <c r="B125" i="14"/>
  <c r="B126" i="14"/>
  <c r="B127" i="14"/>
  <c r="B128" i="14"/>
  <c r="B129" i="14"/>
  <c r="B130" i="14"/>
  <c r="B131" i="14"/>
  <c r="B132" i="14"/>
  <c r="B133" i="14"/>
  <c r="K308" i="23"/>
  <c r="I14" i="5"/>
  <c r="J10" i="3"/>
  <c r="K115" i="23"/>
  <c r="H89" i="3"/>
  <c r="I89" i="3"/>
  <c r="J89" i="3"/>
  <c r="K89" i="3"/>
  <c r="L89" i="3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C238" i="1"/>
  <c r="D238" i="1"/>
  <c r="E238" i="1"/>
  <c r="F238" i="1"/>
  <c r="G238" i="1"/>
  <c r="H238" i="1"/>
  <c r="I238" i="1"/>
  <c r="J238" i="1"/>
  <c r="K238" i="1"/>
  <c r="L238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C390" i="1"/>
  <c r="C392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C494" i="1"/>
  <c r="A627" i="1"/>
  <c r="B627" i="1"/>
  <c r="B628" i="1"/>
  <c r="C847" i="1"/>
  <c r="D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915" i="1"/>
  <c r="E1020" i="1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B9" i="11"/>
  <c r="F217" i="23"/>
  <c r="I9" i="11"/>
  <c r="C247" i="23"/>
  <c r="K259" i="23"/>
  <c r="B122" i="6"/>
  <c r="H142" i="6"/>
  <c r="E1043" i="1"/>
  <c r="B174" i="6"/>
  <c r="J10" i="4"/>
  <c r="K67" i="4"/>
  <c r="K68" i="4"/>
  <c r="G130" i="4"/>
  <c r="H130" i="4"/>
  <c r="A214" i="7"/>
  <c r="B178" i="7"/>
  <c r="B179" i="7"/>
  <c r="B180" i="7"/>
  <c r="B181" i="7"/>
  <c r="B182" i="7"/>
  <c r="B183" i="7"/>
  <c r="B184" i="7"/>
  <c r="B185" i="7"/>
  <c r="B186" i="7"/>
  <c r="B187" i="7"/>
  <c r="B188" i="7"/>
  <c r="B189" i="7"/>
  <c r="B190" i="7"/>
  <c r="B191" i="7"/>
  <c r="B192" i="7"/>
  <c r="B193" i="7"/>
  <c r="B194" i="7"/>
  <c r="B195" i="7"/>
  <c r="B196" i="7"/>
  <c r="B197" i="7"/>
  <c r="B198" i="7"/>
  <c r="B199" i="7"/>
  <c r="B200" i="7"/>
  <c r="B201" i="7"/>
  <c r="B202" i="7"/>
  <c r="B203" i="7"/>
  <c r="B204" i="7"/>
  <c r="B205" i="7"/>
  <c r="B206" i="7"/>
  <c r="B207" i="7"/>
  <c r="B208" i="7"/>
  <c r="B209" i="7"/>
  <c r="B210" i="7"/>
  <c r="B211" i="7"/>
  <c r="B212" i="7"/>
  <c r="B213" i="7"/>
  <c r="B214" i="7"/>
  <c r="A226" i="7"/>
  <c r="A227" i="7"/>
  <c r="A228" i="7"/>
  <c r="A229" i="7"/>
  <c r="A230" i="7"/>
  <c r="A231" i="7"/>
  <c r="A232" i="7"/>
  <c r="A233" i="7"/>
  <c r="A234" i="7"/>
  <c r="A235" i="7"/>
  <c r="A236" i="7"/>
  <c r="A237" i="7"/>
  <c r="A238" i="7"/>
  <c r="A239" i="7"/>
  <c r="A240" i="7"/>
  <c r="A241" i="7"/>
  <c r="A242" i="7"/>
  <c r="A243" i="7"/>
  <c r="A244" i="7"/>
  <c r="A245" i="7"/>
  <c r="A246" i="7"/>
  <c r="A247" i="7"/>
  <c r="A248" i="7"/>
  <c r="A249" i="7"/>
  <c r="A250" i="7"/>
  <c r="A251" i="7"/>
  <c r="A252" i="7"/>
  <c r="A253" i="7"/>
  <c r="A254" i="7"/>
  <c r="A255" i="7"/>
  <c r="A256" i="7"/>
  <c r="A257" i="7"/>
  <c r="A258" i="7"/>
  <c r="A259" i="7"/>
  <c r="A260" i="7"/>
  <c r="A261" i="7"/>
  <c r="A262" i="7"/>
  <c r="B226" i="7"/>
  <c r="B227" i="7"/>
  <c r="B228" i="7"/>
  <c r="B229" i="7"/>
  <c r="B230" i="7"/>
  <c r="B231" i="7"/>
  <c r="B232" i="7"/>
  <c r="B233" i="7"/>
  <c r="B234" i="7"/>
  <c r="B235" i="7"/>
  <c r="B236" i="7"/>
  <c r="B237" i="7"/>
  <c r="B238" i="7"/>
  <c r="B239" i="7"/>
  <c r="B240" i="7"/>
  <c r="B241" i="7"/>
  <c r="B242" i="7"/>
  <c r="B243" i="7"/>
  <c r="B244" i="7"/>
  <c r="B245" i="7"/>
  <c r="B246" i="7"/>
  <c r="B247" i="7"/>
  <c r="B248" i="7"/>
  <c r="B249" i="7"/>
  <c r="B250" i="7"/>
  <c r="B251" i="7"/>
  <c r="B252" i="7"/>
  <c r="B253" i="7"/>
  <c r="B254" i="7"/>
  <c r="B255" i="7"/>
  <c r="B256" i="7"/>
  <c r="B257" i="7"/>
  <c r="B258" i="7"/>
  <c r="B259" i="7"/>
  <c r="B260" i="7"/>
  <c r="B261" i="7"/>
  <c r="B262" i="7"/>
  <c r="I12" i="10"/>
  <c r="J124" i="2"/>
  <c r="I124" i="2"/>
  <c r="E83" i="25"/>
  <c r="B425" i="11"/>
  <c r="A425" i="11"/>
  <c r="D83" i="25"/>
  <c r="B84" i="25"/>
  <c r="F84" i="25"/>
  <c r="K111" i="23"/>
  <c r="F126" i="3"/>
  <c r="K114" i="23"/>
  <c r="C585" i="6"/>
  <c r="K258" i="23"/>
  <c r="K280" i="23"/>
  <c r="H134" i="6"/>
  <c r="E1040" i="1"/>
  <c r="K109" i="23"/>
  <c r="K112" i="23"/>
  <c r="K122" i="23"/>
  <c r="C584" i="6"/>
  <c r="K307" i="23"/>
  <c r="H162" i="7"/>
  <c r="K252" i="23"/>
  <c r="H824" i="1"/>
  <c r="K249" i="23"/>
  <c r="D824" i="1"/>
  <c r="H166" i="7"/>
  <c r="G44" i="3"/>
  <c r="E1021" i="1"/>
  <c r="E1047" i="1"/>
  <c r="J91" i="6"/>
  <c r="G152" i="6"/>
  <c r="E1045" i="1"/>
  <c r="E1046" i="1"/>
  <c r="K285" i="23"/>
  <c r="H136" i="6"/>
  <c r="E1041" i="1"/>
  <c r="K281" i="23"/>
  <c r="G83" i="13"/>
  <c r="E1062" i="1"/>
  <c r="K309" i="23"/>
  <c r="G627" i="1"/>
  <c r="G91" i="13"/>
  <c r="E1065" i="1"/>
  <c r="K310" i="23"/>
  <c r="A628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D583" i="6"/>
  <c r="J583" i="6"/>
  <c r="G150" i="6"/>
  <c r="E1044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D584" i="6"/>
  <c r="C583" i="6"/>
  <c r="H627" i="1"/>
  <c r="G40" i="15"/>
  <c r="E1054" i="1"/>
  <c r="K147" i="23"/>
  <c r="G49" i="3"/>
  <c r="E1022" i="1"/>
  <c r="K131" i="23"/>
  <c r="K123" i="23"/>
  <c r="K74" i="23"/>
  <c r="A240" i="1"/>
  <c r="A241" i="1"/>
  <c r="A242" i="1"/>
  <c r="A243" i="1"/>
  <c r="A244" i="1"/>
  <c r="A245" i="1"/>
  <c r="G46" i="15"/>
  <c r="E1056" i="1"/>
  <c r="H45" i="4"/>
  <c r="E1023" i="1"/>
  <c r="D110" i="4"/>
  <c r="I125" i="2"/>
  <c r="J125" i="2"/>
  <c r="B56" i="1"/>
  <c r="E84" i="25"/>
  <c r="E584" i="6"/>
  <c r="E583" i="6"/>
  <c r="B57" i="1"/>
  <c r="J307" i="11"/>
  <c r="E425" i="11"/>
  <c r="C425" i="11"/>
  <c r="F425" i="11"/>
  <c r="D425" i="11"/>
  <c r="B85" i="25"/>
  <c r="F85" i="25"/>
  <c r="D84" i="25"/>
  <c r="E464" i="13"/>
  <c r="H509" i="13"/>
  <c r="K267" i="23"/>
  <c r="J86" i="6"/>
  <c r="K266" i="23"/>
  <c r="F583" i="6"/>
  <c r="I583" i="6"/>
  <c r="G583" i="6"/>
  <c r="E515" i="6"/>
  <c r="D825" i="1"/>
  <c r="L824" i="1"/>
  <c r="H825" i="1"/>
  <c r="E103" i="15"/>
  <c r="H628" i="1"/>
  <c r="G628" i="1"/>
  <c r="A629" i="1"/>
  <c r="H629" i="1"/>
  <c r="C586" i="6"/>
  <c r="D585" i="6"/>
  <c r="C515" i="6"/>
  <c r="I515" i="6"/>
  <c r="A246" i="1"/>
  <c r="G111" i="4"/>
  <c r="D111" i="4"/>
  <c r="H111" i="4"/>
  <c r="F629" i="1"/>
  <c r="J126" i="2"/>
  <c r="I126" i="2"/>
  <c r="K583" i="6"/>
  <c r="E85" i="25"/>
  <c r="H724" i="1"/>
  <c r="H583" i="6"/>
  <c r="G724" i="1"/>
  <c r="E585" i="6"/>
  <c r="E629" i="1"/>
  <c r="F627" i="1"/>
  <c r="J627" i="1"/>
  <c r="I821" i="1"/>
  <c r="I818" i="1"/>
  <c r="I822" i="1"/>
  <c r="I823" i="1"/>
  <c r="I817" i="1"/>
  <c r="I819" i="1"/>
  <c r="E627" i="1"/>
  <c r="F628" i="1"/>
  <c r="J628" i="1"/>
  <c r="E628" i="1"/>
  <c r="E819" i="1"/>
  <c r="E821" i="1"/>
  <c r="E822" i="1"/>
  <c r="E817" i="1"/>
  <c r="E823" i="1"/>
  <c r="E818" i="1"/>
  <c r="I425" i="11"/>
  <c r="H425" i="11"/>
  <c r="C587" i="6"/>
  <c r="E239" i="1"/>
  <c r="D85" i="25"/>
  <c r="B86" i="25"/>
  <c r="F86" i="25"/>
  <c r="H510" i="13"/>
  <c r="J312" i="1"/>
  <c r="G103" i="15"/>
  <c r="G312" i="1"/>
  <c r="E465" i="13"/>
  <c r="E816" i="1"/>
  <c r="E820" i="1"/>
  <c r="E824" i="1"/>
  <c r="G824" i="1"/>
  <c r="I824" i="1"/>
  <c r="J824" i="1"/>
  <c r="J825" i="1"/>
  <c r="K825" i="1"/>
  <c r="I820" i="1"/>
  <c r="I816" i="1"/>
  <c r="K533" i="6"/>
  <c r="E510" i="13"/>
  <c r="E509" i="13"/>
  <c r="G515" i="6"/>
  <c r="L825" i="1"/>
  <c r="E104" i="15"/>
  <c r="F239" i="1"/>
  <c r="L533" i="6"/>
  <c r="L136" i="1"/>
  <c r="G629" i="1"/>
  <c r="A630" i="1"/>
  <c r="D586" i="6"/>
  <c r="H103" i="15"/>
  <c r="A247" i="1"/>
  <c r="G112" i="4"/>
  <c r="H112" i="4"/>
  <c r="D112" i="4"/>
  <c r="F630" i="1"/>
  <c r="A127" i="2"/>
  <c r="I127" i="2"/>
  <c r="B127" i="2"/>
  <c r="J127" i="2"/>
  <c r="K316" i="6"/>
  <c r="E86" i="25"/>
  <c r="E586" i="6"/>
  <c r="C588" i="6"/>
  <c r="L316" i="6"/>
  <c r="M178" i="7"/>
  <c r="N178" i="7"/>
  <c r="D97" i="14"/>
  <c r="E136" i="1"/>
  <c r="E630" i="1"/>
  <c r="L339" i="11"/>
  <c r="M821" i="1"/>
  <c r="N819" i="1"/>
  <c r="N821" i="1"/>
  <c r="M817" i="1"/>
  <c r="N817" i="1"/>
  <c r="M822" i="1"/>
  <c r="M819" i="1"/>
  <c r="N822" i="1"/>
  <c r="M818" i="1"/>
  <c r="N823" i="1"/>
  <c r="N818" i="1"/>
  <c r="M823" i="1"/>
  <c r="B87" i="25"/>
  <c r="F87" i="25"/>
  <c r="D86" i="25"/>
  <c r="I103" i="15"/>
  <c r="H511" i="13"/>
  <c r="E105" i="15"/>
  <c r="G314" i="1"/>
  <c r="G313" i="1"/>
  <c r="K824" i="1"/>
  <c r="N824" i="1"/>
  <c r="E466" i="13"/>
  <c r="I930" i="1"/>
  <c r="E241" i="1"/>
  <c r="F824" i="1"/>
  <c r="M312" i="1"/>
  <c r="I312" i="1"/>
  <c r="E511" i="13"/>
  <c r="J313" i="1"/>
  <c r="E825" i="1"/>
  <c r="G104" i="15"/>
  <c r="I825" i="1"/>
  <c r="J629" i="1"/>
  <c r="H630" i="1"/>
  <c r="A631" i="1"/>
  <c r="G630" i="1"/>
  <c r="F240" i="1"/>
  <c r="H104" i="15"/>
  <c r="D587" i="6"/>
  <c r="E106" i="15"/>
  <c r="G315" i="1"/>
  <c r="A248" i="1"/>
  <c r="I931" i="1"/>
  <c r="D98" i="14"/>
  <c r="E137" i="1"/>
  <c r="G113" i="4"/>
  <c r="H113" i="4"/>
  <c r="D113" i="4"/>
  <c r="B128" i="2"/>
  <c r="J128" i="2"/>
  <c r="D127" i="2"/>
  <c r="F127" i="2"/>
  <c r="A128" i="2"/>
  <c r="I128" i="2"/>
  <c r="C127" i="2"/>
  <c r="G127" i="2"/>
  <c r="E87" i="25"/>
  <c r="E587" i="6"/>
  <c r="F631" i="1"/>
  <c r="E631" i="1"/>
  <c r="M824" i="1"/>
  <c r="F825" i="1"/>
  <c r="G825" i="1"/>
  <c r="C590" i="6"/>
  <c r="C589" i="6"/>
  <c r="D87" i="25"/>
  <c r="B88" i="25"/>
  <c r="F88" i="25"/>
  <c r="B535" i="1"/>
  <c r="I313" i="1"/>
  <c r="M313" i="1"/>
  <c r="G105" i="15"/>
  <c r="H512" i="13"/>
  <c r="F241" i="1"/>
  <c r="E467" i="13"/>
  <c r="M816" i="1"/>
  <c r="M820" i="1"/>
  <c r="N820" i="1"/>
  <c r="N816" i="1"/>
  <c r="I104" i="15"/>
  <c r="E512" i="13"/>
  <c r="J314" i="1"/>
  <c r="A632" i="1"/>
  <c r="G631" i="1"/>
  <c r="H631" i="1"/>
  <c r="J630" i="1"/>
  <c r="D588" i="6"/>
  <c r="H105" i="15"/>
  <c r="I932" i="1"/>
  <c r="E138" i="1"/>
  <c r="D99" i="14"/>
  <c r="A249" i="1"/>
  <c r="E107" i="15"/>
  <c r="G316" i="1"/>
  <c r="I314" i="1"/>
  <c r="H114" i="4"/>
  <c r="D114" i="4"/>
  <c r="G114" i="4"/>
  <c r="G106" i="15"/>
  <c r="E240" i="1"/>
  <c r="E127" i="2"/>
  <c r="J400" i="6"/>
  <c r="J402" i="6"/>
  <c r="G128" i="2"/>
  <c r="C128" i="2"/>
  <c r="H127" i="2"/>
  <c r="K400" i="6"/>
  <c r="K402" i="6"/>
  <c r="D128" i="2"/>
  <c r="F128" i="2"/>
  <c r="E88" i="25"/>
  <c r="C591" i="6"/>
  <c r="E588" i="6"/>
  <c r="M825" i="1"/>
  <c r="N825" i="1"/>
  <c r="F632" i="1"/>
  <c r="E632" i="1"/>
  <c r="B89" i="25"/>
  <c r="F89" i="25"/>
  <c r="D88" i="25"/>
  <c r="I105" i="15"/>
  <c r="J315" i="1"/>
  <c r="H513" i="13"/>
  <c r="M314" i="1"/>
  <c r="E468" i="13"/>
  <c r="E243" i="1"/>
  <c r="K137" i="23"/>
  <c r="E513" i="13"/>
  <c r="F242" i="1"/>
  <c r="G632" i="1"/>
  <c r="H632" i="1"/>
  <c r="A633" i="1"/>
  <c r="J631" i="1"/>
  <c r="H106" i="15"/>
  <c r="D589" i="6"/>
  <c r="A250" i="1"/>
  <c r="I315" i="1"/>
  <c r="E108" i="15"/>
  <c r="G317" i="1"/>
  <c r="D100" i="14"/>
  <c r="I933" i="1"/>
  <c r="E139" i="1"/>
  <c r="G107" i="15"/>
  <c r="H115" i="4"/>
  <c r="D115" i="4"/>
  <c r="G115" i="4"/>
  <c r="I106" i="15"/>
  <c r="E242" i="1"/>
  <c r="H128" i="2"/>
  <c r="E128" i="2"/>
  <c r="E89" i="25"/>
  <c r="E589" i="6"/>
  <c r="F633" i="1"/>
  <c r="E633" i="1"/>
  <c r="F243" i="1"/>
  <c r="D89" i="25"/>
  <c r="B90" i="25"/>
  <c r="F90" i="25"/>
  <c r="J316" i="1"/>
  <c r="H514" i="13"/>
  <c r="E469" i="13"/>
  <c r="M315" i="1"/>
  <c r="E514" i="13"/>
  <c r="G633" i="1"/>
  <c r="H633" i="1"/>
  <c r="A634" i="1"/>
  <c r="J632" i="1"/>
  <c r="D590" i="6"/>
  <c r="H107" i="15"/>
  <c r="I107" i="15"/>
  <c r="D101" i="14"/>
  <c r="E140" i="1"/>
  <c r="I934" i="1"/>
  <c r="I316" i="1"/>
  <c r="C592" i="6"/>
  <c r="E109" i="15"/>
  <c r="G318" i="1"/>
  <c r="G108" i="15"/>
  <c r="A251" i="1"/>
  <c r="G116" i="4"/>
  <c r="H116" i="4"/>
  <c r="D116" i="4"/>
  <c r="E90" i="25"/>
  <c r="E590" i="6"/>
  <c r="F634" i="1"/>
  <c r="E634" i="1"/>
  <c r="B91" i="25"/>
  <c r="F91" i="25"/>
  <c r="D90" i="25"/>
  <c r="H515" i="13"/>
  <c r="F244" i="1"/>
  <c r="E470" i="13"/>
  <c r="M316" i="1"/>
  <c r="E515" i="13"/>
  <c r="H108" i="15"/>
  <c r="I108" i="15"/>
  <c r="A635" i="1"/>
  <c r="H634" i="1"/>
  <c r="G634" i="1"/>
  <c r="J633" i="1"/>
  <c r="D591" i="6"/>
  <c r="E110" i="15"/>
  <c r="G319" i="1"/>
  <c r="G109" i="15"/>
  <c r="I935" i="1"/>
  <c r="D102" i="14"/>
  <c r="E141" i="1"/>
  <c r="C593" i="6"/>
  <c r="A252" i="1"/>
  <c r="I317" i="1"/>
  <c r="D117" i="4"/>
  <c r="H117" i="4"/>
  <c r="G117" i="4"/>
  <c r="E91" i="25"/>
  <c r="E591" i="6"/>
  <c r="E635" i="1"/>
  <c r="F635" i="1"/>
  <c r="D91" i="25"/>
  <c r="B92" i="25"/>
  <c r="F92" i="25"/>
  <c r="E244" i="1"/>
  <c r="J318" i="1"/>
  <c r="H516" i="13"/>
  <c r="E471" i="13"/>
  <c r="E246" i="1"/>
  <c r="K136" i="23"/>
  <c r="M317" i="1"/>
  <c r="J317" i="1"/>
  <c r="E516" i="13"/>
  <c r="F245" i="1"/>
  <c r="H635" i="1"/>
  <c r="A636" i="1"/>
  <c r="G635" i="1"/>
  <c r="J634" i="1"/>
  <c r="H109" i="15"/>
  <c r="I109" i="15"/>
  <c r="D592" i="6"/>
  <c r="A253" i="1"/>
  <c r="C594" i="6"/>
  <c r="E142" i="1"/>
  <c r="D103" i="14"/>
  <c r="I936" i="1"/>
  <c r="E111" i="15"/>
  <c r="G320" i="1"/>
  <c r="I318" i="1"/>
  <c r="G110" i="15"/>
  <c r="H118" i="4"/>
  <c r="D118" i="4"/>
  <c r="G118" i="4"/>
  <c r="E92" i="25"/>
  <c r="E592" i="6"/>
  <c r="F636" i="1"/>
  <c r="E636" i="1"/>
  <c r="B93" i="25"/>
  <c r="F93" i="25"/>
  <c r="D92" i="25"/>
  <c r="M318" i="1"/>
  <c r="E245" i="1"/>
  <c r="J319" i="1"/>
  <c r="H517" i="13"/>
  <c r="E472" i="13"/>
  <c r="E517" i="13"/>
  <c r="H110" i="15"/>
  <c r="I110" i="15"/>
  <c r="J635" i="1"/>
  <c r="A637" i="1"/>
  <c r="H636" i="1"/>
  <c r="G636" i="1"/>
  <c r="D593" i="6"/>
  <c r="A254" i="1"/>
  <c r="I937" i="1"/>
  <c r="E143" i="1"/>
  <c r="D104" i="14"/>
  <c r="I133" i="4"/>
  <c r="K241" i="1"/>
  <c r="E112" i="15"/>
  <c r="G321" i="1"/>
  <c r="G111" i="15"/>
  <c r="I319" i="1"/>
  <c r="C595" i="6"/>
  <c r="E93" i="25"/>
  <c r="E593" i="6"/>
  <c r="E637" i="1"/>
  <c r="F637" i="1"/>
  <c r="J133" i="4"/>
  <c r="L241" i="1"/>
  <c r="D93" i="25"/>
  <c r="B94" i="25"/>
  <c r="F94" i="25"/>
  <c r="M319" i="1"/>
  <c r="F246" i="1"/>
  <c r="J320" i="1"/>
  <c r="H518" i="13"/>
  <c r="E473" i="13"/>
  <c r="J131" i="4"/>
  <c r="L239" i="1"/>
  <c r="I131" i="4"/>
  <c r="K239" i="1"/>
  <c r="J132" i="4"/>
  <c r="L240" i="1"/>
  <c r="I132" i="4"/>
  <c r="K240" i="1"/>
  <c r="E518" i="13"/>
  <c r="E247" i="1"/>
  <c r="G637" i="1"/>
  <c r="A638" i="1"/>
  <c r="H637" i="1"/>
  <c r="J636" i="1"/>
  <c r="H111" i="15"/>
  <c r="I111" i="15"/>
  <c r="D594" i="6"/>
  <c r="J134" i="4"/>
  <c r="L242" i="1"/>
  <c r="I134" i="4"/>
  <c r="K242" i="1"/>
  <c r="C596" i="6"/>
  <c r="G112" i="15"/>
  <c r="I320" i="1"/>
  <c r="A255" i="1"/>
  <c r="E113" i="15"/>
  <c r="G322" i="1"/>
  <c r="M241" i="1"/>
  <c r="N241" i="1"/>
  <c r="E144" i="1"/>
  <c r="I938" i="1"/>
  <c r="D105" i="14"/>
  <c r="E94" i="25"/>
  <c r="E594" i="6"/>
  <c r="N314" i="1"/>
  <c r="E638" i="1"/>
  <c r="F638" i="1"/>
  <c r="B95" i="25"/>
  <c r="F95" i="25"/>
  <c r="D94" i="25"/>
  <c r="F247" i="1"/>
  <c r="A535" i="1"/>
  <c r="M320" i="1"/>
  <c r="H519" i="13"/>
  <c r="J321" i="1"/>
  <c r="E474" i="13"/>
  <c r="M240" i="1"/>
  <c r="N240" i="1"/>
  <c r="N239" i="1"/>
  <c r="M239" i="1"/>
  <c r="N312" i="1"/>
  <c r="E248" i="1"/>
  <c r="E519" i="13"/>
  <c r="H112" i="15"/>
  <c r="I112" i="15"/>
  <c r="J637" i="1"/>
  <c r="A639" i="1"/>
  <c r="G638" i="1"/>
  <c r="H638" i="1"/>
  <c r="D595" i="6"/>
  <c r="C597" i="6"/>
  <c r="G113" i="15"/>
  <c r="M242" i="1"/>
  <c r="N242" i="1"/>
  <c r="E145" i="1"/>
  <c r="I939" i="1"/>
  <c r="D106" i="14"/>
  <c r="E114" i="15"/>
  <c r="G323" i="1"/>
  <c r="I135" i="4"/>
  <c r="K243" i="1"/>
  <c r="K850" i="1"/>
  <c r="C138" i="1"/>
  <c r="J135" i="4"/>
  <c r="L243" i="1"/>
  <c r="A256" i="1"/>
  <c r="I321" i="1"/>
  <c r="E95" i="25"/>
  <c r="E595" i="6"/>
  <c r="N313" i="1"/>
  <c r="N315" i="1"/>
  <c r="E639" i="1"/>
  <c r="F639" i="1"/>
  <c r="D95" i="25"/>
  <c r="B96" i="25"/>
  <c r="F96" i="25"/>
  <c r="M321" i="1"/>
  <c r="F248" i="1"/>
  <c r="H520" i="13"/>
  <c r="E249" i="1"/>
  <c r="J322" i="1"/>
  <c r="E475" i="13"/>
  <c r="K848" i="1"/>
  <c r="C136" i="1"/>
  <c r="C97" i="14"/>
  <c r="K849" i="1"/>
  <c r="C137" i="1"/>
  <c r="C98" i="14"/>
  <c r="E520" i="13"/>
  <c r="F249" i="1"/>
  <c r="J638" i="1"/>
  <c r="H639" i="1"/>
  <c r="G639" i="1"/>
  <c r="A640" i="1"/>
  <c r="H113" i="15"/>
  <c r="I113" i="15"/>
  <c r="D596" i="6"/>
  <c r="C99" i="14"/>
  <c r="G114" i="15"/>
  <c r="K851" i="1"/>
  <c r="C139" i="1"/>
  <c r="D107" i="14"/>
  <c r="I940" i="1"/>
  <c r="E146" i="1"/>
  <c r="C598" i="6"/>
  <c r="J136" i="4"/>
  <c r="L244" i="1"/>
  <c r="I136" i="4"/>
  <c r="K244" i="1"/>
  <c r="A257" i="1"/>
  <c r="N243" i="1"/>
  <c r="M243" i="1"/>
  <c r="I322" i="1"/>
  <c r="E115" i="15"/>
  <c r="G324" i="1"/>
  <c r="E96" i="25"/>
  <c r="E596" i="6"/>
  <c r="N316" i="1"/>
  <c r="E640" i="1"/>
  <c r="F640" i="1"/>
  <c r="B97" i="25"/>
  <c r="F97" i="25"/>
  <c r="D96" i="25"/>
  <c r="M322" i="1"/>
  <c r="H521" i="13"/>
  <c r="J323" i="1"/>
  <c r="E476" i="13"/>
  <c r="N848" i="1"/>
  <c r="E521" i="13"/>
  <c r="J639" i="1"/>
  <c r="A641" i="1"/>
  <c r="H640" i="1"/>
  <c r="G640" i="1"/>
  <c r="H114" i="15"/>
  <c r="I114" i="15"/>
  <c r="D597" i="6"/>
  <c r="I323" i="1"/>
  <c r="K852" i="1"/>
  <c r="C140" i="1"/>
  <c r="A258" i="1"/>
  <c r="E116" i="15"/>
  <c r="G325" i="1"/>
  <c r="G115" i="15"/>
  <c r="J137" i="4"/>
  <c r="L245" i="1"/>
  <c r="C599" i="6"/>
  <c r="C100" i="14"/>
  <c r="I137" i="4"/>
  <c r="K245" i="1"/>
  <c r="M244" i="1"/>
  <c r="N244" i="1"/>
  <c r="E147" i="1"/>
  <c r="D108" i="14"/>
  <c r="I941" i="1"/>
  <c r="E97" i="25"/>
  <c r="E597" i="6"/>
  <c r="N317" i="1"/>
  <c r="F250" i="1"/>
  <c r="E641" i="1"/>
  <c r="F641" i="1"/>
  <c r="D97" i="25"/>
  <c r="B98" i="25"/>
  <c r="F98" i="25"/>
  <c r="M323" i="1"/>
  <c r="H522" i="13"/>
  <c r="J324" i="1"/>
  <c r="E477" i="13"/>
  <c r="F251" i="1"/>
  <c r="E522" i="13"/>
  <c r="A642" i="1"/>
  <c r="G641" i="1"/>
  <c r="H641" i="1"/>
  <c r="J640" i="1"/>
  <c r="E250" i="1"/>
  <c r="D598" i="6"/>
  <c r="H115" i="15"/>
  <c r="I115" i="15"/>
  <c r="A259" i="1"/>
  <c r="K853" i="1"/>
  <c r="C141" i="1"/>
  <c r="E117" i="15"/>
  <c r="G326" i="1"/>
  <c r="I138" i="4"/>
  <c r="K246" i="1"/>
  <c r="I324" i="1"/>
  <c r="J138" i="4"/>
  <c r="L246" i="1"/>
  <c r="C600" i="6"/>
  <c r="G116" i="15"/>
  <c r="N245" i="1"/>
  <c r="M245" i="1"/>
  <c r="E148" i="1"/>
  <c r="D109" i="14"/>
  <c r="I942" i="1"/>
  <c r="C101" i="14"/>
  <c r="J226" i="7"/>
  <c r="E98" i="25"/>
  <c r="E598" i="6"/>
  <c r="N318" i="1"/>
  <c r="E642" i="1"/>
  <c r="F642" i="1"/>
  <c r="B99" i="25"/>
  <c r="D98" i="25"/>
  <c r="M324" i="1"/>
  <c r="E251" i="1"/>
  <c r="H523" i="13"/>
  <c r="F252" i="1"/>
  <c r="J325" i="1"/>
  <c r="E252" i="1"/>
  <c r="E478" i="13"/>
  <c r="F253" i="1"/>
  <c r="L226" i="7"/>
  <c r="G136" i="1"/>
  <c r="E523" i="13"/>
  <c r="A643" i="1"/>
  <c r="G642" i="1"/>
  <c r="H642" i="1"/>
  <c r="J641" i="1"/>
  <c r="H116" i="15"/>
  <c r="I116" i="15"/>
  <c r="D599" i="6"/>
  <c r="E643" i="1"/>
  <c r="I325" i="1"/>
  <c r="C102" i="14"/>
  <c r="M246" i="1"/>
  <c r="N246" i="1"/>
  <c r="E149" i="1"/>
  <c r="I943" i="1"/>
  <c r="D110" i="14"/>
  <c r="K854" i="1"/>
  <c r="C142" i="1"/>
  <c r="A260" i="1"/>
  <c r="C601" i="6"/>
  <c r="G117" i="15"/>
  <c r="E118" i="15"/>
  <c r="G327" i="1"/>
  <c r="I139" i="4"/>
  <c r="K247" i="1"/>
  <c r="J139" i="4"/>
  <c r="L247" i="1"/>
  <c r="F99" i="25"/>
  <c r="E99" i="25"/>
  <c r="E599" i="6"/>
  <c r="N319" i="1"/>
  <c r="F643" i="1"/>
  <c r="D99" i="25"/>
  <c r="B100" i="25"/>
  <c r="M325" i="1"/>
  <c r="H524" i="13"/>
  <c r="J326" i="1"/>
  <c r="E479" i="13"/>
  <c r="F254" i="1"/>
  <c r="M226" i="7"/>
  <c r="H136" i="1"/>
  <c r="F136" i="1"/>
  <c r="N226" i="7"/>
  <c r="F97" i="14"/>
  <c r="E524" i="13"/>
  <c r="H117" i="15"/>
  <c r="I117" i="15"/>
  <c r="G643" i="1"/>
  <c r="H643" i="1"/>
  <c r="A644" i="1"/>
  <c r="J642" i="1"/>
  <c r="D600" i="6"/>
  <c r="E644" i="1"/>
  <c r="J140" i="4"/>
  <c r="L248" i="1"/>
  <c r="C602" i="6"/>
  <c r="A261" i="1"/>
  <c r="M247" i="1"/>
  <c r="N247" i="1"/>
  <c r="I140" i="4"/>
  <c r="K248" i="1"/>
  <c r="D111" i="14"/>
  <c r="I944" i="1"/>
  <c r="E150" i="1"/>
  <c r="C103" i="14"/>
  <c r="I326" i="1"/>
  <c r="G118" i="15"/>
  <c r="E119" i="15"/>
  <c r="G328" i="1"/>
  <c r="C104" i="14"/>
  <c r="K855" i="1"/>
  <c r="C143" i="1"/>
  <c r="F100" i="25"/>
  <c r="E100" i="25"/>
  <c r="E600" i="6"/>
  <c r="N320" i="1"/>
  <c r="F644" i="1"/>
  <c r="M326" i="1"/>
  <c r="B101" i="25"/>
  <c r="D100" i="25"/>
  <c r="E253" i="1"/>
  <c r="H525" i="13"/>
  <c r="J327" i="1"/>
  <c r="E480" i="13"/>
  <c r="E525" i="13"/>
  <c r="H118" i="15"/>
  <c r="I118" i="15"/>
  <c r="J643" i="1"/>
  <c r="G644" i="1"/>
  <c r="A645" i="1"/>
  <c r="H644" i="1"/>
  <c r="D601" i="6"/>
  <c r="E645" i="1"/>
  <c r="J141" i="4"/>
  <c r="L249" i="1"/>
  <c r="M248" i="1"/>
  <c r="N248" i="1"/>
  <c r="A262" i="1"/>
  <c r="I141" i="4"/>
  <c r="K249" i="1"/>
  <c r="D112" i="14"/>
  <c r="I945" i="1"/>
  <c r="E151" i="1"/>
  <c r="C603" i="6"/>
  <c r="I327" i="1"/>
  <c r="K856" i="1"/>
  <c r="C144" i="1"/>
  <c r="C105" i="14"/>
  <c r="G119" i="15"/>
  <c r="E120" i="15"/>
  <c r="G329" i="1"/>
  <c r="E101" i="25"/>
  <c r="F101" i="25"/>
  <c r="E601" i="6"/>
  <c r="N321" i="1"/>
  <c r="F645" i="1"/>
  <c r="D101" i="25"/>
  <c r="B102" i="25"/>
  <c r="M327" i="1"/>
  <c r="H526" i="13"/>
  <c r="J328" i="1"/>
  <c r="E481" i="13"/>
  <c r="E256" i="1"/>
  <c r="E526" i="13"/>
  <c r="A646" i="1"/>
  <c r="G645" i="1"/>
  <c r="H645" i="1"/>
  <c r="J644" i="1"/>
  <c r="D602" i="6"/>
  <c r="H119" i="15"/>
  <c r="I119" i="15"/>
  <c r="E646" i="1"/>
  <c r="N249" i="1"/>
  <c r="M249" i="1"/>
  <c r="A263" i="1"/>
  <c r="K857" i="1"/>
  <c r="C145" i="1"/>
  <c r="C106" i="14"/>
  <c r="J142" i="4"/>
  <c r="L250" i="1"/>
  <c r="I328" i="1"/>
  <c r="D113" i="14"/>
  <c r="I946" i="1"/>
  <c r="E152" i="1"/>
  <c r="G120" i="15"/>
  <c r="C604" i="6"/>
  <c r="I142" i="4"/>
  <c r="K250" i="1"/>
  <c r="E121" i="15"/>
  <c r="G330" i="1"/>
  <c r="F102" i="25"/>
  <c r="E102" i="25"/>
  <c r="E602" i="6"/>
  <c r="N322" i="1"/>
  <c r="F646" i="1"/>
  <c r="B103" i="25"/>
  <c r="D102" i="25"/>
  <c r="M328" i="1"/>
  <c r="H527" i="13"/>
  <c r="J329" i="1"/>
  <c r="E482" i="13"/>
  <c r="F255" i="1"/>
  <c r="E254" i="1"/>
  <c r="E527" i="13"/>
  <c r="H646" i="1"/>
  <c r="G646" i="1"/>
  <c r="A647" i="1"/>
  <c r="J645" i="1"/>
  <c r="D603" i="6"/>
  <c r="H120" i="15"/>
  <c r="I120" i="15"/>
  <c r="E647" i="1"/>
  <c r="C605" i="6"/>
  <c r="E153" i="1"/>
  <c r="I947" i="1"/>
  <c r="D114" i="14"/>
  <c r="I329" i="1"/>
  <c r="J143" i="4"/>
  <c r="L251" i="1"/>
  <c r="I143" i="4"/>
  <c r="K251" i="1"/>
  <c r="E122" i="15"/>
  <c r="G331" i="1"/>
  <c r="A264" i="1"/>
  <c r="G121" i="15"/>
  <c r="N250" i="1"/>
  <c r="M250" i="1"/>
  <c r="C107" i="14"/>
  <c r="K858" i="1"/>
  <c r="C146" i="1"/>
  <c r="F103" i="25"/>
  <c r="E103" i="25"/>
  <c r="E603" i="6"/>
  <c r="N323" i="1"/>
  <c r="F647" i="1"/>
  <c r="D103" i="25"/>
  <c r="B104" i="25"/>
  <c r="M329" i="1"/>
  <c r="H528" i="13"/>
  <c r="J330" i="1"/>
  <c r="E483" i="13"/>
  <c r="E255" i="1"/>
  <c r="E528" i="13"/>
  <c r="J646" i="1"/>
  <c r="H647" i="1"/>
  <c r="G647" i="1"/>
  <c r="A648" i="1"/>
  <c r="H121" i="15"/>
  <c r="I121" i="15"/>
  <c r="D604" i="6"/>
  <c r="E648" i="1"/>
  <c r="F648" i="1"/>
  <c r="A265" i="1"/>
  <c r="C606" i="6"/>
  <c r="C108" i="14"/>
  <c r="K859" i="1"/>
  <c r="C147" i="1"/>
  <c r="I144" i="4"/>
  <c r="K252" i="1"/>
  <c r="J144" i="4"/>
  <c r="L252" i="1"/>
  <c r="D115" i="14"/>
  <c r="E154" i="1"/>
  <c r="I948" i="1"/>
  <c r="G122" i="15"/>
  <c r="M251" i="1"/>
  <c r="N251" i="1"/>
  <c r="I330" i="1"/>
  <c r="E123" i="15"/>
  <c r="G332" i="1"/>
  <c r="F104" i="25"/>
  <c r="E104" i="25"/>
  <c r="E604" i="6"/>
  <c r="N324" i="1"/>
  <c r="B105" i="25"/>
  <c r="D104" i="25"/>
  <c r="M330" i="1"/>
  <c r="H529" i="13"/>
  <c r="J331" i="1"/>
  <c r="F256" i="1"/>
  <c r="E484" i="13"/>
  <c r="E529" i="13"/>
  <c r="J647" i="1"/>
  <c r="H648" i="1"/>
  <c r="G648" i="1"/>
  <c r="A649" i="1"/>
  <c r="D605" i="6"/>
  <c r="H122" i="15"/>
  <c r="I122" i="15"/>
  <c r="E649" i="1"/>
  <c r="F649" i="1"/>
  <c r="N252" i="1"/>
  <c r="M252" i="1"/>
  <c r="C109" i="14"/>
  <c r="K860" i="1"/>
  <c r="C148" i="1"/>
  <c r="C607" i="6"/>
  <c r="A266" i="1"/>
  <c r="I331" i="1"/>
  <c r="J145" i="4"/>
  <c r="L253" i="1"/>
  <c r="E155" i="1"/>
  <c r="D116" i="14"/>
  <c r="I949" i="1"/>
  <c r="I145" i="4"/>
  <c r="K253" i="1"/>
  <c r="E124" i="15"/>
  <c r="G333" i="1"/>
  <c r="G123" i="15"/>
  <c r="F105" i="25"/>
  <c r="E105" i="25"/>
  <c r="E605" i="6"/>
  <c r="N325" i="1"/>
  <c r="D105" i="25"/>
  <c r="B106" i="25"/>
  <c r="M331" i="1"/>
  <c r="H530" i="13"/>
  <c r="J332" i="1"/>
  <c r="E259" i="1"/>
  <c r="E485" i="13"/>
  <c r="F257" i="1"/>
  <c r="F260" i="1"/>
  <c r="E257" i="1"/>
  <c r="F258" i="1"/>
  <c r="E258" i="1"/>
  <c r="E530" i="13"/>
  <c r="J648" i="1"/>
  <c r="A650" i="1"/>
  <c r="G649" i="1"/>
  <c r="H649" i="1"/>
  <c r="D606" i="6"/>
  <c r="H123" i="15"/>
  <c r="I123" i="15"/>
  <c r="F650" i="1"/>
  <c r="E650" i="1"/>
  <c r="I146" i="4"/>
  <c r="K254" i="1"/>
  <c r="J146" i="4"/>
  <c r="L254" i="1"/>
  <c r="E125" i="15"/>
  <c r="G334" i="1"/>
  <c r="G124" i="15"/>
  <c r="I332" i="1"/>
  <c r="M253" i="1"/>
  <c r="N253" i="1"/>
  <c r="A267" i="1"/>
  <c r="D117" i="14"/>
  <c r="E156" i="1"/>
  <c r="I950" i="1"/>
  <c r="C608" i="6"/>
  <c r="C110" i="14"/>
  <c r="K861" i="1"/>
  <c r="C149" i="1"/>
  <c r="F106" i="25"/>
  <c r="E106" i="25"/>
  <c r="E606" i="6"/>
  <c r="N326" i="1"/>
  <c r="B107" i="25"/>
  <c r="D106" i="25"/>
  <c r="M332" i="1"/>
  <c r="H531" i="13"/>
  <c r="J333" i="1"/>
  <c r="F259" i="1"/>
  <c r="E486" i="13"/>
  <c r="E531" i="13"/>
  <c r="H650" i="1"/>
  <c r="G650" i="1"/>
  <c r="A651" i="1"/>
  <c r="J649" i="1"/>
  <c r="H124" i="15"/>
  <c r="I124" i="15"/>
  <c r="D607" i="6"/>
  <c r="E651" i="1"/>
  <c r="F651" i="1"/>
  <c r="I333" i="1"/>
  <c r="N254" i="1"/>
  <c r="M254" i="1"/>
  <c r="C609" i="6"/>
  <c r="A268" i="1"/>
  <c r="G125" i="15"/>
  <c r="E126" i="15"/>
  <c r="G335" i="1"/>
  <c r="J147" i="4"/>
  <c r="L255" i="1"/>
  <c r="I147" i="4"/>
  <c r="K255" i="1"/>
  <c r="D118" i="14"/>
  <c r="I951" i="1"/>
  <c r="E157" i="1"/>
  <c r="K862" i="1"/>
  <c r="C150" i="1"/>
  <c r="C111" i="14"/>
  <c r="C156" i="4"/>
  <c r="F107" i="25"/>
  <c r="E107" i="25"/>
  <c r="E607" i="6"/>
  <c r="N327" i="1"/>
  <c r="D107" i="25"/>
  <c r="B108" i="25"/>
  <c r="H532" i="13"/>
  <c r="M333" i="1"/>
  <c r="J334" i="1"/>
  <c r="F261" i="1"/>
  <c r="E487" i="13"/>
  <c r="C115" i="3"/>
  <c r="F262" i="1"/>
  <c r="E261" i="1"/>
  <c r="E115" i="3"/>
  <c r="E532" i="13"/>
  <c r="A652" i="1"/>
  <c r="H651" i="1"/>
  <c r="G651" i="1"/>
  <c r="J650" i="1"/>
  <c r="H125" i="15"/>
  <c r="I125" i="15"/>
  <c r="D608" i="6"/>
  <c r="F652" i="1"/>
  <c r="E652" i="1"/>
  <c r="I334" i="1"/>
  <c r="E127" i="15"/>
  <c r="G336" i="1"/>
  <c r="J148" i="4"/>
  <c r="L256" i="1"/>
  <c r="G126" i="15"/>
  <c r="E158" i="1"/>
  <c r="D119" i="14"/>
  <c r="I952" i="1"/>
  <c r="K863" i="1"/>
  <c r="C151" i="1"/>
  <c r="C112" i="14"/>
  <c r="I148" i="4"/>
  <c r="K256" i="1"/>
  <c r="A269" i="1"/>
  <c r="C610" i="6"/>
  <c r="M255" i="1"/>
  <c r="N255" i="1"/>
  <c r="C157" i="4"/>
  <c r="F108" i="25"/>
  <c r="E108" i="25"/>
  <c r="E608" i="6"/>
  <c r="N328" i="1"/>
  <c r="C692" i="5"/>
  <c r="B109" i="25"/>
  <c r="D108" i="25"/>
  <c r="M334" i="1"/>
  <c r="H533" i="13"/>
  <c r="J335" i="1"/>
  <c r="E488" i="13"/>
  <c r="C116" i="3"/>
  <c r="E260" i="1"/>
  <c r="E116" i="3"/>
  <c r="E533" i="13"/>
  <c r="A653" i="1"/>
  <c r="G652" i="1"/>
  <c r="H652" i="1"/>
  <c r="J651" i="1"/>
  <c r="D609" i="6"/>
  <c r="H126" i="15"/>
  <c r="I126" i="15"/>
  <c r="E653" i="1"/>
  <c r="F653" i="1"/>
  <c r="I335" i="1"/>
  <c r="N256" i="1"/>
  <c r="M256" i="1"/>
  <c r="J149" i="4"/>
  <c r="L257" i="1"/>
  <c r="E128" i="15"/>
  <c r="G337" i="1"/>
  <c r="A270" i="1"/>
  <c r="G127" i="15"/>
  <c r="C113" i="14"/>
  <c r="K864" i="1"/>
  <c r="C152" i="1"/>
  <c r="C611" i="6"/>
  <c r="I953" i="1"/>
  <c r="D120" i="14"/>
  <c r="E159" i="1"/>
  <c r="I149" i="4"/>
  <c r="K257" i="1"/>
  <c r="C158" i="4"/>
  <c r="E109" i="25"/>
  <c r="F109" i="25"/>
  <c r="E609" i="6"/>
  <c r="N329" i="1"/>
  <c r="D692" i="5"/>
  <c r="D109" i="25"/>
  <c r="B110" i="25"/>
  <c r="M335" i="1"/>
  <c r="H534" i="13"/>
  <c r="J336" i="1"/>
  <c r="E489" i="13"/>
  <c r="C117" i="3"/>
  <c r="E263" i="1"/>
  <c r="E117" i="3"/>
  <c r="E534" i="13"/>
  <c r="H653" i="1"/>
  <c r="A654" i="1"/>
  <c r="G653" i="1"/>
  <c r="J652" i="1"/>
  <c r="H127" i="15"/>
  <c r="I127" i="15"/>
  <c r="D610" i="6"/>
  <c r="E654" i="1"/>
  <c r="F654" i="1"/>
  <c r="I150" i="4"/>
  <c r="K258" i="1"/>
  <c r="E129" i="15"/>
  <c r="G338" i="1"/>
  <c r="M257" i="1"/>
  <c r="N257" i="1"/>
  <c r="C114" i="14"/>
  <c r="K865" i="1"/>
  <c r="C153" i="1"/>
  <c r="J150" i="4"/>
  <c r="L258" i="1"/>
  <c r="A271" i="1"/>
  <c r="I336" i="1"/>
  <c r="C612" i="6"/>
  <c r="D121" i="14"/>
  <c r="E160" i="1"/>
  <c r="I954" i="1"/>
  <c r="G128" i="15"/>
  <c r="C159" i="4"/>
  <c r="F110" i="25"/>
  <c r="E110" i="25"/>
  <c r="E610" i="6"/>
  <c r="N330" i="1"/>
  <c r="B111" i="25"/>
  <c r="D110" i="25"/>
  <c r="M336" i="1"/>
  <c r="H535" i="13"/>
  <c r="J337" i="1"/>
  <c r="E262" i="1"/>
  <c r="F264" i="1"/>
  <c r="F263" i="1"/>
  <c r="E490" i="13"/>
  <c r="C118" i="3"/>
  <c r="E118" i="3"/>
  <c r="E535" i="13"/>
  <c r="H654" i="1"/>
  <c r="A655" i="1"/>
  <c r="G654" i="1"/>
  <c r="J653" i="1"/>
  <c r="H128" i="15"/>
  <c r="I128" i="15"/>
  <c r="D611" i="6"/>
  <c r="F655" i="1"/>
  <c r="E655" i="1"/>
  <c r="A272" i="1"/>
  <c r="I337" i="1"/>
  <c r="C115" i="14"/>
  <c r="K866" i="1"/>
  <c r="C154" i="1"/>
  <c r="I151" i="4"/>
  <c r="K259" i="1"/>
  <c r="E130" i="15"/>
  <c r="G339" i="1"/>
  <c r="C613" i="6"/>
  <c r="J151" i="4"/>
  <c r="L259" i="1"/>
  <c r="G129" i="15"/>
  <c r="M258" i="1"/>
  <c r="N258" i="1"/>
  <c r="E161" i="1"/>
  <c r="D122" i="14"/>
  <c r="I955" i="1"/>
  <c r="C160" i="4"/>
  <c r="F111" i="25"/>
  <c r="E111" i="25"/>
  <c r="E611" i="6"/>
  <c r="N331" i="1"/>
  <c r="D111" i="25"/>
  <c r="B112" i="25"/>
  <c r="M337" i="1"/>
  <c r="H536" i="13"/>
  <c r="J338" i="1"/>
  <c r="E491" i="13"/>
  <c r="C119" i="3"/>
  <c r="E266" i="1"/>
  <c r="E119" i="3"/>
  <c r="E536" i="13"/>
  <c r="H129" i="15"/>
  <c r="I129" i="15"/>
  <c r="H655" i="1"/>
  <c r="G655" i="1"/>
  <c r="A656" i="1"/>
  <c r="J654" i="1"/>
  <c r="D612" i="6"/>
  <c r="E656" i="1"/>
  <c r="F656" i="1"/>
  <c r="C614" i="6"/>
  <c r="I338" i="1"/>
  <c r="J152" i="4"/>
  <c r="L260" i="1"/>
  <c r="K867" i="1"/>
  <c r="C155" i="1"/>
  <c r="C116" i="14"/>
  <c r="I152" i="4"/>
  <c r="K260" i="1"/>
  <c r="E131" i="15"/>
  <c r="G340" i="1"/>
  <c r="N259" i="1"/>
  <c r="M259" i="1"/>
  <c r="I956" i="1"/>
  <c r="E162" i="1"/>
  <c r="D123" i="14"/>
  <c r="G130" i="15"/>
  <c r="A273" i="1"/>
  <c r="C161" i="4"/>
  <c r="F112" i="25"/>
  <c r="E112" i="25"/>
  <c r="E612" i="6"/>
  <c r="N332" i="1"/>
  <c r="B113" i="25"/>
  <c r="D112" i="25"/>
  <c r="M338" i="1"/>
  <c r="H537" i="13"/>
  <c r="F266" i="1"/>
  <c r="J339" i="1"/>
  <c r="E264" i="1"/>
  <c r="E492" i="13"/>
  <c r="C120" i="3"/>
  <c r="E120" i="3"/>
  <c r="E537" i="13"/>
  <c r="J655" i="1"/>
  <c r="H656" i="1"/>
  <c r="G656" i="1"/>
  <c r="A657" i="1"/>
  <c r="D613" i="6"/>
  <c r="H130" i="15"/>
  <c r="I130" i="15"/>
  <c r="F657" i="1"/>
  <c r="E657" i="1"/>
  <c r="C615" i="6"/>
  <c r="J153" i="4"/>
  <c r="L261" i="1"/>
  <c r="I339" i="1"/>
  <c r="I153" i="4"/>
  <c r="K261" i="1"/>
  <c r="A274" i="1"/>
  <c r="E163" i="1"/>
  <c r="I957" i="1"/>
  <c r="D124" i="14"/>
  <c r="E132" i="15"/>
  <c r="G341" i="1"/>
  <c r="G131" i="15"/>
  <c r="M260" i="1"/>
  <c r="N260" i="1"/>
  <c r="K868" i="1"/>
  <c r="C156" i="1"/>
  <c r="C117" i="14"/>
  <c r="C162" i="4"/>
  <c r="F113" i="25"/>
  <c r="E113" i="25"/>
  <c r="E613" i="6"/>
  <c r="N333" i="1"/>
  <c r="D113" i="25"/>
  <c r="B114" i="25"/>
  <c r="M339" i="1"/>
  <c r="H538" i="13"/>
  <c r="J340" i="1"/>
  <c r="E265" i="1"/>
  <c r="F265" i="1"/>
  <c r="E493" i="13"/>
  <c r="F268" i="1"/>
  <c r="C121" i="3"/>
  <c r="E121" i="3"/>
  <c r="E538" i="13"/>
  <c r="H657" i="1"/>
  <c r="A658" i="1"/>
  <c r="G657" i="1"/>
  <c r="J656" i="1"/>
  <c r="H131" i="15"/>
  <c r="I131" i="15"/>
  <c r="D614" i="6"/>
  <c r="E658" i="1"/>
  <c r="J154" i="4"/>
  <c r="L262" i="1"/>
  <c r="I154" i="4"/>
  <c r="K262" i="1"/>
  <c r="I958" i="1"/>
  <c r="E164" i="1"/>
  <c r="D125" i="14"/>
  <c r="M261" i="1"/>
  <c r="N261" i="1"/>
  <c r="G132" i="15"/>
  <c r="C616" i="6"/>
  <c r="J155" i="4"/>
  <c r="L263" i="1"/>
  <c r="K869" i="1"/>
  <c r="C157" i="1"/>
  <c r="I340" i="1"/>
  <c r="A275" i="1"/>
  <c r="E133" i="15"/>
  <c r="G342" i="1"/>
  <c r="C163" i="4"/>
  <c r="F114" i="25"/>
  <c r="E114" i="25"/>
  <c r="E614" i="6"/>
  <c r="N334" i="1"/>
  <c r="F658" i="1"/>
  <c r="B115" i="25"/>
  <c r="D114" i="25"/>
  <c r="M340" i="1"/>
  <c r="F267" i="1"/>
  <c r="H539" i="13"/>
  <c r="J341" i="1"/>
  <c r="E267" i="1"/>
  <c r="E494" i="13"/>
  <c r="C122" i="3"/>
  <c r="E122" i="3"/>
  <c r="D163" i="4"/>
  <c r="I155" i="4"/>
  <c r="K263" i="1"/>
  <c r="E539" i="13"/>
  <c r="J657" i="1"/>
  <c r="H658" i="1"/>
  <c r="G658" i="1"/>
  <c r="A659" i="1"/>
  <c r="D615" i="6"/>
  <c r="H132" i="15"/>
  <c r="I132" i="15"/>
  <c r="E659" i="1"/>
  <c r="N262" i="1"/>
  <c r="M262" i="1"/>
  <c r="E134" i="15"/>
  <c r="G343" i="1"/>
  <c r="G133" i="15"/>
  <c r="C617" i="6"/>
  <c r="E165" i="1"/>
  <c r="D126" i="14"/>
  <c r="I959" i="1"/>
  <c r="I341" i="1"/>
  <c r="M263" i="1"/>
  <c r="N263" i="1"/>
  <c r="J156" i="4"/>
  <c r="L264" i="1"/>
  <c r="C118" i="14"/>
  <c r="I156" i="4"/>
  <c r="K264" i="1"/>
  <c r="K870" i="1"/>
  <c r="C158" i="1"/>
  <c r="K163" i="4"/>
  <c r="C164" i="4"/>
  <c r="F115" i="25"/>
  <c r="E115" i="25"/>
  <c r="E615" i="6"/>
  <c r="N336" i="1"/>
  <c r="N335" i="1"/>
  <c r="F659" i="1"/>
  <c r="M341" i="1"/>
  <c r="B116" i="25"/>
  <c r="D115" i="25"/>
  <c r="H540" i="13"/>
  <c r="J342" i="1"/>
  <c r="E268" i="1"/>
  <c r="E495" i="13"/>
  <c r="F269" i="1"/>
  <c r="C123" i="3"/>
  <c r="D164" i="4"/>
  <c r="D122" i="3"/>
  <c r="E123" i="3"/>
  <c r="E540" i="13"/>
  <c r="H133" i="15"/>
  <c r="I133" i="15"/>
  <c r="A660" i="1"/>
  <c r="H659" i="1"/>
  <c r="G659" i="1"/>
  <c r="J658" i="1"/>
  <c r="D616" i="6"/>
  <c r="J616" i="6"/>
  <c r="E660" i="1"/>
  <c r="K871" i="1"/>
  <c r="C159" i="1"/>
  <c r="C120" i="14"/>
  <c r="C119" i="14"/>
  <c r="I342" i="1"/>
  <c r="K872" i="1"/>
  <c r="C160" i="1"/>
  <c r="G134" i="15"/>
  <c r="I960" i="1"/>
  <c r="E166" i="1"/>
  <c r="D127" i="14"/>
  <c r="E135" i="15"/>
  <c r="G344" i="1"/>
  <c r="A400" i="6"/>
  <c r="C618" i="6"/>
  <c r="M264" i="1"/>
  <c r="N264" i="1"/>
  <c r="J157" i="4"/>
  <c r="L265" i="1"/>
  <c r="I157" i="4"/>
  <c r="K265" i="1"/>
  <c r="K164" i="4"/>
  <c r="C165" i="4"/>
  <c r="E269" i="1"/>
  <c r="F116" i="25"/>
  <c r="E116" i="25"/>
  <c r="E616" i="6"/>
  <c r="N337" i="1"/>
  <c r="F660" i="1"/>
  <c r="D116" i="25"/>
  <c r="B117" i="25"/>
  <c r="M342" i="1"/>
  <c r="H541" i="13"/>
  <c r="J343" i="1"/>
  <c r="F270" i="1"/>
  <c r="E496" i="13"/>
  <c r="C124" i="3"/>
  <c r="F122" i="3"/>
  <c r="F271" i="1"/>
  <c r="D165" i="4"/>
  <c r="E124" i="3"/>
  <c r="D123" i="3"/>
  <c r="E541" i="13"/>
  <c r="J659" i="1"/>
  <c r="G660" i="1"/>
  <c r="H660" i="1"/>
  <c r="A661" i="1"/>
  <c r="H134" i="15"/>
  <c r="I134" i="15"/>
  <c r="D617" i="6"/>
  <c r="J617" i="6"/>
  <c r="E661" i="1"/>
  <c r="J158" i="4"/>
  <c r="L266" i="1"/>
  <c r="I158" i="4"/>
  <c r="K266" i="1"/>
  <c r="C400" i="6"/>
  <c r="C619" i="6"/>
  <c r="E136" i="15"/>
  <c r="G345" i="1"/>
  <c r="C121" i="14"/>
  <c r="N265" i="1"/>
  <c r="M265" i="1"/>
  <c r="K873" i="1"/>
  <c r="C161" i="1"/>
  <c r="G135" i="15"/>
  <c r="D128" i="14"/>
  <c r="E167" i="1"/>
  <c r="I961" i="1"/>
  <c r="I343" i="1"/>
  <c r="C166" i="4"/>
  <c r="K165" i="4"/>
  <c r="E117" i="25"/>
  <c r="F117" i="25"/>
  <c r="E617" i="6"/>
  <c r="N338" i="1"/>
  <c r="F661" i="1"/>
  <c r="D117" i="25"/>
  <c r="B118" i="25"/>
  <c r="M343" i="1"/>
  <c r="H542" i="13"/>
  <c r="J344" i="1"/>
  <c r="E271" i="1"/>
  <c r="F123" i="3"/>
  <c r="E497" i="13"/>
  <c r="C125" i="3"/>
  <c r="E125" i="3"/>
  <c r="D124" i="3"/>
  <c r="D166" i="4"/>
  <c r="E542" i="13"/>
  <c r="B545" i="13"/>
  <c r="G661" i="1"/>
  <c r="H661" i="1"/>
  <c r="A662" i="1"/>
  <c r="J660" i="1"/>
  <c r="D618" i="6"/>
  <c r="J618" i="6"/>
  <c r="B400" i="6"/>
  <c r="H135" i="15"/>
  <c r="I135" i="15"/>
  <c r="B471" i="11"/>
  <c r="F471" i="11"/>
  <c r="E662" i="1"/>
  <c r="A471" i="11"/>
  <c r="E471" i="11"/>
  <c r="I159" i="4"/>
  <c r="K267" i="1"/>
  <c r="M266" i="1"/>
  <c r="N266" i="1"/>
  <c r="J159" i="4"/>
  <c r="L267" i="1"/>
  <c r="E168" i="1"/>
  <c r="D129" i="14"/>
  <c r="I962" i="1"/>
  <c r="A126" i="3"/>
  <c r="A352" i="6"/>
  <c r="I344" i="1"/>
  <c r="E137" i="15"/>
  <c r="G346" i="1"/>
  <c r="G136" i="15"/>
  <c r="K874" i="1"/>
  <c r="C162" i="1"/>
  <c r="C402" i="6"/>
  <c r="C122" i="14"/>
  <c r="K166" i="4"/>
  <c r="A167" i="4"/>
  <c r="C167" i="4"/>
  <c r="F118" i="25"/>
  <c r="E118" i="25"/>
  <c r="E618" i="6"/>
  <c r="N339" i="1"/>
  <c r="F662" i="1"/>
  <c r="D118" i="25"/>
  <c r="B119" i="25"/>
  <c r="M344" i="1"/>
  <c r="H543" i="13"/>
  <c r="B500" i="13"/>
  <c r="J345" i="1"/>
  <c r="F272" i="1"/>
  <c r="E270" i="1"/>
  <c r="E352" i="6"/>
  <c r="E354" i="6"/>
  <c r="C352" i="6"/>
  <c r="B352" i="6"/>
  <c r="E498" i="13"/>
  <c r="C126" i="3"/>
  <c r="F124" i="3"/>
  <c r="B126" i="3"/>
  <c r="D125" i="3"/>
  <c r="B167" i="4"/>
  <c r="D167" i="4"/>
  <c r="A500" i="13"/>
  <c r="E543" i="13"/>
  <c r="A545" i="13"/>
  <c r="B966" i="1"/>
  <c r="A966" i="1"/>
  <c r="C966" i="1"/>
  <c r="H662" i="1"/>
  <c r="G662" i="1"/>
  <c r="A663" i="1"/>
  <c r="J661" i="1"/>
  <c r="H136" i="15"/>
  <c r="I136" i="15"/>
  <c r="D400" i="6"/>
  <c r="D619" i="6"/>
  <c r="J619" i="6"/>
  <c r="C471" i="11"/>
  <c r="H471" i="11"/>
  <c r="D471" i="11"/>
  <c r="I471" i="11"/>
  <c r="C124" i="14"/>
  <c r="K875" i="1"/>
  <c r="C163" i="1"/>
  <c r="J160" i="4"/>
  <c r="L268" i="1"/>
  <c r="M267" i="1"/>
  <c r="N267" i="1"/>
  <c r="I160" i="4"/>
  <c r="K268" i="1"/>
  <c r="G137" i="15"/>
  <c r="I345" i="1"/>
  <c r="A139" i="15"/>
  <c r="E138" i="15"/>
  <c r="G347" i="1"/>
  <c r="D130" i="14"/>
  <c r="E169" i="1"/>
  <c r="I963" i="1"/>
  <c r="C123" i="14"/>
  <c r="K167" i="4"/>
  <c r="E273" i="1"/>
  <c r="F119" i="25"/>
  <c r="E119" i="25"/>
  <c r="E619" i="6"/>
  <c r="N340" i="1"/>
  <c r="I473" i="11"/>
  <c r="F374" i="11"/>
  <c r="H473" i="11"/>
  <c r="E374" i="11"/>
  <c r="E663" i="1"/>
  <c r="D500" i="13"/>
  <c r="F966" i="1"/>
  <c r="H500" i="13"/>
  <c r="C500" i="13"/>
  <c r="G500" i="13"/>
  <c r="F545" i="13"/>
  <c r="B120" i="25"/>
  <c r="D119" i="25"/>
  <c r="M345" i="1"/>
  <c r="H544" i="13"/>
  <c r="J346" i="1"/>
  <c r="F273" i="1"/>
  <c r="F352" i="6"/>
  <c r="F354" i="6"/>
  <c r="D352" i="6"/>
  <c r="G352" i="6"/>
  <c r="K535" i="1"/>
  <c r="C354" i="6"/>
  <c r="E499" i="13"/>
  <c r="D126" i="3"/>
  <c r="E126" i="3"/>
  <c r="F125" i="3"/>
  <c r="F167" i="4"/>
  <c r="I166" i="4"/>
  <c r="K274" i="1"/>
  <c r="D966" i="1"/>
  <c r="E167" i="4"/>
  <c r="D545" i="13"/>
  <c r="C545" i="13"/>
  <c r="E544" i="13"/>
  <c r="J662" i="1"/>
  <c r="H663" i="1"/>
  <c r="G663" i="1"/>
  <c r="H137" i="15"/>
  <c r="I137" i="15"/>
  <c r="D402" i="6"/>
  <c r="B139" i="15"/>
  <c r="M268" i="1"/>
  <c r="N268" i="1"/>
  <c r="K876" i="1"/>
  <c r="C164" i="1"/>
  <c r="C125" i="14"/>
  <c r="I161" i="4"/>
  <c r="K269" i="1"/>
  <c r="J161" i="4"/>
  <c r="L269" i="1"/>
  <c r="G138" i="15"/>
  <c r="I346" i="1"/>
  <c r="I964" i="1"/>
  <c r="E170" i="1"/>
  <c r="D131" i="14"/>
  <c r="C139" i="15"/>
  <c r="E348" i="1"/>
  <c r="E139" i="15"/>
  <c r="G348" i="1"/>
  <c r="H126" i="3"/>
  <c r="J126" i="3"/>
  <c r="F275" i="1"/>
  <c r="F120" i="25"/>
  <c r="E120" i="25"/>
  <c r="N341" i="1"/>
  <c r="F663" i="1"/>
  <c r="J663" i="1"/>
  <c r="E500" i="13"/>
  <c r="D502" i="13"/>
  <c r="H966" i="1"/>
  <c r="H88" i="14"/>
  <c r="B121" i="25"/>
  <c r="D120" i="25"/>
  <c r="M346" i="1"/>
  <c r="I545" i="13"/>
  <c r="J347" i="1"/>
  <c r="E966" i="1"/>
  <c r="G966" i="1"/>
  <c r="C502" i="13"/>
  <c r="G502" i="13"/>
  <c r="G354" i="6"/>
  <c r="E272" i="1"/>
  <c r="H167" i="4"/>
  <c r="J167" i="4"/>
  <c r="L275" i="1"/>
  <c r="G126" i="3"/>
  <c r="I126" i="3"/>
  <c r="E275" i="1"/>
  <c r="F274" i="1"/>
  <c r="E274" i="1"/>
  <c r="H352" i="6"/>
  <c r="D275" i="1"/>
  <c r="G167" i="4"/>
  <c r="I167" i="4"/>
  <c r="K275" i="1"/>
  <c r="J166" i="4"/>
  <c r="L274" i="1"/>
  <c r="K348" i="1"/>
  <c r="E545" i="13"/>
  <c r="F139" i="15"/>
  <c r="H348" i="1"/>
  <c r="D139" i="15"/>
  <c r="F348" i="1"/>
  <c r="H138" i="15"/>
  <c r="I138" i="15"/>
  <c r="L126" i="3"/>
  <c r="H275" i="1"/>
  <c r="I162" i="4"/>
  <c r="K270" i="1"/>
  <c r="J162" i="4"/>
  <c r="L270" i="1"/>
  <c r="C126" i="14"/>
  <c r="K877" i="1"/>
  <c r="C165" i="1"/>
  <c r="N269" i="1"/>
  <c r="M269" i="1"/>
  <c r="I965" i="1"/>
  <c r="D132" i="14"/>
  <c r="E171" i="1"/>
  <c r="I347" i="1"/>
  <c r="G139" i="15"/>
  <c r="E121" i="25"/>
  <c r="F121" i="25"/>
  <c r="N342" i="1"/>
  <c r="E502" i="13"/>
  <c r="I966" i="1"/>
  <c r="D121" i="25"/>
  <c r="B122" i="25"/>
  <c r="J275" i="1"/>
  <c r="M347" i="1"/>
  <c r="J348" i="1"/>
  <c r="L348" i="1"/>
  <c r="C275" i="1"/>
  <c r="K126" i="3"/>
  <c r="G275" i="1"/>
  <c r="M274" i="1"/>
  <c r="L535" i="1"/>
  <c r="G88" i="14"/>
  <c r="D133" i="14"/>
  <c r="E172" i="1"/>
  <c r="I275" i="1"/>
  <c r="I348" i="1"/>
  <c r="H139" i="15"/>
  <c r="I139" i="15"/>
  <c r="J163" i="4"/>
  <c r="L271" i="1"/>
  <c r="C127" i="14"/>
  <c r="K878" i="1"/>
  <c r="C166" i="1"/>
  <c r="I163" i="4"/>
  <c r="K271" i="1"/>
  <c r="N270" i="1"/>
  <c r="M270" i="1"/>
  <c r="F122" i="25"/>
  <c r="E122" i="25"/>
  <c r="N343" i="1"/>
  <c r="D122" i="25"/>
  <c r="B123" i="25"/>
  <c r="N347" i="1"/>
  <c r="J884" i="1"/>
  <c r="D88" i="14"/>
  <c r="M348" i="1"/>
  <c r="N274" i="1"/>
  <c r="N275" i="1"/>
  <c r="K883" i="1"/>
  <c r="C171" i="1"/>
  <c r="I884" i="1"/>
  <c r="M275" i="1"/>
  <c r="C128" i="14"/>
  <c r="K879" i="1"/>
  <c r="C167" i="1"/>
  <c r="J164" i="4"/>
  <c r="L272" i="1"/>
  <c r="M271" i="1"/>
  <c r="N271" i="1"/>
  <c r="I164" i="4"/>
  <c r="K272" i="1"/>
  <c r="F123" i="25"/>
  <c r="E123" i="25"/>
  <c r="N344" i="1"/>
  <c r="D123" i="25"/>
  <c r="B124" i="25"/>
  <c r="N348" i="1"/>
  <c r="K884" i="1"/>
  <c r="C172" i="1"/>
  <c r="C132" i="14"/>
  <c r="C88" i="14"/>
  <c r="C133" i="14"/>
  <c r="I165" i="4"/>
  <c r="K273" i="1"/>
  <c r="K880" i="1"/>
  <c r="C168" i="1"/>
  <c r="C129" i="14"/>
  <c r="N272" i="1"/>
  <c r="M272" i="1"/>
  <c r="J165" i="4"/>
  <c r="L273" i="1"/>
  <c r="F124" i="25"/>
  <c r="E124" i="25"/>
  <c r="N345" i="1"/>
  <c r="D124" i="25"/>
  <c r="B125" i="25"/>
  <c r="C130" i="14"/>
  <c r="K881" i="1"/>
  <c r="C169" i="1"/>
  <c r="M273" i="1"/>
  <c r="N273" i="1"/>
  <c r="E125" i="25"/>
  <c r="F125" i="25"/>
  <c r="N346" i="1"/>
  <c r="D125" i="25"/>
  <c r="K882" i="1"/>
  <c r="C170" i="1"/>
  <c r="C131" i="14"/>
  <c r="I627" i="1"/>
  <c r="I628" i="1"/>
  <c r="K628" i="1"/>
  <c r="D137" i="1"/>
  <c r="I629" i="1"/>
  <c r="K629" i="1"/>
  <c r="D138" i="1"/>
  <c r="I630" i="1"/>
  <c r="K630" i="1"/>
  <c r="D139" i="1"/>
  <c r="I631" i="1"/>
  <c r="K631" i="1"/>
  <c r="D140" i="1"/>
  <c r="I632" i="1"/>
  <c r="K632" i="1"/>
  <c r="D141" i="1"/>
  <c r="I633" i="1"/>
  <c r="K633" i="1"/>
  <c r="D142" i="1"/>
  <c r="I634" i="1"/>
  <c r="K634" i="1"/>
  <c r="D143" i="1"/>
  <c r="I635" i="1"/>
  <c r="K635" i="1"/>
  <c r="D144" i="1"/>
  <c r="I636" i="1"/>
  <c r="K636" i="1"/>
  <c r="D145" i="1"/>
  <c r="I637" i="1"/>
  <c r="K637" i="1"/>
  <c r="D146" i="1"/>
  <c r="I638" i="1"/>
  <c r="K638" i="1"/>
  <c r="D147" i="1"/>
  <c r="I639" i="1"/>
  <c r="K639" i="1"/>
  <c r="D148" i="1"/>
  <c r="I640" i="1"/>
  <c r="K640" i="1"/>
  <c r="D149" i="1"/>
  <c r="I641" i="1"/>
  <c r="K641" i="1"/>
  <c r="D150" i="1"/>
  <c r="I642" i="1"/>
  <c r="K642" i="1"/>
  <c r="D151" i="1"/>
  <c r="I643" i="1"/>
  <c r="K643" i="1"/>
  <c r="D152" i="1"/>
  <c r="I644" i="1"/>
  <c r="K644" i="1"/>
  <c r="D153" i="1"/>
  <c r="I645" i="1"/>
  <c r="K645" i="1"/>
  <c r="D154" i="1"/>
  <c r="I646" i="1"/>
  <c r="K646" i="1"/>
  <c r="D155" i="1"/>
  <c r="I647" i="1"/>
  <c r="K647" i="1"/>
  <c r="D156" i="1"/>
  <c r="I648" i="1"/>
  <c r="K648" i="1"/>
  <c r="D157" i="1"/>
  <c r="I649" i="1"/>
  <c r="K649" i="1"/>
  <c r="D158" i="1"/>
  <c r="I650" i="1"/>
  <c r="K650" i="1"/>
  <c r="D159" i="1"/>
  <c r="I651" i="1"/>
  <c r="K651" i="1"/>
  <c r="D160" i="1"/>
  <c r="I652" i="1"/>
  <c r="K652" i="1"/>
  <c r="D161" i="1"/>
  <c r="I653" i="1"/>
  <c r="K653" i="1"/>
  <c r="D162" i="1"/>
  <c r="I654" i="1"/>
  <c r="K654" i="1"/>
  <c r="D163" i="1"/>
  <c r="I655" i="1"/>
  <c r="K655" i="1"/>
  <c r="D164" i="1"/>
  <c r="I656" i="1"/>
  <c r="K656" i="1"/>
  <c r="D165" i="1"/>
  <c r="I657" i="1"/>
  <c r="K657" i="1"/>
  <c r="D166" i="1"/>
  <c r="I658" i="1"/>
  <c r="K658" i="1"/>
  <c r="D167" i="1"/>
  <c r="I659" i="1"/>
  <c r="K659" i="1"/>
  <c r="D168" i="1"/>
  <c r="I660" i="1"/>
  <c r="K660" i="1"/>
  <c r="D169" i="1"/>
  <c r="I661" i="1"/>
  <c r="K661" i="1"/>
  <c r="D170" i="1"/>
  <c r="I662" i="1"/>
  <c r="K662" i="1"/>
  <c r="D171" i="1"/>
  <c r="I663" i="1"/>
  <c r="K663" i="1"/>
  <c r="D172" i="1"/>
  <c r="K627" i="1"/>
  <c r="D136" i="1"/>
  <c r="D354" i="6"/>
  <c r="H354" i="6"/>
  <c r="I464" i="13"/>
  <c r="I483" i="13"/>
  <c r="I497" i="13"/>
  <c r="I480" i="13"/>
  <c r="I499" i="13"/>
  <c r="I484" i="13"/>
  <c r="I487" i="13"/>
  <c r="I479" i="13"/>
  <c r="I471" i="13"/>
  <c r="I477" i="13"/>
  <c r="I489" i="13"/>
  <c r="I474" i="13"/>
  <c r="I478" i="13"/>
  <c r="I492" i="13"/>
  <c r="I481" i="13"/>
  <c r="I496" i="13"/>
  <c r="I466" i="13"/>
  <c r="I473" i="13"/>
  <c r="I486" i="13"/>
  <c r="I476" i="13"/>
  <c r="I495" i="13"/>
  <c r="I475" i="13"/>
  <c r="I488" i="13"/>
  <c r="I468" i="13"/>
  <c r="I494" i="13"/>
  <c r="I491" i="13"/>
  <c r="I472" i="13"/>
  <c r="I482" i="13"/>
  <c r="I469" i="13"/>
  <c r="I490" i="13"/>
  <c r="I493" i="13"/>
  <c r="I467" i="13"/>
  <c r="I498" i="13"/>
  <c r="I470" i="13"/>
  <c r="I465" i="13"/>
  <c r="I485" i="13"/>
  <c r="I500" i="13"/>
  <c r="G545" i="13"/>
  <c r="J545" i="13"/>
  <c r="H502" i="13"/>
  <c r="I502" i="13"/>
  <c r="K545" i="13"/>
  <c r="G214" i="7"/>
  <c r="H545" i="13"/>
  <c r="C525" i="11"/>
  <c r="L525" i="11"/>
  <c r="E400" i="6"/>
  <c r="F619" i="6"/>
  <c r="G400" i="6"/>
  <c r="C535" i="1"/>
  <c r="I352" i="6"/>
  <c r="G760" i="1"/>
  <c r="I535" i="1"/>
  <c r="E535" i="1"/>
  <c r="I214" i="7"/>
  <c r="K352" i="6"/>
  <c r="M535" i="1"/>
  <c r="G59" i="25"/>
  <c r="H59" i="25"/>
  <c r="C59" i="25"/>
  <c r="G60" i="25"/>
  <c r="H60" i="25"/>
  <c r="C60" i="25"/>
  <c r="G61" i="25"/>
  <c r="H61" i="25"/>
  <c r="C61" i="25"/>
  <c r="G62" i="25"/>
  <c r="H62" i="25"/>
  <c r="C62" i="25"/>
  <c r="G63" i="25"/>
  <c r="H63" i="25"/>
  <c r="C63" i="25"/>
  <c r="G64" i="25"/>
  <c r="H64" i="25"/>
  <c r="C64" i="25"/>
  <c r="G65" i="25"/>
  <c r="H65" i="25"/>
  <c r="C65" i="25"/>
  <c r="G66" i="25"/>
  <c r="H66" i="25"/>
  <c r="C66" i="25"/>
  <c r="G67" i="25"/>
  <c r="H67" i="25"/>
  <c r="C67" i="25"/>
  <c r="G68" i="25"/>
  <c r="H68" i="25"/>
  <c r="C68" i="25"/>
  <c r="G69" i="25"/>
  <c r="H69" i="25"/>
  <c r="C69" i="25"/>
  <c r="G70" i="25"/>
  <c r="H70" i="25"/>
  <c r="C70" i="25"/>
  <c r="G71" i="25"/>
  <c r="H71" i="25"/>
  <c r="C71" i="25"/>
  <c r="G72" i="25"/>
  <c r="H72" i="25"/>
  <c r="C72" i="25"/>
  <c r="G73" i="25"/>
  <c r="H73" i="25"/>
  <c r="C73" i="25"/>
  <c r="G74" i="25"/>
  <c r="H74" i="25"/>
  <c r="C74" i="25"/>
  <c r="G75" i="25"/>
  <c r="H75" i="25"/>
  <c r="C75" i="25"/>
  <c r="G76" i="25"/>
  <c r="H76" i="25"/>
  <c r="C76" i="25"/>
  <c r="G77" i="25"/>
  <c r="H77" i="25"/>
  <c r="C77" i="25"/>
  <c r="G78" i="25"/>
  <c r="H78" i="25"/>
  <c r="C78" i="25"/>
  <c r="G79" i="25"/>
  <c r="H79" i="25"/>
  <c r="C79" i="25"/>
  <c r="G80" i="25"/>
  <c r="H80" i="25"/>
  <c r="C80" i="25"/>
  <c r="G81" i="25"/>
  <c r="H81" i="25"/>
  <c r="C81" i="25"/>
  <c r="G82" i="25"/>
  <c r="H82" i="25"/>
  <c r="C82" i="25"/>
  <c r="G83" i="25"/>
  <c r="H83" i="25"/>
  <c r="C83" i="25"/>
  <c r="G84" i="25"/>
  <c r="H84" i="25"/>
  <c r="C84" i="25"/>
  <c r="G85" i="25"/>
  <c r="H85" i="25"/>
  <c r="C85" i="25"/>
  <c r="G86" i="25"/>
  <c r="H86" i="25"/>
  <c r="C86" i="25"/>
  <c r="G87" i="25"/>
  <c r="H87" i="25"/>
  <c r="C87" i="25"/>
  <c r="G88" i="25"/>
  <c r="H88" i="25"/>
  <c r="C88" i="25"/>
  <c r="G89" i="25"/>
  <c r="H89" i="25"/>
  <c r="C89" i="25"/>
  <c r="G90" i="25"/>
  <c r="H90" i="25"/>
  <c r="C90" i="25"/>
  <c r="G91" i="25"/>
  <c r="H91" i="25"/>
  <c r="C91" i="25"/>
  <c r="G92" i="25"/>
  <c r="H92" i="25"/>
  <c r="C92" i="25"/>
  <c r="G93" i="25"/>
  <c r="H93" i="25"/>
  <c r="C93" i="25"/>
  <c r="G94" i="25"/>
  <c r="H94" i="25"/>
  <c r="C94" i="25"/>
  <c r="G95" i="25"/>
  <c r="H95" i="25"/>
  <c r="C95" i="25"/>
  <c r="G96" i="25"/>
  <c r="H96" i="25"/>
  <c r="C96" i="25"/>
  <c r="G97" i="25"/>
  <c r="H97" i="25"/>
  <c r="C97" i="25"/>
  <c r="G98" i="25"/>
  <c r="H98" i="25"/>
  <c r="C98" i="25"/>
  <c r="G99" i="25"/>
  <c r="H99" i="25"/>
  <c r="C99" i="25"/>
  <c r="G100" i="25"/>
  <c r="L54" i="25"/>
  <c r="H100" i="25"/>
  <c r="C100" i="25"/>
  <c r="L51" i="25"/>
  <c r="G101" i="25"/>
  <c r="H101" i="25"/>
  <c r="C101" i="25"/>
  <c r="G102" i="25"/>
  <c r="H102" i="25"/>
  <c r="C102" i="25"/>
  <c r="G103" i="25"/>
  <c r="H103" i="25"/>
  <c r="C103" i="25"/>
  <c r="G104" i="25"/>
  <c r="H104" i="25"/>
  <c r="C104" i="25"/>
  <c r="G105" i="25"/>
  <c r="H105" i="25"/>
  <c r="C105" i="25"/>
  <c r="G106" i="25"/>
  <c r="H106" i="25"/>
  <c r="C106" i="25"/>
  <c r="G107" i="25"/>
  <c r="H107" i="25"/>
  <c r="C107" i="25"/>
  <c r="G108" i="25"/>
  <c r="H108" i="25"/>
  <c r="C108" i="25"/>
  <c r="G109" i="25"/>
  <c r="H109" i="25"/>
  <c r="C109" i="25"/>
  <c r="G110" i="25"/>
  <c r="H110" i="25"/>
  <c r="C110" i="25"/>
  <c r="G111" i="25"/>
  <c r="H111" i="25"/>
  <c r="C111" i="25"/>
  <c r="G112" i="25"/>
  <c r="H112" i="25"/>
  <c r="C112" i="25"/>
  <c r="G113" i="25"/>
  <c r="H113" i="25"/>
  <c r="C113" i="25"/>
  <c r="G114" i="25"/>
  <c r="H114" i="25"/>
  <c r="C114" i="25"/>
  <c r="G115" i="25"/>
  <c r="H115" i="25"/>
  <c r="C115" i="25"/>
  <c r="G116" i="25"/>
  <c r="H116" i="25"/>
  <c r="C116" i="25"/>
  <c r="G117" i="25"/>
  <c r="H117" i="25"/>
  <c r="C117" i="25"/>
  <c r="G118" i="25"/>
  <c r="H118" i="25"/>
  <c r="C118" i="25"/>
  <c r="G119" i="25"/>
  <c r="C119" i="25"/>
  <c r="H119" i="25"/>
  <c r="G120" i="25"/>
  <c r="C120" i="25"/>
  <c r="H120" i="25"/>
  <c r="G121" i="25"/>
  <c r="C121" i="25"/>
  <c r="H121" i="25"/>
  <c r="G122" i="25"/>
  <c r="C122" i="25"/>
  <c r="H122" i="25"/>
  <c r="G123" i="25"/>
  <c r="C123" i="25"/>
  <c r="H123" i="25"/>
  <c r="G124" i="25"/>
  <c r="C124" i="25"/>
  <c r="H124" i="25"/>
  <c r="G125" i="25"/>
  <c r="C125" i="25"/>
  <c r="L50" i="25"/>
  <c r="L53" i="25"/>
  <c r="H125" i="25"/>
  <c r="G535" i="1"/>
  <c r="E884" i="1"/>
  <c r="L884" i="1"/>
  <c r="C214" i="7"/>
  <c r="L363" i="5"/>
  <c r="C407" i="5"/>
  <c r="C397" i="1"/>
  <c r="J136" i="1"/>
  <c r="L364" i="5"/>
  <c r="C408" i="5"/>
  <c r="C398" i="1"/>
  <c r="J137" i="1"/>
  <c r="E373" i="5"/>
  <c r="D728" i="1"/>
  <c r="M367" i="5"/>
  <c r="D411" i="5"/>
  <c r="M411" i="5"/>
  <c r="D401" i="1"/>
  <c r="D729" i="1"/>
  <c r="M368" i="5"/>
  <c r="D730" i="1"/>
  <c r="D412" i="5"/>
  <c r="M412" i="5"/>
  <c r="D402" i="1"/>
  <c r="M369" i="5"/>
  <c r="M370" i="5"/>
  <c r="D403" i="1"/>
  <c r="D413" i="5"/>
  <c r="M413" i="5"/>
  <c r="D731" i="1"/>
  <c r="D732" i="1"/>
  <c r="D414" i="5"/>
  <c r="M414" i="5"/>
  <c r="D404" i="1"/>
  <c r="M371" i="5"/>
  <c r="D415" i="5"/>
  <c r="M415" i="5"/>
  <c r="D405" i="1"/>
  <c r="D733" i="1"/>
  <c r="M372" i="5"/>
  <c r="D406" i="1"/>
  <c r="D416" i="5"/>
  <c r="M416" i="5"/>
  <c r="D734" i="1"/>
  <c r="M373" i="5"/>
  <c r="D417" i="5"/>
  <c r="M417" i="5"/>
  <c r="D407" i="1"/>
  <c r="D735" i="1"/>
  <c r="M374" i="5"/>
  <c r="D408" i="1"/>
  <c r="D418" i="5"/>
  <c r="M418" i="5"/>
  <c r="D736" i="1"/>
  <c r="M375" i="5"/>
  <c r="D409" i="1"/>
  <c r="D419" i="5"/>
  <c r="M419" i="5"/>
  <c r="D737" i="1"/>
  <c r="M376" i="5"/>
  <c r="D420" i="5"/>
  <c r="M420" i="5"/>
  <c r="D410" i="1"/>
  <c r="D738" i="1"/>
  <c r="M377" i="5"/>
  <c r="D411" i="1"/>
  <c r="D421" i="5"/>
  <c r="M421" i="5"/>
  <c r="M378" i="5"/>
  <c r="D739" i="1"/>
  <c r="D422" i="5"/>
  <c r="M422" i="5"/>
  <c r="D412" i="1"/>
  <c r="D740" i="1"/>
  <c r="M379" i="5"/>
  <c r="D423" i="5"/>
  <c r="M423" i="5"/>
  <c r="D413" i="1"/>
  <c r="D741" i="1"/>
  <c r="M380" i="5"/>
  <c r="D414" i="1"/>
  <c r="D424" i="5"/>
  <c r="M424" i="5"/>
  <c r="D742" i="1"/>
  <c r="M381" i="5"/>
  <c r="D415" i="1"/>
  <c r="D425" i="5"/>
  <c r="M425" i="5"/>
  <c r="D743" i="1"/>
  <c r="M382" i="5"/>
  <c r="D416" i="1"/>
  <c r="D426" i="5"/>
  <c r="M426" i="5"/>
  <c r="D744" i="1"/>
  <c r="M383" i="5"/>
  <c r="D417" i="1"/>
  <c r="D427" i="5"/>
  <c r="M427" i="5"/>
  <c r="D745" i="1"/>
  <c r="M384" i="5"/>
  <c r="D428" i="5"/>
  <c r="M428" i="5"/>
  <c r="D418" i="1"/>
  <c r="D746" i="1"/>
  <c r="M385" i="5"/>
  <c r="D429" i="5"/>
  <c r="M429" i="5"/>
  <c r="D419" i="1"/>
  <c r="D747" i="1"/>
  <c r="M386" i="5"/>
  <c r="D420" i="1"/>
  <c r="D430" i="5"/>
  <c r="M430" i="5"/>
  <c r="M387" i="5"/>
  <c r="D748" i="1"/>
  <c r="D431" i="5"/>
  <c r="M431" i="5"/>
  <c r="D421" i="1"/>
  <c r="M388" i="5"/>
  <c r="D749" i="1"/>
  <c r="D422" i="1"/>
  <c r="D432" i="5"/>
  <c r="M432" i="5"/>
  <c r="D750" i="1"/>
  <c r="M389" i="5"/>
  <c r="D433" i="5"/>
  <c r="M433" i="5"/>
  <c r="D423" i="1"/>
  <c r="D751" i="1"/>
  <c r="M390" i="5"/>
  <c r="D434" i="5"/>
  <c r="M434" i="5"/>
  <c r="D424" i="1"/>
  <c r="D752" i="1"/>
  <c r="M391" i="5"/>
  <c r="D435" i="5"/>
  <c r="M435" i="5"/>
  <c r="D425" i="1"/>
  <c r="D753" i="1"/>
  <c r="M392" i="5"/>
  <c r="D436" i="5"/>
  <c r="M436" i="5"/>
  <c r="D426" i="1"/>
  <c r="D754" i="1"/>
  <c r="M393" i="5"/>
  <c r="D437" i="5"/>
  <c r="M437" i="5"/>
  <c r="D427" i="1"/>
  <c r="D755" i="1"/>
  <c r="M394" i="5"/>
  <c r="D438" i="5"/>
  <c r="M438" i="5"/>
  <c r="D428" i="1"/>
  <c r="M395" i="5"/>
  <c r="D756" i="1"/>
  <c r="D439" i="5"/>
  <c r="M439" i="5"/>
  <c r="D429" i="1"/>
  <c r="D757" i="1"/>
  <c r="M396" i="5"/>
  <c r="D430" i="1"/>
  <c r="D440" i="5"/>
  <c r="M440" i="5"/>
  <c r="D758" i="1"/>
  <c r="M397" i="5"/>
  <c r="D431" i="1"/>
  <c r="D441" i="5"/>
  <c r="M441" i="5"/>
  <c r="D759" i="1"/>
  <c r="M398" i="5"/>
  <c r="D432" i="1"/>
  <c r="D442" i="5"/>
  <c r="M442" i="5"/>
  <c r="H443" i="5"/>
  <c r="J443" i="5"/>
  <c r="F433" i="1"/>
  <c r="D760" i="1"/>
  <c r="D443" i="5"/>
  <c r="D433" i="1"/>
  <c r="M443" i="5"/>
  <c r="C724" i="1"/>
  <c r="I724" i="1"/>
  <c r="L407" i="5"/>
  <c r="K397" i="1"/>
  <c r="K179" i="7"/>
  <c r="C726" i="1"/>
  <c r="C725" i="1"/>
  <c r="L408" i="5"/>
  <c r="L365" i="5"/>
  <c r="K398" i="1"/>
  <c r="C727" i="1"/>
  <c r="K399" i="1"/>
  <c r="C399" i="1"/>
  <c r="C409" i="5"/>
  <c r="L409" i="5"/>
  <c r="J138" i="1"/>
  <c r="L366" i="5"/>
  <c r="K400" i="1"/>
  <c r="C410" i="5"/>
  <c r="L410" i="5"/>
  <c r="C400" i="1"/>
  <c r="L367" i="5"/>
  <c r="C728" i="1"/>
  <c r="C411" i="5"/>
  <c r="C401" i="1"/>
  <c r="J139" i="1"/>
  <c r="K402" i="1"/>
  <c r="C729" i="1"/>
  <c r="K401" i="1"/>
  <c r="L368" i="5"/>
  <c r="J140" i="1"/>
  <c r="L411" i="5"/>
  <c r="C730" i="1"/>
  <c r="C412" i="5"/>
  <c r="L412" i="5"/>
  <c r="C402" i="1"/>
  <c r="L369" i="5"/>
  <c r="J141" i="1"/>
  <c r="K403" i="1"/>
  <c r="C731" i="1"/>
  <c r="G370" i="5"/>
  <c r="C413" i="5"/>
  <c r="L413" i="5"/>
  <c r="C403" i="1"/>
  <c r="L370" i="5"/>
  <c r="C414" i="5"/>
  <c r="L414" i="5"/>
  <c r="G371" i="5"/>
  <c r="J142" i="1"/>
  <c r="K404" i="1"/>
  <c r="G372" i="5"/>
  <c r="C732" i="1"/>
  <c r="C404" i="1"/>
  <c r="L371" i="5"/>
  <c r="C415" i="5"/>
  <c r="L415" i="5"/>
  <c r="K405" i="1"/>
  <c r="L372" i="5"/>
  <c r="G373" i="5"/>
  <c r="J143" i="1"/>
  <c r="C733" i="1"/>
  <c r="C405" i="1"/>
  <c r="K406" i="1"/>
  <c r="J144" i="1"/>
  <c r="C416" i="5"/>
  <c r="L416" i="5"/>
  <c r="C406" i="1"/>
  <c r="C734" i="1"/>
  <c r="L373" i="5"/>
  <c r="K407" i="1"/>
  <c r="J145" i="1"/>
  <c r="C417" i="5"/>
  <c r="L417" i="5"/>
  <c r="C407" i="1"/>
  <c r="C735" i="1"/>
  <c r="L375" i="5"/>
  <c r="L374" i="5"/>
  <c r="C408" i="1"/>
  <c r="K408" i="1"/>
  <c r="C736" i="1"/>
  <c r="C418" i="5"/>
  <c r="L418" i="5"/>
  <c r="J146" i="1"/>
  <c r="C419" i="5"/>
  <c r="L419" i="5"/>
  <c r="C409" i="1"/>
  <c r="J147" i="1"/>
  <c r="K409" i="1"/>
  <c r="J148" i="1"/>
  <c r="K410" i="1"/>
  <c r="C737" i="1"/>
  <c r="L376" i="5"/>
  <c r="C738" i="1"/>
  <c r="C420" i="5"/>
  <c r="L420" i="5"/>
  <c r="C410" i="1"/>
  <c r="J149" i="1"/>
  <c r="K411" i="1"/>
  <c r="L377" i="5"/>
  <c r="K412" i="1"/>
  <c r="L378" i="5"/>
  <c r="C421" i="5"/>
  <c r="L421" i="5"/>
  <c r="C411" i="1"/>
  <c r="J150" i="1"/>
  <c r="C739" i="1"/>
  <c r="C422" i="5"/>
  <c r="L422" i="5"/>
  <c r="C412" i="1"/>
  <c r="J151" i="1"/>
  <c r="K413" i="1"/>
  <c r="C740" i="1"/>
  <c r="L379" i="5"/>
  <c r="C423" i="5"/>
  <c r="L423" i="5"/>
  <c r="K414" i="1"/>
  <c r="C741" i="1"/>
  <c r="C413" i="1"/>
  <c r="J152" i="1"/>
  <c r="K415" i="1"/>
  <c r="L380" i="5"/>
  <c r="C424" i="5"/>
  <c r="L424" i="5"/>
  <c r="C742" i="1"/>
  <c r="L381" i="5"/>
  <c r="C415" i="1"/>
  <c r="J154" i="1"/>
  <c r="C414" i="1"/>
  <c r="J153" i="1"/>
  <c r="K416" i="1"/>
  <c r="C743" i="1"/>
  <c r="C425" i="5"/>
  <c r="L425" i="5"/>
  <c r="L382" i="5"/>
  <c r="C416" i="1"/>
  <c r="J155" i="1"/>
  <c r="C426" i="5"/>
  <c r="L426" i="5"/>
  <c r="K417" i="1"/>
  <c r="C744" i="1"/>
  <c r="C745" i="1"/>
  <c r="L383" i="5"/>
  <c r="C427" i="5"/>
  <c r="L427" i="5"/>
  <c r="K418" i="1"/>
  <c r="C417" i="1"/>
  <c r="J156" i="1"/>
  <c r="L385" i="5"/>
  <c r="L384" i="5"/>
  <c r="C428" i="5"/>
  <c r="C746" i="1"/>
  <c r="K419" i="1"/>
  <c r="C418" i="1"/>
  <c r="J157" i="1"/>
  <c r="K420" i="1"/>
  <c r="L428" i="5"/>
  <c r="C429" i="5"/>
  <c r="L429" i="5"/>
  <c r="C419" i="1"/>
  <c r="J158" i="1"/>
  <c r="C747" i="1"/>
  <c r="L386" i="5"/>
  <c r="C430" i="5"/>
  <c r="L430" i="5"/>
  <c r="C748" i="1"/>
  <c r="K421" i="1"/>
  <c r="C420" i="1"/>
  <c r="J159" i="1"/>
  <c r="K422" i="1"/>
  <c r="L387" i="5"/>
  <c r="C431" i="5"/>
  <c r="L431" i="5"/>
  <c r="C421" i="1"/>
  <c r="J160" i="1"/>
  <c r="C749" i="1"/>
  <c r="L389" i="5"/>
  <c r="L388" i="5"/>
  <c r="C750" i="1"/>
  <c r="K423" i="1"/>
  <c r="C422" i="1"/>
  <c r="J161" i="1"/>
  <c r="C432" i="5"/>
  <c r="L432" i="5"/>
  <c r="K424" i="1"/>
  <c r="C433" i="5"/>
  <c r="L433" i="5"/>
  <c r="C423" i="1"/>
  <c r="J162" i="1"/>
  <c r="C751" i="1"/>
  <c r="K425" i="1"/>
  <c r="L391" i="5"/>
  <c r="C425" i="1"/>
  <c r="J164" i="1"/>
  <c r="C752" i="1"/>
  <c r="L390" i="5"/>
  <c r="C435" i="5"/>
  <c r="L435" i="5"/>
  <c r="C424" i="1"/>
  <c r="J163" i="1"/>
  <c r="C434" i="5"/>
  <c r="L434" i="5"/>
  <c r="C754" i="1"/>
  <c r="C753" i="1"/>
  <c r="K426" i="1"/>
  <c r="K427" i="1"/>
  <c r="L392" i="5"/>
  <c r="C426" i="1"/>
  <c r="J165" i="1"/>
  <c r="C436" i="5"/>
  <c r="L436" i="5"/>
  <c r="L393" i="5"/>
  <c r="C427" i="1"/>
  <c r="J166" i="1"/>
  <c r="C437" i="5"/>
  <c r="L437" i="5"/>
  <c r="K428" i="1"/>
  <c r="C755" i="1"/>
  <c r="L394" i="5"/>
  <c r="K429" i="1"/>
  <c r="C756" i="1"/>
  <c r="C428" i="1"/>
  <c r="J167" i="1"/>
  <c r="C438" i="5"/>
  <c r="L438" i="5"/>
  <c r="L395" i="5"/>
  <c r="C439" i="5"/>
  <c r="L439" i="5"/>
  <c r="L396" i="5"/>
  <c r="K430" i="1"/>
  <c r="C757" i="1"/>
  <c r="C429" i="1"/>
  <c r="J168" i="1"/>
  <c r="H294" i="11"/>
  <c r="K431" i="1"/>
  <c r="C430" i="1"/>
  <c r="J169" i="1"/>
  <c r="C440" i="5"/>
  <c r="L440" i="5"/>
  <c r="M294" i="11"/>
  <c r="H397" i="1"/>
  <c r="F724" i="1"/>
  <c r="J724" i="1"/>
  <c r="K724" i="1"/>
  <c r="C758" i="1"/>
  <c r="D338" i="11"/>
  <c r="M338" i="11"/>
  <c r="D91" i="1"/>
  <c r="L397" i="1"/>
  <c r="L397" i="5"/>
  <c r="L179" i="7"/>
  <c r="E97" i="14"/>
  <c r="G97" i="14"/>
  <c r="M724" i="1"/>
  <c r="C431" i="1"/>
  <c r="J170" i="1"/>
  <c r="C441" i="5"/>
  <c r="L441" i="5"/>
  <c r="C759" i="1"/>
  <c r="K432" i="1"/>
  <c r="L398" i="5"/>
  <c r="G443" i="5"/>
  <c r="D848" i="1"/>
  <c r="C848" i="1"/>
  <c r="I136" i="1"/>
  <c r="C433" i="1"/>
  <c r="J172" i="1"/>
  <c r="C443" i="5"/>
  <c r="C442" i="5"/>
  <c r="L442" i="5"/>
  <c r="C432" i="1"/>
  <c r="J171" i="1"/>
  <c r="C760" i="1"/>
  <c r="I443" i="5"/>
  <c r="E433" i="1"/>
  <c r="K433" i="1"/>
  <c r="L443" i="5"/>
  <c r="C92" i="1"/>
  <c r="L137" i="1"/>
  <c r="M179" i="7"/>
  <c r="N179" i="7"/>
  <c r="F584" i="6"/>
  <c r="K534" i="6"/>
  <c r="G584" i="6"/>
  <c r="L534" i="6"/>
  <c r="H725" i="1"/>
  <c r="J584" i="6"/>
  <c r="H584" i="6"/>
  <c r="G725" i="1"/>
  <c r="I725" i="1"/>
  <c r="I584" i="6"/>
  <c r="K584" i="6"/>
  <c r="L317" i="6"/>
  <c r="L725" i="1"/>
  <c r="N849" i="1"/>
  <c r="K317" i="6"/>
  <c r="K180" i="7"/>
  <c r="J227" i="7"/>
  <c r="M227" i="7"/>
  <c r="H137" i="1"/>
  <c r="L227" i="7"/>
  <c r="G137" i="1"/>
  <c r="F137" i="1"/>
  <c r="N227" i="7"/>
  <c r="F98" i="14"/>
  <c r="H295" i="11"/>
  <c r="F725" i="1"/>
  <c r="J725" i="1"/>
  <c r="K725" i="1"/>
  <c r="L398" i="1"/>
  <c r="E726" i="1"/>
  <c r="M295" i="11"/>
  <c r="L296" i="11"/>
  <c r="H296" i="11"/>
  <c r="C340" i="11"/>
  <c r="L340" i="11"/>
  <c r="G399" i="1"/>
  <c r="D339" i="11"/>
  <c r="M339" i="11"/>
  <c r="H398" i="1"/>
  <c r="E98" i="14"/>
  <c r="G98" i="14"/>
  <c r="L180" i="7"/>
  <c r="E727" i="1"/>
  <c r="F726" i="1"/>
  <c r="L297" i="11"/>
  <c r="M296" i="11"/>
  <c r="D92" i="1"/>
  <c r="K137" i="1"/>
  <c r="M137" i="1"/>
  <c r="H297" i="11"/>
  <c r="L400" i="1"/>
  <c r="F727" i="1"/>
  <c r="D849" i="1"/>
  <c r="I137" i="1"/>
  <c r="C849" i="1"/>
  <c r="L628" i="1"/>
  <c r="N137" i="1"/>
  <c r="M628" i="1"/>
  <c r="C341" i="11"/>
  <c r="L341" i="11"/>
  <c r="G400" i="1"/>
  <c r="E92" i="1"/>
  <c r="M725" i="1"/>
  <c r="N725" i="1"/>
  <c r="D340" i="11"/>
  <c r="M340" i="11"/>
  <c r="H399" i="1"/>
  <c r="L399" i="1"/>
  <c r="H298" i="11"/>
  <c r="H299" i="11"/>
  <c r="H300" i="11"/>
  <c r="L298" i="11"/>
  <c r="G401" i="1"/>
  <c r="E729" i="1"/>
  <c r="K138" i="1"/>
  <c r="N628" i="1"/>
  <c r="E728" i="1"/>
  <c r="M297" i="11"/>
  <c r="C342" i="11"/>
  <c r="G301" i="11"/>
  <c r="M298" i="11"/>
  <c r="F299" i="11"/>
  <c r="K535" i="6"/>
  <c r="L138" i="1"/>
  <c r="M138" i="1"/>
  <c r="M180" i="7"/>
  <c r="N180" i="7"/>
  <c r="C93" i="1"/>
  <c r="F585" i="6"/>
  <c r="H400" i="1"/>
  <c r="D341" i="11"/>
  <c r="M341" i="11"/>
  <c r="L299" i="11"/>
  <c r="L535" i="6"/>
  <c r="G585" i="6"/>
  <c r="L342" i="11"/>
  <c r="D93" i="1"/>
  <c r="H726" i="1"/>
  <c r="J726" i="1"/>
  <c r="M726" i="1"/>
  <c r="J585" i="6"/>
  <c r="G302" i="11"/>
  <c r="E730" i="1"/>
  <c r="G726" i="1"/>
  <c r="I726" i="1"/>
  <c r="H585" i="6"/>
  <c r="K585" i="6"/>
  <c r="I585" i="6"/>
  <c r="F728" i="1"/>
  <c r="E93" i="1"/>
  <c r="C343" i="11"/>
  <c r="L343" i="11"/>
  <c r="G402" i="1"/>
  <c r="L629" i="1"/>
  <c r="N138" i="1"/>
  <c r="M629" i="1"/>
  <c r="M299" i="11"/>
  <c r="F729" i="1"/>
  <c r="K139" i="1"/>
  <c r="H401" i="1"/>
  <c r="D342" i="11"/>
  <c r="M342" i="11"/>
  <c r="K726" i="1"/>
  <c r="G303" i="11"/>
  <c r="L726" i="1"/>
  <c r="N726" i="1"/>
  <c r="M300" i="11"/>
  <c r="L300" i="11"/>
  <c r="N629" i="1"/>
  <c r="F730" i="1"/>
  <c r="D343" i="11"/>
  <c r="M343" i="11"/>
  <c r="H402" i="1"/>
  <c r="L401" i="1"/>
  <c r="K318" i="6"/>
  <c r="N850" i="1"/>
  <c r="L402" i="1"/>
  <c r="K140" i="1"/>
  <c r="L318" i="6"/>
  <c r="G304" i="11"/>
  <c r="L403" i="1"/>
  <c r="F731" i="1"/>
  <c r="K181" i="7"/>
  <c r="E99" i="14"/>
  <c r="L301" i="11"/>
  <c r="D344" i="11"/>
  <c r="M344" i="11"/>
  <c r="H403" i="1"/>
  <c r="L181" i="7"/>
  <c r="C344" i="11"/>
  <c r="L344" i="11"/>
  <c r="G403" i="1"/>
  <c r="K141" i="1"/>
  <c r="E731" i="1"/>
  <c r="M301" i="11"/>
  <c r="E732" i="1"/>
  <c r="L404" i="1"/>
  <c r="K142" i="1"/>
  <c r="C345" i="11"/>
  <c r="L345" i="11"/>
  <c r="G404" i="1"/>
  <c r="L302" i="11"/>
  <c r="G405" i="1"/>
  <c r="E733" i="1"/>
  <c r="C346" i="11"/>
  <c r="L346" i="11"/>
  <c r="F732" i="1"/>
  <c r="L405" i="1"/>
  <c r="D345" i="11"/>
  <c r="M345" i="11"/>
  <c r="H404" i="1"/>
  <c r="J228" i="7"/>
  <c r="M228" i="7"/>
  <c r="H138" i="1"/>
  <c r="L228" i="7"/>
  <c r="G138" i="1"/>
  <c r="L303" i="11"/>
  <c r="C347" i="11"/>
  <c r="L347" i="11"/>
  <c r="E734" i="1"/>
  <c r="N228" i="7"/>
  <c r="F138" i="1"/>
  <c r="F99" i="14"/>
  <c r="G99" i="14"/>
  <c r="M302" i="11"/>
  <c r="K143" i="1"/>
  <c r="G406" i="1"/>
  <c r="E304" i="11"/>
  <c r="F733" i="1"/>
  <c r="D346" i="11"/>
  <c r="M346" i="11"/>
  <c r="H405" i="1"/>
  <c r="L304" i="11"/>
  <c r="C348" i="11"/>
  <c r="L348" i="11"/>
  <c r="E735" i="1"/>
  <c r="L305" i="11"/>
  <c r="G408" i="1"/>
  <c r="L406" i="1"/>
  <c r="D850" i="1"/>
  <c r="M303" i="11"/>
  <c r="K144" i="1"/>
  <c r="C850" i="1"/>
  <c r="I138" i="1"/>
  <c r="G407" i="1"/>
  <c r="C349" i="11"/>
  <c r="L349" i="11"/>
  <c r="D347" i="11"/>
  <c r="M347" i="11"/>
  <c r="H406" i="1"/>
  <c r="F734" i="1"/>
  <c r="L306" i="11"/>
  <c r="M304" i="11"/>
  <c r="H407" i="1"/>
  <c r="D94" i="1"/>
  <c r="F586" i="6"/>
  <c r="K145" i="1"/>
  <c r="L407" i="1"/>
  <c r="L139" i="1"/>
  <c r="M139" i="1"/>
  <c r="C94" i="1"/>
  <c r="G586" i="6"/>
  <c r="K536" i="6"/>
  <c r="L536" i="6"/>
  <c r="D348" i="11"/>
  <c r="M348" i="11"/>
  <c r="C350" i="11"/>
  <c r="G409" i="1"/>
  <c r="E736" i="1"/>
  <c r="H727" i="1"/>
  <c r="J727" i="1"/>
  <c r="M727" i="1"/>
  <c r="J586" i="6"/>
  <c r="L350" i="11"/>
  <c r="F735" i="1"/>
  <c r="M305" i="11"/>
  <c r="M181" i="7"/>
  <c r="N181" i="7"/>
  <c r="K146" i="1"/>
  <c r="L630" i="1"/>
  <c r="N139" i="1"/>
  <c r="M630" i="1"/>
  <c r="G727" i="1"/>
  <c r="I727" i="1"/>
  <c r="H586" i="6"/>
  <c r="K586" i="6"/>
  <c r="I586" i="6"/>
  <c r="L408" i="1"/>
  <c r="E94" i="1"/>
  <c r="K727" i="1"/>
  <c r="L409" i="1"/>
  <c r="E737" i="1"/>
  <c r="L307" i="11"/>
  <c r="H408" i="1"/>
  <c r="K147" i="1"/>
  <c r="D349" i="11"/>
  <c r="M349" i="11"/>
  <c r="N630" i="1"/>
  <c r="L319" i="6"/>
  <c r="N851" i="1"/>
  <c r="N727" i="1"/>
  <c r="L727" i="1"/>
  <c r="K319" i="6"/>
  <c r="E739" i="1"/>
  <c r="F736" i="1"/>
  <c r="G410" i="1"/>
  <c r="C351" i="11"/>
  <c r="L351" i="11"/>
  <c r="E738" i="1"/>
  <c r="L308" i="11"/>
  <c r="C352" i="11"/>
  <c r="K182" i="7"/>
  <c r="E100" i="14"/>
  <c r="L182" i="7"/>
  <c r="E740" i="1"/>
  <c r="M306" i="11"/>
  <c r="L352" i="11"/>
  <c r="G411" i="1"/>
  <c r="L309" i="11"/>
  <c r="E741" i="1"/>
  <c r="D350" i="11"/>
  <c r="M350" i="11"/>
  <c r="H409" i="1"/>
  <c r="K148" i="1"/>
  <c r="L410" i="1"/>
  <c r="F737" i="1"/>
  <c r="L310" i="11"/>
  <c r="C354" i="11"/>
  <c r="C353" i="11"/>
  <c r="L353" i="11"/>
  <c r="G412" i="1"/>
  <c r="M229" i="7"/>
  <c r="H139" i="1"/>
  <c r="J229" i="7"/>
  <c r="L229" i="7"/>
  <c r="G139" i="1"/>
  <c r="L354" i="11"/>
  <c r="G413" i="1"/>
  <c r="E742" i="1"/>
  <c r="M307" i="11"/>
  <c r="F100" i="14"/>
  <c r="G100" i="14"/>
  <c r="F139" i="1"/>
  <c r="N229" i="7"/>
  <c r="L311" i="11"/>
  <c r="M308" i="11"/>
  <c r="H410" i="1"/>
  <c r="K149" i="1"/>
  <c r="D351" i="11"/>
  <c r="M351" i="11"/>
  <c r="F738" i="1"/>
  <c r="L411" i="1"/>
  <c r="L312" i="11"/>
  <c r="G415" i="1"/>
  <c r="C355" i="11"/>
  <c r="L355" i="11"/>
  <c r="G414" i="1"/>
  <c r="M309" i="11"/>
  <c r="D352" i="11"/>
  <c r="M352" i="11"/>
  <c r="H411" i="1"/>
  <c r="K150" i="1"/>
  <c r="L412" i="1"/>
  <c r="F739" i="1"/>
  <c r="E743" i="1"/>
  <c r="D851" i="1"/>
  <c r="C356" i="11"/>
  <c r="L356" i="11"/>
  <c r="L313" i="11"/>
  <c r="I139" i="1"/>
  <c r="C851" i="1"/>
  <c r="M310" i="11"/>
  <c r="D353" i="11"/>
  <c r="M353" i="11"/>
  <c r="H412" i="1"/>
  <c r="K151" i="1"/>
  <c r="L413" i="1"/>
  <c r="F740" i="1"/>
  <c r="C357" i="11"/>
  <c r="L357" i="11"/>
  <c r="G416" i="1"/>
  <c r="L314" i="11"/>
  <c r="E744" i="1"/>
  <c r="F741" i="1"/>
  <c r="D354" i="11"/>
  <c r="M354" i="11"/>
  <c r="H413" i="1"/>
  <c r="K152" i="1"/>
  <c r="L414" i="1"/>
  <c r="F587" i="6"/>
  <c r="E745" i="1"/>
  <c r="L537" i="6"/>
  <c r="G587" i="6"/>
  <c r="C358" i="11"/>
  <c r="L358" i="11"/>
  <c r="G417" i="1"/>
  <c r="L140" i="1"/>
  <c r="M140" i="1"/>
  <c r="C95" i="1"/>
  <c r="K537" i="6"/>
  <c r="L315" i="11"/>
  <c r="D95" i="1"/>
  <c r="H728" i="1"/>
  <c r="J728" i="1"/>
  <c r="J587" i="6"/>
  <c r="M311" i="11"/>
  <c r="M182" i="7"/>
  <c r="N182" i="7"/>
  <c r="M728" i="1"/>
  <c r="E95" i="1"/>
  <c r="L631" i="1"/>
  <c r="N140" i="1"/>
  <c r="M631" i="1"/>
  <c r="E746" i="1"/>
  <c r="G728" i="1"/>
  <c r="I728" i="1"/>
  <c r="H587" i="6"/>
  <c r="K587" i="6"/>
  <c r="I587" i="6"/>
  <c r="C359" i="11"/>
  <c r="L359" i="11"/>
  <c r="G418" i="1"/>
  <c r="K728" i="1"/>
  <c r="M312" i="11"/>
  <c r="H414" i="1"/>
  <c r="K153" i="1"/>
  <c r="D355" i="11"/>
  <c r="M355" i="11"/>
  <c r="L415" i="1"/>
  <c r="F742" i="1"/>
  <c r="L316" i="11"/>
  <c r="C360" i="11"/>
  <c r="L360" i="11"/>
  <c r="N852" i="1"/>
  <c r="K320" i="6"/>
  <c r="G419" i="1"/>
  <c r="L320" i="6"/>
  <c r="N728" i="1"/>
  <c r="N631" i="1"/>
  <c r="L728" i="1"/>
  <c r="E747" i="1"/>
  <c r="D356" i="11"/>
  <c r="M356" i="11"/>
  <c r="H415" i="1"/>
  <c r="K154" i="1"/>
  <c r="F743" i="1"/>
  <c r="L416" i="1"/>
  <c r="L317" i="11"/>
  <c r="G420" i="1"/>
  <c r="L183" i="7"/>
  <c r="K183" i="7"/>
  <c r="E101" i="14"/>
  <c r="M313" i="11"/>
  <c r="H416" i="1"/>
  <c r="K155" i="1"/>
  <c r="D357" i="11"/>
  <c r="M357" i="11"/>
  <c r="C361" i="11"/>
  <c r="L361" i="11"/>
  <c r="E748" i="1"/>
  <c r="M314" i="11"/>
  <c r="F744" i="1"/>
  <c r="L417" i="1"/>
  <c r="L318" i="11"/>
  <c r="M230" i="7"/>
  <c r="H140" i="1"/>
  <c r="J230" i="7"/>
  <c r="L230" i="7"/>
  <c r="G140" i="1"/>
  <c r="M315" i="11"/>
  <c r="H417" i="1"/>
  <c r="K156" i="1"/>
  <c r="D358" i="11"/>
  <c r="M358" i="11"/>
  <c r="F745" i="1"/>
  <c r="L418" i="1"/>
  <c r="G421" i="1"/>
  <c r="C362" i="11"/>
  <c r="L362" i="11"/>
  <c r="E749" i="1"/>
  <c r="F101" i="14"/>
  <c r="G101" i="14"/>
  <c r="F140" i="1"/>
  <c r="N230" i="7"/>
  <c r="L319" i="11"/>
  <c r="D359" i="11"/>
  <c r="M359" i="11"/>
  <c r="H418" i="1"/>
  <c r="K157" i="1"/>
  <c r="C363" i="11"/>
  <c r="L363" i="11"/>
  <c r="G422" i="1"/>
  <c r="E750" i="1"/>
  <c r="L320" i="11"/>
  <c r="G423" i="1"/>
  <c r="M316" i="11"/>
  <c r="F746" i="1"/>
  <c r="L419" i="1"/>
  <c r="C364" i="11"/>
  <c r="L364" i="11"/>
  <c r="E751" i="1"/>
  <c r="D852" i="1"/>
  <c r="C852" i="1"/>
  <c r="I140" i="1"/>
  <c r="M317" i="11"/>
  <c r="D360" i="11"/>
  <c r="M360" i="11"/>
  <c r="H419" i="1"/>
  <c r="K158" i="1"/>
  <c r="F747" i="1"/>
  <c r="L420" i="1"/>
  <c r="L321" i="11"/>
  <c r="H420" i="1"/>
  <c r="K159" i="1"/>
  <c r="D361" i="11"/>
  <c r="M361" i="11"/>
  <c r="M318" i="11"/>
  <c r="F748" i="1"/>
  <c r="L421" i="1"/>
  <c r="G424" i="1"/>
  <c r="C365" i="11"/>
  <c r="L365" i="11"/>
  <c r="E752" i="1"/>
  <c r="K538" i="6"/>
  <c r="L141" i="1"/>
  <c r="M141" i="1"/>
  <c r="C96" i="1"/>
  <c r="L538" i="6"/>
  <c r="G588" i="6"/>
  <c r="F588" i="6"/>
  <c r="D96" i="1"/>
  <c r="M319" i="11"/>
  <c r="H729" i="1"/>
  <c r="J729" i="1"/>
  <c r="M729" i="1"/>
  <c r="J588" i="6"/>
  <c r="D362" i="11"/>
  <c r="M362" i="11"/>
  <c r="H421" i="1"/>
  <c r="K160" i="1"/>
  <c r="F749" i="1"/>
  <c r="L422" i="1"/>
  <c r="L322" i="11"/>
  <c r="E96" i="1"/>
  <c r="M183" i="7"/>
  <c r="N183" i="7"/>
  <c r="G729" i="1"/>
  <c r="I729" i="1"/>
  <c r="K729" i="1"/>
  <c r="H588" i="6"/>
  <c r="I588" i="6"/>
  <c r="K588" i="6"/>
  <c r="L632" i="1"/>
  <c r="N141" i="1"/>
  <c r="M632" i="1"/>
  <c r="D363" i="11"/>
  <c r="M363" i="11"/>
  <c r="H422" i="1"/>
  <c r="K161" i="1"/>
  <c r="L323" i="11"/>
  <c r="C366" i="11"/>
  <c r="L366" i="11"/>
  <c r="G425" i="1"/>
  <c r="E753" i="1"/>
  <c r="K321" i="6"/>
  <c r="N729" i="1"/>
  <c r="N632" i="1"/>
  <c r="L729" i="1"/>
  <c r="N853" i="1"/>
  <c r="L321" i="6"/>
  <c r="M320" i="11"/>
  <c r="L423" i="1"/>
  <c r="F750" i="1"/>
  <c r="L324" i="11"/>
  <c r="C367" i="11"/>
  <c r="L367" i="11"/>
  <c r="G426" i="1"/>
  <c r="E754" i="1"/>
  <c r="L184" i="7"/>
  <c r="K184" i="7"/>
  <c r="E102" i="14"/>
  <c r="H423" i="1"/>
  <c r="K162" i="1"/>
  <c r="D364" i="11"/>
  <c r="M364" i="11"/>
  <c r="G427" i="1"/>
  <c r="C368" i="11"/>
  <c r="L368" i="11"/>
  <c r="E755" i="1"/>
  <c r="M321" i="11"/>
  <c r="L424" i="1"/>
  <c r="F751" i="1"/>
  <c r="L325" i="11"/>
  <c r="C369" i="11"/>
  <c r="L369" i="11"/>
  <c r="M231" i="7"/>
  <c r="H141" i="1"/>
  <c r="J231" i="7"/>
  <c r="L231" i="7"/>
  <c r="G141" i="1"/>
  <c r="D365" i="11"/>
  <c r="M365" i="11"/>
  <c r="H424" i="1"/>
  <c r="K163" i="1"/>
  <c r="G428" i="1"/>
  <c r="F141" i="1"/>
  <c r="F102" i="14"/>
  <c r="G102" i="14"/>
  <c r="N231" i="7"/>
  <c r="M322" i="11"/>
  <c r="F752" i="1"/>
  <c r="L425" i="1"/>
  <c r="F754" i="1"/>
  <c r="E756" i="1"/>
  <c r="L326" i="11"/>
  <c r="M323" i="11"/>
  <c r="H425" i="1"/>
  <c r="K164" i="1"/>
  <c r="D366" i="11"/>
  <c r="M366" i="11"/>
  <c r="F753" i="1"/>
  <c r="L426" i="1"/>
  <c r="D853" i="1"/>
  <c r="I141" i="1"/>
  <c r="C853" i="1"/>
  <c r="L427" i="1"/>
  <c r="C370" i="11"/>
  <c r="L370" i="11"/>
  <c r="G429" i="1"/>
  <c r="D367" i="11"/>
  <c r="M367" i="11"/>
  <c r="H426" i="1"/>
  <c r="K165" i="1"/>
  <c r="M324" i="11"/>
  <c r="E757" i="1"/>
  <c r="L327" i="11"/>
  <c r="G589" i="6"/>
  <c r="L539" i="6"/>
  <c r="D97" i="1"/>
  <c r="F589" i="6"/>
  <c r="K539" i="6"/>
  <c r="L142" i="1"/>
  <c r="M142" i="1"/>
  <c r="C97" i="1"/>
  <c r="G430" i="1"/>
  <c r="C371" i="11"/>
  <c r="L371" i="11"/>
  <c r="D368" i="11"/>
  <c r="M368" i="11"/>
  <c r="H427" i="1"/>
  <c r="K166" i="1"/>
  <c r="H730" i="1"/>
  <c r="J730" i="1"/>
  <c r="M730" i="1"/>
  <c r="J589" i="6"/>
  <c r="E97" i="1"/>
  <c r="L633" i="1"/>
  <c r="N142" i="1"/>
  <c r="M633" i="1"/>
  <c r="M184" i="7"/>
  <c r="N184" i="7"/>
  <c r="G730" i="1"/>
  <c r="I730" i="1"/>
  <c r="K730" i="1"/>
  <c r="H589" i="6"/>
  <c r="I589" i="6"/>
  <c r="K589" i="6"/>
  <c r="E758" i="1"/>
  <c r="L428" i="1"/>
  <c r="F755" i="1"/>
  <c r="L328" i="11"/>
  <c r="M325" i="11"/>
  <c r="L730" i="1"/>
  <c r="K322" i="6"/>
  <c r="N633" i="1"/>
  <c r="L322" i="6"/>
  <c r="N730" i="1"/>
  <c r="N854" i="1"/>
  <c r="G431" i="1"/>
  <c r="C372" i="11"/>
  <c r="L372" i="11"/>
  <c r="D369" i="11"/>
  <c r="M369" i="11"/>
  <c r="H428" i="1"/>
  <c r="K167" i="1"/>
  <c r="L185" i="7"/>
  <c r="K185" i="7"/>
  <c r="E103" i="14"/>
  <c r="E759" i="1"/>
  <c r="M326" i="11"/>
  <c r="L329" i="11"/>
  <c r="F756" i="1"/>
  <c r="L429" i="1"/>
  <c r="G432" i="1"/>
  <c r="C373" i="11"/>
  <c r="L373" i="11"/>
  <c r="G374" i="11"/>
  <c r="H429" i="1"/>
  <c r="K168" i="1"/>
  <c r="D370" i="11"/>
  <c r="M370" i="11"/>
  <c r="J232" i="7"/>
  <c r="M232" i="7"/>
  <c r="H142" i="1"/>
  <c r="L232" i="7"/>
  <c r="G142" i="1"/>
  <c r="E760" i="1"/>
  <c r="I760" i="1"/>
  <c r="I374" i="11"/>
  <c r="I433" i="1"/>
  <c r="G884" i="1"/>
  <c r="E88" i="14"/>
  <c r="I88" i="14"/>
  <c r="F757" i="1"/>
  <c r="L430" i="1"/>
  <c r="G433" i="1"/>
  <c r="C127" i="1"/>
  <c r="C374" i="11"/>
  <c r="M327" i="11"/>
  <c r="F103" i="14"/>
  <c r="G103" i="14"/>
  <c r="N232" i="7"/>
  <c r="F142" i="1"/>
  <c r="L760" i="1"/>
  <c r="L374" i="11"/>
  <c r="H430" i="1"/>
  <c r="K169" i="1"/>
  <c r="D371" i="11"/>
  <c r="M371" i="11"/>
  <c r="F758" i="1"/>
  <c r="L431" i="1"/>
  <c r="M328" i="11"/>
  <c r="I142" i="1"/>
  <c r="C854" i="1"/>
  <c r="D854" i="1"/>
  <c r="D372" i="11"/>
  <c r="M372" i="11"/>
  <c r="H431" i="1"/>
  <c r="K170" i="1"/>
  <c r="L432" i="1"/>
  <c r="F759" i="1"/>
  <c r="M329" i="11"/>
  <c r="L540" i="6"/>
  <c r="F590" i="6"/>
  <c r="K540" i="6"/>
  <c r="G590" i="6"/>
  <c r="D98" i="1"/>
  <c r="L143" i="1"/>
  <c r="M143" i="1"/>
  <c r="C98" i="1"/>
  <c r="H374" i="11"/>
  <c r="D373" i="11"/>
  <c r="M373" i="11"/>
  <c r="H432" i="1"/>
  <c r="K171" i="1"/>
  <c r="H731" i="1"/>
  <c r="J731" i="1"/>
  <c r="M731" i="1"/>
  <c r="J590" i="6"/>
  <c r="M185" i="7"/>
  <c r="N185" i="7"/>
  <c r="L323" i="6"/>
  <c r="E98" i="1"/>
  <c r="K323" i="6"/>
  <c r="N143" i="1"/>
  <c r="M634" i="1"/>
  <c r="L634" i="1"/>
  <c r="H590" i="6"/>
  <c r="G731" i="1"/>
  <c r="I731" i="1"/>
  <c r="K590" i="6"/>
  <c r="I590" i="6"/>
  <c r="N855" i="1"/>
  <c r="K731" i="1"/>
  <c r="F760" i="1"/>
  <c r="J374" i="11"/>
  <c r="J433" i="1"/>
  <c r="L433" i="1"/>
  <c r="D374" i="11"/>
  <c r="H433" i="1"/>
  <c r="K172" i="1"/>
  <c r="N634" i="1"/>
  <c r="K186" i="7"/>
  <c r="E104" i="14"/>
  <c r="N731" i="1"/>
  <c r="L731" i="1"/>
  <c r="L186" i="7"/>
  <c r="M374" i="11"/>
  <c r="M233" i="7"/>
  <c r="H143" i="1"/>
  <c r="J233" i="7"/>
  <c r="L233" i="7"/>
  <c r="G143" i="1"/>
  <c r="F143" i="1"/>
  <c r="F104" i="14"/>
  <c r="G104" i="14"/>
  <c r="N233" i="7"/>
  <c r="I143" i="1"/>
  <c r="C855" i="1"/>
  <c r="D855" i="1"/>
  <c r="L144" i="1"/>
  <c r="M144" i="1"/>
  <c r="C99" i="1"/>
  <c r="F591" i="6"/>
  <c r="L541" i="6"/>
  <c r="G591" i="6"/>
  <c r="K541" i="6"/>
  <c r="D99" i="1"/>
  <c r="H732" i="1"/>
  <c r="J732" i="1"/>
  <c r="M732" i="1"/>
  <c r="J591" i="6"/>
  <c r="N856" i="1"/>
  <c r="G732" i="1"/>
  <c r="I732" i="1"/>
  <c r="K732" i="1"/>
  <c r="H591" i="6"/>
  <c r="I591" i="6"/>
  <c r="K591" i="6"/>
  <c r="M186" i="7"/>
  <c r="N186" i="7"/>
  <c r="E99" i="1"/>
  <c r="L635" i="1"/>
  <c r="N144" i="1"/>
  <c r="M635" i="1"/>
  <c r="K324" i="6"/>
  <c r="L732" i="1"/>
  <c r="N635" i="1"/>
  <c r="K187" i="7"/>
  <c r="L324" i="6"/>
  <c r="N732" i="1"/>
  <c r="L187" i="7"/>
  <c r="E105" i="14"/>
  <c r="J234" i="7"/>
  <c r="M234" i="7"/>
  <c r="H144" i="1"/>
  <c r="L234" i="7"/>
  <c r="G144" i="1"/>
  <c r="F144" i="1"/>
  <c r="F105" i="14"/>
  <c r="G105" i="14"/>
  <c r="N234" i="7"/>
  <c r="D856" i="1"/>
  <c r="I144" i="1"/>
  <c r="C856" i="1"/>
  <c r="F592" i="6"/>
  <c r="K542" i="6"/>
  <c r="L145" i="1"/>
  <c r="M145" i="1"/>
  <c r="C100" i="1"/>
  <c r="L542" i="6"/>
  <c r="G592" i="6"/>
  <c r="D100" i="1"/>
  <c r="M187" i="7"/>
  <c r="N187" i="7"/>
  <c r="H733" i="1"/>
  <c r="J733" i="1"/>
  <c r="M733" i="1"/>
  <c r="J592" i="6"/>
  <c r="E100" i="1"/>
  <c r="N857" i="1"/>
  <c r="L325" i="6"/>
  <c r="L636" i="1"/>
  <c r="N145" i="1"/>
  <c r="M636" i="1"/>
  <c r="K325" i="6"/>
  <c r="H592" i="6"/>
  <c r="G733" i="1"/>
  <c r="I733" i="1"/>
  <c r="K733" i="1"/>
  <c r="I592" i="6"/>
  <c r="K592" i="6"/>
  <c r="N636" i="1"/>
  <c r="L188" i="7"/>
  <c r="N733" i="1"/>
  <c r="L733" i="1"/>
  <c r="K188" i="7"/>
  <c r="E106" i="14"/>
  <c r="J235" i="7"/>
  <c r="M235" i="7"/>
  <c r="H145" i="1"/>
  <c r="L235" i="7"/>
  <c r="G145" i="1"/>
  <c r="F106" i="14"/>
  <c r="G106" i="14"/>
  <c r="F145" i="1"/>
  <c r="N235" i="7"/>
  <c r="D857" i="1"/>
  <c r="C857" i="1"/>
  <c r="I145" i="1"/>
  <c r="F593" i="6"/>
  <c r="L543" i="6"/>
  <c r="L146" i="1"/>
  <c r="M146" i="1"/>
  <c r="C101" i="1"/>
  <c r="D101" i="1"/>
  <c r="K543" i="6"/>
  <c r="G593" i="6"/>
  <c r="H734" i="1"/>
  <c r="J734" i="1"/>
  <c r="M734" i="1"/>
  <c r="J593" i="6"/>
  <c r="M188" i="7"/>
  <c r="N188" i="7"/>
  <c r="L326" i="6"/>
  <c r="N858" i="1"/>
  <c r="K326" i="6"/>
  <c r="E101" i="1"/>
  <c r="H593" i="6"/>
  <c r="G734" i="1"/>
  <c r="I734" i="1"/>
  <c r="K593" i="6"/>
  <c r="I593" i="6"/>
  <c r="L637" i="1"/>
  <c r="N146" i="1"/>
  <c r="M637" i="1"/>
  <c r="K734" i="1"/>
  <c r="L734" i="1"/>
  <c r="N637" i="1"/>
  <c r="N734" i="1"/>
  <c r="K189" i="7"/>
  <c r="E107" i="14"/>
  <c r="L189" i="7"/>
  <c r="M236" i="7"/>
  <c r="H146" i="1"/>
  <c r="J236" i="7"/>
  <c r="L236" i="7"/>
  <c r="G146" i="1"/>
  <c r="N236" i="7"/>
  <c r="F107" i="14"/>
  <c r="G107" i="14"/>
  <c r="F146" i="1"/>
  <c r="I146" i="1"/>
  <c r="C858" i="1"/>
  <c r="D858" i="1"/>
  <c r="F594" i="6"/>
  <c r="G594" i="6"/>
  <c r="L147" i="1"/>
  <c r="M147" i="1"/>
  <c r="C102" i="1"/>
  <c r="K544" i="6"/>
  <c r="L544" i="6"/>
  <c r="D102" i="1"/>
  <c r="M189" i="7"/>
  <c r="N189" i="7"/>
  <c r="H735" i="1"/>
  <c r="J735" i="1"/>
  <c r="J594" i="6"/>
  <c r="M735" i="1"/>
  <c r="E102" i="1"/>
  <c r="L638" i="1"/>
  <c r="N147" i="1"/>
  <c r="M638" i="1"/>
  <c r="N859" i="1"/>
  <c r="H594" i="6"/>
  <c r="G735" i="1"/>
  <c r="I735" i="1"/>
  <c r="K594" i="6"/>
  <c r="I594" i="6"/>
  <c r="K735" i="1"/>
  <c r="L327" i="6"/>
  <c r="N638" i="1"/>
  <c r="N735" i="1"/>
  <c r="K327" i="6"/>
  <c r="L735" i="1"/>
  <c r="K190" i="7"/>
  <c r="E108" i="14"/>
  <c r="L190" i="7"/>
  <c r="J237" i="7"/>
  <c r="M237" i="7"/>
  <c r="H147" i="1"/>
  <c r="L237" i="7"/>
  <c r="G147" i="1"/>
  <c r="N237" i="7"/>
  <c r="F147" i="1"/>
  <c r="F108" i="14"/>
  <c r="G108" i="14"/>
  <c r="D859" i="1"/>
  <c r="C859" i="1"/>
  <c r="I147" i="1"/>
  <c r="K545" i="6"/>
  <c r="F595" i="6"/>
  <c r="L148" i="1"/>
  <c r="M148" i="1"/>
  <c r="C103" i="1"/>
  <c r="L545" i="6"/>
  <c r="G595" i="6"/>
  <c r="D103" i="1"/>
  <c r="H736" i="1"/>
  <c r="J736" i="1"/>
  <c r="M736" i="1"/>
  <c r="J595" i="6"/>
  <c r="E103" i="1"/>
  <c r="L328" i="6"/>
  <c r="K328" i="6"/>
  <c r="G736" i="1"/>
  <c r="I736" i="1"/>
  <c r="H595" i="6"/>
  <c r="I595" i="6"/>
  <c r="K595" i="6"/>
  <c r="L639" i="1"/>
  <c r="N148" i="1"/>
  <c r="M639" i="1"/>
  <c r="N860" i="1"/>
  <c r="M190" i="7"/>
  <c r="N190" i="7"/>
  <c r="K736" i="1"/>
  <c r="N736" i="1"/>
  <c r="N639" i="1"/>
  <c r="L191" i="7"/>
  <c r="K191" i="7"/>
  <c r="E109" i="14"/>
  <c r="L736" i="1"/>
  <c r="M238" i="7"/>
  <c r="H148" i="1"/>
  <c r="J238" i="7"/>
  <c r="L238" i="7"/>
  <c r="G148" i="1"/>
  <c r="N238" i="7"/>
  <c r="F148" i="1"/>
  <c r="F109" i="14"/>
  <c r="G109" i="14"/>
  <c r="D860" i="1"/>
  <c r="C860" i="1"/>
  <c r="I148" i="1"/>
  <c r="K546" i="6"/>
  <c r="F596" i="6"/>
  <c r="L149" i="1"/>
  <c r="M149" i="1"/>
  <c r="C104" i="1"/>
  <c r="G596" i="6"/>
  <c r="L546" i="6"/>
  <c r="D104" i="1"/>
  <c r="H737" i="1"/>
  <c r="J737" i="1"/>
  <c r="M737" i="1"/>
  <c r="J596" i="6"/>
  <c r="M191" i="7"/>
  <c r="N191" i="7"/>
  <c r="L640" i="1"/>
  <c r="N149" i="1"/>
  <c r="M640" i="1"/>
  <c r="K329" i="6"/>
  <c r="E104" i="1"/>
  <c r="G737" i="1"/>
  <c r="I737" i="1"/>
  <c r="H596" i="6"/>
  <c r="I596" i="6"/>
  <c r="K596" i="6"/>
  <c r="N861" i="1"/>
  <c r="K737" i="1"/>
  <c r="N737" i="1"/>
  <c r="L737" i="1"/>
  <c r="K192" i="7"/>
  <c r="L329" i="6"/>
  <c r="N640" i="1"/>
  <c r="L192" i="7"/>
  <c r="E110" i="14"/>
  <c r="M239" i="7"/>
  <c r="H149" i="1"/>
  <c r="J239" i="7"/>
  <c r="L239" i="7"/>
  <c r="G149" i="1"/>
  <c r="F110" i="14"/>
  <c r="G110" i="14"/>
  <c r="N239" i="7"/>
  <c r="F149" i="1"/>
  <c r="I149" i="1"/>
  <c r="C861" i="1"/>
  <c r="D861" i="1"/>
  <c r="K547" i="6"/>
  <c r="L547" i="6"/>
  <c r="G597" i="6"/>
  <c r="F597" i="6"/>
  <c r="D105" i="1"/>
  <c r="L150" i="1"/>
  <c r="M150" i="1"/>
  <c r="C105" i="1"/>
  <c r="H738" i="1"/>
  <c r="J738" i="1"/>
  <c r="M738" i="1"/>
  <c r="J597" i="6"/>
  <c r="M192" i="7"/>
  <c r="N192" i="7"/>
  <c r="H597" i="6"/>
  <c r="G738" i="1"/>
  <c r="I738" i="1"/>
  <c r="K597" i="6"/>
  <c r="I597" i="6"/>
  <c r="E105" i="1"/>
  <c r="N862" i="1"/>
  <c r="L641" i="1"/>
  <c r="N150" i="1"/>
  <c r="M641" i="1"/>
  <c r="K330" i="6"/>
  <c r="K738" i="1"/>
  <c r="L738" i="1"/>
  <c r="K193" i="7"/>
  <c r="N641" i="1"/>
  <c r="N738" i="1"/>
  <c r="L330" i="6"/>
  <c r="L193" i="7"/>
  <c r="E111" i="14"/>
  <c r="M240" i="7"/>
  <c r="H150" i="1"/>
  <c r="J240" i="7"/>
  <c r="L240" i="7"/>
  <c r="G150" i="1"/>
  <c r="N240" i="7"/>
  <c r="F150" i="1"/>
  <c r="F111" i="14"/>
  <c r="G111" i="14"/>
  <c r="D862" i="1"/>
  <c r="C862" i="1"/>
  <c r="I150" i="1"/>
  <c r="D106" i="1"/>
  <c r="L151" i="1"/>
  <c r="M151" i="1"/>
  <c r="C106" i="1"/>
  <c r="F598" i="6"/>
  <c r="K548" i="6"/>
  <c r="G598" i="6"/>
  <c r="L548" i="6"/>
  <c r="H739" i="1"/>
  <c r="J739" i="1"/>
  <c r="M739" i="1"/>
  <c r="J598" i="6"/>
  <c r="M193" i="7"/>
  <c r="N193" i="7"/>
  <c r="K331" i="6"/>
  <c r="L642" i="1"/>
  <c r="N151" i="1"/>
  <c r="M642" i="1"/>
  <c r="H598" i="6"/>
  <c r="G739" i="1"/>
  <c r="I739" i="1"/>
  <c r="K739" i="1"/>
  <c r="K598" i="6"/>
  <c r="I598" i="6"/>
  <c r="E106" i="1"/>
  <c r="N863" i="1"/>
  <c r="L739" i="1"/>
  <c r="N642" i="1"/>
  <c r="L331" i="6"/>
  <c r="N739" i="1"/>
  <c r="K194" i="7"/>
  <c r="L194" i="7"/>
  <c r="E112" i="14"/>
  <c r="J241" i="7"/>
  <c r="M241" i="7"/>
  <c r="H151" i="1"/>
  <c r="L241" i="7"/>
  <c r="G151" i="1"/>
  <c r="F112" i="14"/>
  <c r="G112" i="14"/>
  <c r="N241" i="7"/>
  <c r="F151" i="1"/>
  <c r="D863" i="1"/>
  <c r="C863" i="1"/>
  <c r="I151" i="1"/>
  <c r="K549" i="6"/>
  <c r="F599" i="6"/>
  <c r="L152" i="1"/>
  <c r="M152" i="1"/>
  <c r="C107" i="1"/>
  <c r="L549" i="6"/>
  <c r="D107" i="1"/>
  <c r="G599" i="6"/>
  <c r="H740" i="1"/>
  <c r="J740" i="1"/>
  <c r="M740" i="1"/>
  <c r="J599" i="6"/>
  <c r="M194" i="7"/>
  <c r="N194" i="7"/>
  <c r="K332" i="6"/>
  <c r="H599" i="6"/>
  <c r="G740" i="1"/>
  <c r="I740" i="1"/>
  <c r="K599" i="6"/>
  <c r="I599" i="6"/>
  <c r="N864" i="1"/>
  <c r="E107" i="1"/>
  <c r="L643" i="1"/>
  <c r="N152" i="1"/>
  <c r="M643" i="1"/>
  <c r="K740" i="1"/>
  <c r="N643" i="1"/>
  <c r="K195" i="7"/>
  <c r="L740" i="1"/>
  <c r="N740" i="1"/>
  <c r="L332" i="6"/>
  <c r="L195" i="7"/>
  <c r="E113" i="14"/>
  <c r="J242" i="7"/>
  <c r="M242" i="7"/>
  <c r="H152" i="1"/>
  <c r="L242" i="7"/>
  <c r="G152" i="1"/>
  <c r="F113" i="14"/>
  <c r="G113" i="14"/>
  <c r="N242" i="7"/>
  <c r="F152" i="1"/>
  <c r="D864" i="1"/>
  <c r="I152" i="1"/>
  <c r="C864" i="1"/>
  <c r="K550" i="6"/>
  <c r="G600" i="6"/>
  <c r="L550" i="6"/>
  <c r="L153" i="1"/>
  <c r="M153" i="1"/>
  <c r="C108" i="1"/>
  <c r="D108" i="1"/>
  <c r="F600" i="6"/>
  <c r="M195" i="7"/>
  <c r="N195" i="7"/>
  <c r="H741" i="1"/>
  <c r="J741" i="1"/>
  <c r="J600" i="6"/>
  <c r="M741" i="1"/>
  <c r="L644" i="1"/>
  <c r="N153" i="1"/>
  <c r="M644" i="1"/>
  <c r="L333" i="6"/>
  <c r="H600" i="6"/>
  <c r="G741" i="1"/>
  <c r="I741" i="1"/>
  <c r="K741" i="1"/>
  <c r="K600" i="6"/>
  <c r="I600" i="6"/>
  <c r="N865" i="1"/>
  <c r="E108" i="1"/>
  <c r="L196" i="7"/>
  <c r="K333" i="6"/>
  <c r="L741" i="1"/>
  <c r="N741" i="1"/>
  <c r="N644" i="1"/>
  <c r="K196" i="7"/>
  <c r="E114" i="14"/>
  <c r="M243" i="7"/>
  <c r="H153" i="1"/>
  <c r="J243" i="7"/>
  <c r="L243" i="7"/>
  <c r="G153" i="1"/>
  <c r="F114" i="14"/>
  <c r="G114" i="14"/>
  <c r="N243" i="7"/>
  <c r="F153" i="1"/>
  <c r="I153" i="1"/>
  <c r="C865" i="1"/>
  <c r="D865" i="1"/>
  <c r="K551" i="6"/>
  <c r="F601" i="6"/>
  <c r="L154" i="1"/>
  <c r="M154" i="1"/>
  <c r="C109" i="1"/>
  <c r="G601" i="6"/>
  <c r="L551" i="6"/>
  <c r="D109" i="1"/>
  <c r="M196" i="7"/>
  <c r="N196" i="7"/>
  <c r="H742" i="1"/>
  <c r="J742" i="1"/>
  <c r="J601" i="6"/>
  <c r="M742" i="1"/>
  <c r="E109" i="1"/>
  <c r="G742" i="1"/>
  <c r="I742" i="1"/>
  <c r="K742" i="1"/>
  <c r="H601" i="6"/>
  <c r="I601" i="6"/>
  <c r="K601" i="6"/>
  <c r="K334" i="6"/>
  <c r="L645" i="1"/>
  <c r="N154" i="1"/>
  <c r="M645" i="1"/>
  <c r="N866" i="1"/>
  <c r="N645" i="1"/>
  <c r="N742" i="1"/>
  <c r="L334" i="6"/>
  <c r="E115" i="14"/>
  <c r="K197" i="7"/>
  <c r="L742" i="1"/>
  <c r="L197" i="7"/>
  <c r="M244" i="7"/>
  <c r="H154" i="1"/>
  <c r="J244" i="7"/>
  <c r="L244" i="7"/>
  <c r="G154" i="1"/>
  <c r="N244" i="7"/>
  <c r="F154" i="1"/>
  <c r="F115" i="14"/>
  <c r="G115" i="14"/>
  <c r="I154" i="1"/>
  <c r="C866" i="1"/>
  <c r="D866" i="1"/>
  <c r="L552" i="6"/>
  <c r="G602" i="6"/>
  <c r="K552" i="6"/>
  <c r="D110" i="1"/>
  <c r="F602" i="6"/>
  <c r="L155" i="1"/>
  <c r="M155" i="1"/>
  <c r="C110" i="1"/>
  <c r="H743" i="1"/>
  <c r="J743" i="1"/>
  <c r="J602" i="6"/>
  <c r="N867" i="1"/>
  <c r="L646" i="1"/>
  <c r="N155" i="1"/>
  <c r="M646" i="1"/>
  <c r="L335" i="6"/>
  <c r="E110" i="1"/>
  <c r="K335" i="6"/>
  <c r="G743" i="1"/>
  <c r="I743" i="1"/>
  <c r="H602" i="6"/>
  <c r="I602" i="6"/>
  <c r="K602" i="6"/>
  <c r="M197" i="7"/>
  <c r="N197" i="7"/>
  <c r="M743" i="1"/>
  <c r="K743" i="1"/>
  <c r="L198" i="7"/>
  <c r="K198" i="7"/>
  <c r="E116" i="14"/>
  <c r="N646" i="1"/>
  <c r="N743" i="1"/>
  <c r="L743" i="1"/>
  <c r="J245" i="7"/>
  <c r="M245" i="7"/>
  <c r="H155" i="1"/>
  <c r="L245" i="7"/>
  <c r="G155" i="1"/>
  <c r="N245" i="7"/>
  <c r="F155" i="1"/>
  <c r="F116" i="14"/>
  <c r="G116" i="14"/>
  <c r="D867" i="1"/>
  <c r="C867" i="1"/>
  <c r="I155" i="1"/>
  <c r="F603" i="6"/>
  <c r="L156" i="1"/>
  <c r="M156" i="1"/>
  <c r="C111" i="1"/>
  <c r="G603" i="6"/>
  <c r="K553" i="6"/>
  <c r="D111" i="1"/>
  <c r="L553" i="6"/>
  <c r="M198" i="7"/>
  <c r="N198" i="7"/>
  <c r="H744" i="1"/>
  <c r="J744" i="1"/>
  <c r="J603" i="6"/>
  <c r="E111" i="1"/>
  <c r="M744" i="1"/>
  <c r="N156" i="1"/>
  <c r="M647" i="1"/>
  <c r="L647" i="1"/>
  <c r="N868" i="1"/>
  <c r="H603" i="6"/>
  <c r="G744" i="1"/>
  <c r="I744" i="1"/>
  <c r="K603" i="6"/>
  <c r="I603" i="6"/>
  <c r="K744" i="1"/>
  <c r="N647" i="1"/>
  <c r="N744" i="1"/>
  <c r="L744" i="1"/>
  <c r="K336" i="6"/>
  <c r="L336" i="6"/>
  <c r="L199" i="7"/>
  <c r="K199" i="7"/>
  <c r="E117" i="14"/>
  <c r="M246" i="7"/>
  <c r="H156" i="1"/>
  <c r="J246" i="7"/>
  <c r="L246" i="7"/>
  <c r="G156" i="1"/>
  <c r="N246" i="7"/>
  <c r="F117" i="14"/>
  <c r="G117" i="14"/>
  <c r="F156" i="1"/>
  <c r="D868" i="1"/>
  <c r="I156" i="1"/>
  <c r="C868" i="1"/>
  <c r="K554" i="6"/>
  <c r="L157" i="1"/>
  <c r="M157" i="1"/>
  <c r="C112" i="1"/>
  <c r="L554" i="6"/>
  <c r="F604" i="6"/>
  <c r="D112" i="1"/>
  <c r="G604" i="6"/>
  <c r="M199" i="7"/>
  <c r="N199" i="7"/>
  <c r="H745" i="1"/>
  <c r="J745" i="1"/>
  <c r="J604" i="6"/>
  <c r="K337" i="6"/>
  <c r="L648" i="1"/>
  <c r="N157" i="1"/>
  <c r="M648" i="1"/>
  <c r="N869" i="1"/>
  <c r="E112" i="1"/>
  <c r="M745" i="1"/>
  <c r="G745" i="1"/>
  <c r="I745" i="1"/>
  <c r="H604" i="6"/>
  <c r="K604" i="6"/>
  <c r="I604" i="6"/>
  <c r="K745" i="1"/>
  <c r="N648" i="1"/>
  <c r="L745" i="1"/>
  <c r="K200" i="7"/>
  <c r="L337" i="6"/>
  <c r="N745" i="1"/>
  <c r="L200" i="7"/>
  <c r="E118" i="14"/>
  <c r="J247" i="7"/>
  <c r="M247" i="7"/>
  <c r="H157" i="1"/>
  <c r="L247" i="7"/>
  <c r="G157" i="1"/>
  <c r="F157" i="1"/>
  <c r="F118" i="14"/>
  <c r="G118" i="14"/>
  <c r="N247" i="7"/>
  <c r="D869" i="1"/>
  <c r="C869" i="1"/>
  <c r="I157" i="1"/>
  <c r="L555" i="6"/>
  <c r="F605" i="6"/>
  <c r="L158" i="1"/>
  <c r="M158" i="1"/>
  <c r="C113" i="1"/>
  <c r="K555" i="6"/>
  <c r="D113" i="1"/>
  <c r="G605" i="6"/>
  <c r="H746" i="1"/>
  <c r="J746" i="1"/>
  <c r="J605" i="6"/>
  <c r="M200" i="7"/>
  <c r="N200" i="7"/>
  <c r="G746" i="1"/>
  <c r="I746" i="1"/>
  <c r="K746" i="1"/>
  <c r="H605" i="6"/>
  <c r="I605" i="6"/>
  <c r="K605" i="6"/>
  <c r="L649" i="1"/>
  <c r="N158" i="1"/>
  <c r="M649" i="1"/>
  <c r="M746" i="1"/>
  <c r="E113" i="1"/>
  <c r="N870" i="1"/>
  <c r="L746" i="1"/>
  <c r="N746" i="1"/>
  <c r="N649" i="1"/>
  <c r="K338" i="6"/>
  <c r="L338" i="6"/>
  <c r="L201" i="7"/>
  <c r="K201" i="7"/>
  <c r="E119" i="14"/>
  <c r="J248" i="7"/>
  <c r="M248" i="7"/>
  <c r="H158" i="1"/>
  <c r="L248" i="7"/>
  <c r="G158" i="1"/>
  <c r="N248" i="7"/>
  <c r="F158" i="1"/>
  <c r="F119" i="14"/>
  <c r="G119" i="14"/>
  <c r="D870" i="1"/>
  <c r="C870" i="1"/>
  <c r="I158" i="1"/>
  <c r="F606" i="6"/>
  <c r="L556" i="6"/>
  <c r="L159" i="1"/>
  <c r="M159" i="1"/>
  <c r="C114" i="1"/>
  <c r="K556" i="6"/>
  <c r="G606" i="6"/>
  <c r="D114" i="1"/>
  <c r="H747" i="1"/>
  <c r="J747" i="1"/>
  <c r="M747" i="1"/>
  <c r="J606" i="6"/>
  <c r="M201" i="7"/>
  <c r="N201" i="7"/>
  <c r="E114" i="1"/>
  <c r="L650" i="1"/>
  <c r="N159" i="1"/>
  <c r="M650" i="1"/>
  <c r="N871" i="1"/>
  <c r="G747" i="1"/>
  <c r="I747" i="1"/>
  <c r="H606" i="6"/>
  <c r="K606" i="6"/>
  <c r="I606" i="6"/>
  <c r="K747" i="1"/>
  <c r="L747" i="1"/>
  <c r="N747" i="1"/>
  <c r="K339" i="6"/>
  <c r="N650" i="1"/>
  <c r="L339" i="6"/>
  <c r="L202" i="7"/>
  <c r="K202" i="7"/>
  <c r="E120" i="14"/>
  <c r="M249" i="7"/>
  <c r="H159" i="1"/>
  <c r="J249" i="7"/>
  <c r="L249" i="7"/>
  <c r="G159" i="1"/>
  <c r="F159" i="1"/>
  <c r="F120" i="14"/>
  <c r="G120" i="14"/>
  <c r="N249" i="7"/>
  <c r="D871" i="1"/>
  <c r="I159" i="1"/>
  <c r="C871" i="1"/>
  <c r="K557" i="6"/>
  <c r="G607" i="6"/>
  <c r="F607" i="6"/>
  <c r="L160" i="1"/>
  <c r="M160" i="1"/>
  <c r="C115" i="1"/>
  <c r="D115" i="1"/>
  <c r="L557" i="6"/>
  <c r="H748" i="1"/>
  <c r="J748" i="1"/>
  <c r="J607" i="6"/>
  <c r="L651" i="1"/>
  <c r="N160" i="1"/>
  <c r="M651" i="1"/>
  <c r="M748" i="1"/>
  <c r="G748" i="1"/>
  <c r="I748" i="1"/>
  <c r="H607" i="6"/>
  <c r="K607" i="6"/>
  <c r="I607" i="6"/>
  <c r="L340" i="6"/>
  <c r="E115" i="1"/>
  <c r="N872" i="1"/>
  <c r="M202" i="7"/>
  <c r="N202" i="7"/>
  <c r="K748" i="1"/>
  <c r="N748" i="1"/>
  <c r="L748" i="1"/>
  <c r="K340" i="6"/>
  <c r="L203" i="7"/>
  <c r="N651" i="1"/>
  <c r="E121" i="14"/>
  <c r="K203" i="7"/>
  <c r="M250" i="7"/>
  <c r="H160" i="1"/>
  <c r="J250" i="7"/>
  <c r="L250" i="7"/>
  <c r="G160" i="1"/>
  <c r="N250" i="7"/>
  <c r="F160" i="1"/>
  <c r="F121" i="14"/>
  <c r="G121" i="14"/>
  <c r="D872" i="1"/>
  <c r="I160" i="1"/>
  <c r="C872" i="1"/>
  <c r="K558" i="6"/>
  <c r="L558" i="6"/>
  <c r="F608" i="6"/>
  <c r="G608" i="6"/>
  <c r="L161" i="1"/>
  <c r="M161" i="1"/>
  <c r="C116" i="1"/>
  <c r="D116" i="1"/>
  <c r="H749" i="1"/>
  <c r="J749" i="1"/>
  <c r="J608" i="6"/>
  <c r="M749" i="1"/>
  <c r="M203" i="7"/>
  <c r="N203" i="7"/>
  <c r="N873" i="1"/>
  <c r="G749" i="1"/>
  <c r="I749" i="1"/>
  <c r="K749" i="1"/>
  <c r="H608" i="6"/>
  <c r="K608" i="6"/>
  <c r="I608" i="6"/>
  <c r="E116" i="1"/>
  <c r="L652" i="1"/>
  <c r="N161" i="1"/>
  <c r="M652" i="1"/>
  <c r="N749" i="1"/>
  <c r="L749" i="1"/>
  <c r="K341" i="6"/>
  <c r="N652" i="1"/>
  <c r="L341" i="6"/>
  <c r="L204" i="7"/>
  <c r="K204" i="7"/>
  <c r="E122" i="14"/>
  <c r="J251" i="7"/>
  <c r="M251" i="7"/>
  <c r="H161" i="1"/>
  <c r="L251" i="7"/>
  <c r="G161" i="1"/>
  <c r="N251" i="7"/>
  <c r="F122" i="14"/>
  <c r="G122" i="14"/>
  <c r="F161" i="1"/>
  <c r="D873" i="1"/>
  <c r="C873" i="1"/>
  <c r="I161" i="1"/>
  <c r="C117" i="1"/>
  <c r="F609" i="6"/>
  <c r="K559" i="6"/>
  <c r="L162" i="1"/>
  <c r="M162" i="1"/>
  <c r="D117" i="1"/>
  <c r="G609" i="6"/>
  <c r="J609" i="6"/>
  <c r="L559" i="6"/>
  <c r="M204" i="7"/>
  <c r="N204" i="7"/>
  <c r="G750" i="1"/>
  <c r="I750" i="1"/>
  <c r="L750" i="1"/>
  <c r="I609" i="6"/>
  <c r="N874" i="1"/>
  <c r="H609" i="6"/>
  <c r="H750" i="1"/>
  <c r="J750" i="1"/>
  <c r="K609" i="6"/>
  <c r="L342" i="6"/>
  <c r="E117" i="1"/>
  <c r="L653" i="1"/>
  <c r="N162" i="1"/>
  <c r="M653" i="1"/>
  <c r="K750" i="1"/>
  <c r="M750" i="1"/>
  <c r="K342" i="6"/>
  <c r="K205" i="7"/>
  <c r="L205" i="7"/>
  <c r="N653" i="1"/>
  <c r="N750" i="1"/>
  <c r="E123" i="14"/>
  <c r="J252" i="7"/>
  <c r="M252" i="7"/>
  <c r="H162" i="1"/>
  <c r="L252" i="7"/>
  <c r="G162" i="1"/>
  <c r="N252" i="7"/>
  <c r="F162" i="1"/>
  <c r="F123" i="14"/>
  <c r="G123" i="14"/>
  <c r="D874" i="1"/>
  <c r="I162" i="1"/>
  <c r="C874" i="1"/>
  <c r="C118" i="1"/>
  <c r="F610" i="6"/>
  <c r="K560" i="6"/>
  <c r="L560" i="6"/>
  <c r="G610" i="6"/>
  <c r="J610" i="6"/>
  <c r="L163" i="1"/>
  <c r="M163" i="1"/>
  <c r="M205" i="7"/>
  <c r="N205" i="7"/>
  <c r="D118" i="1"/>
  <c r="G751" i="1"/>
  <c r="I751" i="1"/>
  <c r="I610" i="6"/>
  <c r="L751" i="1"/>
  <c r="N875" i="1"/>
  <c r="E118" i="1"/>
  <c r="L654" i="1"/>
  <c r="N163" i="1"/>
  <c r="M654" i="1"/>
  <c r="L343" i="6"/>
  <c r="H751" i="1"/>
  <c r="J751" i="1"/>
  <c r="H610" i="6"/>
  <c r="K610" i="6"/>
  <c r="K751" i="1"/>
  <c r="K206" i="7"/>
  <c r="K343" i="6"/>
  <c r="N751" i="1"/>
  <c r="M751" i="1"/>
  <c r="N654" i="1"/>
  <c r="L206" i="7"/>
  <c r="E124" i="14"/>
  <c r="M253" i="7"/>
  <c r="H163" i="1"/>
  <c r="J253" i="7"/>
  <c r="L253" i="7"/>
  <c r="G163" i="1"/>
  <c r="F163" i="1"/>
  <c r="F124" i="14"/>
  <c r="G124" i="14"/>
  <c r="N253" i="7"/>
  <c r="I163" i="1"/>
  <c r="C875" i="1"/>
  <c r="D875" i="1"/>
  <c r="C119" i="1"/>
  <c r="F611" i="6"/>
  <c r="K561" i="6"/>
  <c r="L164" i="1"/>
  <c r="M164" i="1"/>
  <c r="D119" i="1"/>
  <c r="L561" i="6"/>
  <c r="G611" i="6"/>
  <c r="J611" i="6"/>
  <c r="M206" i="7"/>
  <c r="N206" i="7"/>
  <c r="G752" i="1"/>
  <c r="I752" i="1"/>
  <c r="L752" i="1"/>
  <c r="I611" i="6"/>
  <c r="N876" i="1"/>
  <c r="E119" i="1"/>
  <c r="H611" i="6"/>
  <c r="H752" i="1"/>
  <c r="J752" i="1"/>
  <c r="K611" i="6"/>
  <c r="L655" i="1"/>
  <c r="N164" i="1"/>
  <c r="M655" i="1"/>
  <c r="L344" i="6"/>
  <c r="K752" i="1"/>
  <c r="K207" i="7"/>
  <c r="K344" i="6"/>
  <c r="M752" i="1"/>
  <c r="L207" i="7"/>
  <c r="N752" i="1"/>
  <c r="N655" i="1"/>
  <c r="E125" i="14"/>
  <c r="M254" i="7"/>
  <c r="H164" i="1"/>
  <c r="J254" i="7"/>
  <c r="L254" i="7"/>
  <c r="G164" i="1"/>
  <c r="F164" i="1"/>
  <c r="N254" i="7"/>
  <c r="F125" i="14"/>
  <c r="G125" i="14"/>
  <c r="C876" i="1"/>
  <c r="I164" i="1"/>
  <c r="D876" i="1"/>
  <c r="C120" i="1"/>
  <c r="F612" i="6"/>
  <c r="L165" i="1"/>
  <c r="M165" i="1"/>
  <c r="D120" i="1"/>
  <c r="K562" i="6"/>
  <c r="L562" i="6"/>
  <c r="G612" i="6"/>
  <c r="J612" i="6"/>
  <c r="M207" i="7"/>
  <c r="N207" i="7"/>
  <c r="G753" i="1"/>
  <c r="I753" i="1"/>
  <c r="L753" i="1"/>
  <c r="I612" i="6"/>
  <c r="N877" i="1"/>
  <c r="E120" i="1"/>
  <c r="L656" i="1"/>
  <c r="N165" i="1"/>
  <c r="M656" i="1"/>
  <c r="H612" i="6"/>
  <c r="H753" i="1"/>
  <c r="J753" i="1"/>
  <c r="K753" i="1"/>
  <c r="K612" i="6"/>
  <c r="L345" i="6"/>
  <c r="K208" i="7"/>
  <c r="K345" i="6"/>
  <c r="N753" i="1"/>
  <c r="N656" i="1"/>
  <c r="L208" i="7"/>
  <c r="M753" i="1"/>
  <c r="E126" i="14"/>
  <c r="M255" i="7"/>
  <c r="H165" i="1"/>
  <c r="J255" i="7"/>
  <c r="L255" i="7"/>
  <c r="G165" i="1"/>
  <c r="F165" i="1"/>
  <c r="F126" i="14"/>
  <c r="G126" i="14"/>
  <c r="N255" i="7"/>
  <c r="D877" i="1"/>
  <c r="C877" i="1"/>
  <c r="I165" i="1"/>
  <c r="C121" i="1"/>
  <c r="F613" i="6"/>
  <c r="K563" i="6"/>
  <c r="L563" i="6"/>
  <c r="G613" i="6"/>
  <c r="J613" i="6"/>
  <c r="L166" i="1"/>
  <c r="M166" i="1"/>
  <c r="M208" i="7"/>
  <c r="N208" i="7"/>
  <c r="D121" i="1"/>
  <c r="G754" i="1"/>
  <c r="I754" i="1"/>
  <c r="L754" i="1"/>
  <c r="I613" i="6"/>
  <c r="L657" i="1"/>
  <c r="N166" i="1"/>
  <c r="M657" i="1"/>
  <c r="H754" i="1"/>
  <c r="J754" i="1"/>
  <c r="K754" i="1"/>
  <c r="H613" i="6"/>
  <c r="K613" i="6"/>
  <c r="L346" i="6"/>
  <c r="N878" i="1"/>
  <c r="E121" i="1"/>
  <c r="K209" i="7"/>
  <c r="K346" i="6"/>
  <c r="N754" i="1"/>
  <c r="M754" i="1"/>
  <c r="L209" i="7"/>
  <c r="N657" i="1"/>
  <c r="E127" i="14"/>
  <c r="M256" i="7"/>
  <c r="H166" i="1"/>
  <c r="J256" i="7"/>
  <c r="L256" i="7"/>
  <c r="G166" i="1"/>
  <c r="N256" i="7"/>
  <c r="F127" i="14"/>
  <c r="G127" i="14"/>
  <c r="F166" i="1"/>
  <c r="C878" i="1"/>
  <c r="I166" i="1"/>
  <c r="D878" i="1"/>
  <c r="C122" i="1"/>
  <c r="F614" i="6"/>
  <c r="K564" i="6"/>
  <c r="L167" i="1"/>
  <c r="M167" i="1"/>
  <c r="D122" i="1"/>
  <c r="G614" i="6"/>
  <c r="J614" i="6"/>
  <c r="L564" i="6"/>
  <c r="M209" i="7"/>
  <c r="N209" i="7"/>
  <c r="G755" i="1"/>
  <c r="I755" i="1"/>
  <c r="I614" i="6"/>
  <c r="L755" i="1"/>
  <c r="K210" i="7"/>
  <c r="K347" i="6"/>
  <c r="N879" i="1"/>
  <c r="H755" i="1"/>
  <c r="J755" i="1"/>
  <c r="K755" i="1"/>
  <c r="H614" i="6"/>
  <c r="K614" i="6"/>
  <c r="E122" i="1"/>
  <c r="L658" i="1"/>
  <c r="N167" i="1"/>
  <c r="M658" i="1"/>
  <c r="M755" i="1"/>
  <c r="N658" i="1"/>
  <c r="L347" i="6"/>
  <c r="N755" i="1"/>
  <c r="L210" i="7"/>
  <c r="E128" i="14"/>
  <c r="M257" i="7"/>
  <c r="H167" i="1"/>
  <c r="J257" i="7"/>
  <c r="L257" i="7"/>
  <c r="G167" i="1"/>
  <c r="F128" i="14"/>
  <c r="G128" i="14"/>
  <c r="F167" i="1"/>
  <c r="N257" i="7"/>
  <c r="D879" i="1"/>
  <c r="I167" i="1"/>
  <c r="C879" i="1"/>
  <c r="C531" i="1"/>
  <c r="D531" i="1"/>
  <c r="I210" i="7"/>
  <c r="C123" i="1"/>
  <c r="F615" i="6"/>
  <c r="K565" i="6"/>
  <c r="L168" i="1"/>
  <c r="M168" i="1"/>
  <c r="J210" i="7"/>
  <c r="D123" i="1"/>
  <c r="L565" i="6"/>
  <c r="G615" i="6"/>
  <c r="J615" i="6"/>
  <c r="M210" i="7"/>
  <c r="N210" i="7"/>
  <c r="G756" i="1"/>
  <c r="I756" i="1"/>
  <c r="L756" i="1"/>
  <c r="I615" i="6"/>
  <c r="K211" i="7"/>
  <c r="K348" i="6"/>
  <c r="N880" i="1"/>
  <c r="E123" i="1"/>
  <c r="L659" i="1"/>
  <c r="N168" i="1"/>
  <c r="M659" i="1"/>
  <c r="H615" i="6"/>
  <c r="H756" i="1"/>
  <c r="J756" i="1"/>
  <c r="K756" i="1"/>
  <c r="K615" i="6"/>
  <c r="N659" i="1"/>
  <c r="M756" i="1"/>
  <c r="N756" i="1"/>
  <c r="L348" i="6"/>
  <c r="L211" i="7"/>
  <c r="E129" i="14"/>
  <c r="M258" i="7"/>
  <c r="H168" i="1"/>
  <c r="J258" i="7"/>
  <c r="L258" i="7"/>
  <c r="G168" i="1"/>
  <c r="F129" i="14"/>
  <c r="G129" i="14"/>
  <c r="F168" i="1"/>
  <c r="N258" i="7"/>
  <c r="D880" i="1"/>
  <c r="C880" i="1"/>
  <c r="I168" i="1"/>
  <c r="D532" i="1"/>
  <c r="C532" i="1"/>
  <c r="J211" i="7"/>
  <c r="D124" i="1"/>
  <c r="G616" i="6"/>
  <c r="H757" i="1"/>
  <c r="J757" i="1"/>
  <c r="L169" i="1"/>
  <c r="M169" i="1"/>
  <c r="I211" i="7"/>
  <c r="C124" i="1"/>
  <c r="F616" i="6"/>
  <c r="K566" i="6"/>
  <c r="L566" i="6"/>
  <c r="M211" i="7"/>
  <c r="N211" i="7"/>
  <c r="M757" i="1"/>
  <c r="H616" i="6"/>
  <c r="G757" i="1"/>
  <c r="I757" i="1"/>
  <c r="K757" i="1"/>
  <c r="I616" i="6"/>
  <c r="K616" i="6"/>
  <c r="K349" i="6"/>
  <c r="L660" i="1"/>
  <c r="N169" i="1"/>
  <c r="M660" i="1"/>
  <c r="E124" i="1"/>
  <c r="N881" i="1"/>
  <c r="N757" i="1"/>
  <c r="L757" i="1"/>
  <c r="L212" i="7"/>
  <c r="L349" i="6"/>
  <c r="K212" i="7"/>
  <c r="M259" i="7"/>
  <c r="H169" i="1"/>
  <c r="N660" i="1"/>
  <c r="E130" i="14"/>
  <c r="L259" i="7"/>
  <c r="G169" i="1"/>
  <c r="J259" i="7"/>
  <c r="F169" i="1"/>
  <c r="F130" i="14"/>
  <c r="G130" i="14"/>
  <c r="N259" i="7"/>
  <c r="D881" i="1"/>
  <c r="I169" i="1"/>
  <c r="C881" i="1"/>
  <c r="D533" i="1"/>
  <c r="C533" i="1"/>
  <c r="J212" i="7"/>
  <c r="D125" i="1"/>
  <c r="G617" i="6"/>
  <c r="H758" i="1"/>
  <c r="J758" i="1"/>
  <c r="I212" i="7"/>
  <c r="L170" i="1"/>
  <c r="M170" i="1"/>
  <c r="C125" i="1"/>
  <c r="F617" i="6"/>
  <c r="K567" i="6"/>
  <c r="L567" i="6"/>
  <c r="M212" i="7"/>
  <c r="N212" i="7"/>
  <c r="M758" i="1"/>
  <c r="N882" i="1"/>
  <c r="H617" i="6"/>
  <c r="G758" i="1"/>
  <c r="I758" i="1"/>
  <c r="K758" i="1"/>
  <c r="I617" i="6"/>
  <c r="K617" i="6"/>
  <c r="E125" i="1"/>
  <c r="K350" i="6"/>
  <c r="L661" i="1"/>
  <c r="N170" i="1"/>
  <c r="M661" i="1"/>
  <c r="L758" i="1"/>
  <c r="L213" i="7"/>
  <c r="L350" i="6"/>
  <c r="N661" i="1"/>
  <c r="K213" i="7"/>
  <c r="N758" i="1"/>
  <c r="M260" i="7"/>
  <c r="H170" i="1"/>
  <c r="E131" i="14"/>
  <c r="J260" i="7"/>
  <c r="L260" i="7"/>
  <c r="G170" i="1"/>
  <c r="F131" i="14"/>
  <c r="G131" i="14"/>
  <c r="N260" i="7"/>
  <c r="F170" i="1"/>
  <c r="D882" i="1"/>
  <c r="I170" i="1"/>
  <c r="C882" i="1"/>
  <c r="D534" i="1"/>
  <c r="C534" i="1"/>
  <c r="L568" i="6"/>
  <c r="J213" i="7"/>
  <c r="D126" i="1"/>
  <c r="G618" i="6"/>
  <c r="H759" i="1"/>
  <c r="J759" i="1"/>
  <c r="I213" i="7"/>
  <c r="L171" i="1"/>
  <c r="M171" i="1"/>
  <c r="C126" i="1"/>
  <c r="K568" i="6"/>
  <c r="F618" i="6"/>
  <c r="E402" i="6"/>
  <c r="N883" i="1"/>
  <c r="M213" i="7"/>
  <c r="N213" i="7"/>
  <c r="M759" i="1"/>
  <c r="G759" i="1"/>
  <c r="I759" i="1"/>
  <c r="K759" i="1"/>
  <c r="H618" i="6"/>
  <c r="K618" i="6"/>
  <c r="I618" i="6"/>
  <c r="E126" i="1"/>
  <c r="N171" i="1"/>
  <c r="M662" i="1"/>
  <c r="L662" i="1"/>
  <c r="G402" i="6"/>
  <c r="N759" i="1"/>
  <c r="N662" i="1"/>
  <c r="L759" i="1"/>
  <c r="L351" i="6"/>
  <c r="L214" i="7"/>
  <c r="K351" i="6"/>
  <c r="K354" i="6"/>
  <c r="I354" i="6"/>
  <c r="M261" i="7"/>
  <c r="H171" i="1"/>
  <c r="K214" i="7"/>
  <c r="E132" i="14"/>
  <c r="L261" i="7"/>
  <c r="G171" i="1"/>
  <c r="J261" i="7"/>
  <c r="F171" i="1"/>
  <c r="N261" i="7"/>
  <c r="F132" i="14"/>
  <c r="G132" i="14"/>
  <c r="I171" i="1"/>
  <c r="C883" i="1"/>
  <c r="D883" i="1"/>
  <c r="F400" i="6"/>
  <c r="D535" i="1"/>
  <c r="J569" i="6"/>
  <c r="H569" i="6"/>
  <c r="H535" i="1"/>
  <c r="F569" i="6"/>
  <c r="F535" i="1"/>
  <c r="I569" i="6"/>
  <c r="I571" i="6"/>
  <c r="G569" i="6"/>
  <c r="E569" i="6"/>
  <c r="I619" i="6"/>
  <c r="J571" i="6"/>
  <c r="J535" i="1"/>
  <c r="F884" i="1"/>
  <c r="M884" i="1"/>
  <c r="J214" i="7"/>
  <c r="M214" i="7"/>
  <c r="N214" i="7"/>
  <c r="L172" i="1"/>
  <c r="M172" i="1"/>
  <c r="D127" i="1"/>
  <c r="G619" i="6"/>
  <c r="H400" i="6"/>
  <c r="F402" i="6"/>
  <c r="L569" i="6"/>
  <c r="L571" i="6"/>
  <c r="B55" i="1"/>
  <c r="K569" i="6"/>
  <c r="K571" i="6"/>
  <c r="D214" i="7"/>
  <c r="E214" i="7"/>
  <c r="N884" i="1"/>
  <c r="J352" i="6"/>
  <c r="H402" i="6"/>
  <c r="H760" i="1"/>
  <c r="J760" i="1"/>
  <c r="K760" i="1"/>
  <c r="H619" i="6"/>
  <c r="K619" i="6"/>
  <c r="E127" i="1"/>
  <c r="L663" i="1"/>
  <c r="N172" i="1"/>
  <c r="M663" i="1"/>
  <c r="N663" i="1"/>
  <c r="L352" i="6"/>
  <c r="L354" i="6"/>
  <c r="N535" i="1"/>
  <c r="H884" i="1"/>
  <c r="F88" i="14"/>
  <c r="J88" i="14"/>
  <c r="J354" i="6"/>
  <c r="M760" i="1"/>
  <c r="N760" i="1"/>
  <c r="F214" i="7"/>
  <c r="H214" i="7"/>
  <c r="M262" i="7"/>
  <c r="H172" i="1"/>
  <c r="E133" i="14"/>
  <c r="F262" i="7"/>
  <c r="H262" i="7"/>
  <c r="I262" i="7"/>
  <c r="E262" i="7"/>
  <c r="G262" i="7"/>
  <c r="D262" i="7"/>
  <c r="C262" i="7"/>
  <c r="J262" i="7"/>
  <c r="K262" i="7"/>
  <c r="L262" i="7"/>
  <c r="G172" i="1"/>
  <c r="F172" i="1"/>
  <c r="N262" i="7"/>
  <c r="F133" i="14"/>
  <c r="G133" i="14"/>
  <c r="K88" i="14"/>
  <c r="L88" i="14"/>
  <c r="M88" i="14"/>
  <c r="N88" i="14"/>
  <c r="D884" i="1"/>
  <c r="I172" i="1"/>
  <c r="C884" i="1"/>
  <c r="L294" i="11"/>
  <c r="G397" i="1"/>
  <c r="C91" i="1"/>
  <c r="K136" i="1"/>
  <c r="M136" i="1"/>
  <c r="C338" i="11"/>
  <c r="L338" i="11"/>
  <c r="L724" i="1"/>
  <c r="E91" i="1"/>
  <c r="N724" i="1"/>
  <c r="N136" i="1"/>
  <c r="M627" i="1"/>
  <c r="L627" i="1"/>
  <c r="N627" i="1"/>
</calcChain>
</file>

<file path=xl/comments1.xml><?xml version="1.0" encoding="utf-8"?>
<comments xmlns="http://schemas.openxmlformats.org/spreadsheetml/2006/main">
  <authors>
    <author>Peter</author>
  </authors>
  <commentList>
    <comment ref="F35" authorId="0">
      <text>
        <r>
          <rPr>
            <b/>
            <sz val="8"/>
            <color indexed="81"/>
            <rFont val="Tahoma"/>
            <family val="2"/>
          </rPr>
          <t>If you are already retired, then set the expected retirement age and the current age to be the same.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F36" authorId="0">
      <text>
        <r>
          <rPr>
            <b/>
            <sz val="9"/>
            <color indexed="81"/>
            <rFont val="Tahoma"/>
            <family val="2"/>
          </rPr>
          <t xml:space="preserve">This is the age you plan to retire and is also the age that you will take Social Security.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37" authorId="0">
      <text>
        <r>
          <rPr>
            <b/>
            <sz val="9"/>
            <color indexed="81"/>
            <rFont val="Tahoma"/>
            <family val="2"/>
          </rPr>
          <t>This is your initial savings at your current age.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38" authorId="0">
      <text>
        <r>
          <rPr>
            <b/>
            <sz val="8"/>
            <color indexed="81"/>
            <rFont val="Tahoma"/>
            <family val="2"/>
          </rPr>
          <t>This is your current gross annual income at your current age.</t>
        </r>
      </text>
    </comment>
    <comment ref="F39" authorId="0">
      <text>
        <r>
          <rPr>
            <b/>
            <sz val="8"/>
            <color indexed="81"/>
            <rFont val="Tahoma"/>
            <family val="2"/>
          </rPr>
          <t>This is your annual savings while working. It will increase by the same amount as your income COLA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F40" authorId="0">
      <text>
        <r>
          <rPr>
            <b/>
            <sz val="8"/>
            <color indexed="81"/>
            <rFont val="Tahoma"/>
            <family val="2"/>
          </rPr>
          <t>Estimated yearly income from Social Security when you retire. You can get this estimate from their web site. If you will get no Social Security, then enter $0. The calculator assumes you take Social Security when you retire.</t>
        </r>
      </text>
    </comment>
    <comment ref="F43" authorId="0">
      <text>
        <r>
          <rPr>
            <b/>
            <sz val="8"/>
            <color indexed="81"/>
            <rFont val="Tahoma"/>
            <family val="2"/>
          </rPr>
          <t>While working, this is the rate of return before adjusting for inflation - called the "nominal" return. The "real" return is the nominal return after inflation has been subtracted.</t>
        </r>
      </text>
    </comment>
    <comment ref="F44" authorId="0">
      <text>
        <r>
          <rPr>
            <b/>
            <sz val="8"/>
            <color indexed="81"/>
            <rFont val="Tahoma"/>
            <family val="2"/>
          </rPr>
          <t>While retired, this is the rate of return before adjusting for inflation - called the "nominal" return. The "real" return is the nominal return after inflation has been subtracted.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F45" authorId="0">
      <text>
        <r>
          <rPr>
            <b/>
            <sz val="8"/>
            <color indexed="81"/>
            <rFont val="Tahoma"/>
            <family val="2"/>
          </rPr>
          <t>This is your expected cost of living adjustment while working.
 However, If you are starting from retirement, then this is the increase in retirement GAI each year.</t>
        </r>
      </text>
    </comment>
    <comment ref="F46" authorId="0">
      <text>
        <r>
          <rPr>
            <b/>
            <sz val="8"/>
            <color indexed="81"/>
            <rFont val="Tahoma"/>
            <family val="2"/>
          </rPr>
          <t xml:space="preserve">This is the amount you will increase your expenses each year in retirement.
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F47" authorId="0">
      <text>
        <r>
          <rPr>
            <b/>
            <sz val="8"/>
            <color indexed="81"/>
            <rFont val="Tahoma"/>
            <family val="2"/>
          </rPr>
          <t>This is the increase in your annual savings you will save each year. E.g., it should probably be less than or equal to your annual income COLA.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F48" authorId="0">
      <text>
        <r>
          <rPr>
            <b/>
            <sz val="8"/>
            <color indexed="81"/>
            <rFont val="Tahoma"/>
            <family val="2"/>
          </rPr>
          <t xml:space="preserve">This is the income replacement ratio.  The percent of current income you will need during retirement. Generally it is 70% to 80%, but may be more or less depending on other factors.
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C56" authorId="0">
      <text>
        <r>
          <rPr>
            <b/>
            <sz val="8"/>
            <color indexed="81"/>
            <rFont val="Tahoma"/>
            <family val="2"/>
          </rPr>
          <t xml:space="preserve">Savings will increase at the pre-retirement rate until retirement. Then at the post-retirement rate. It stops when the savings become depleted. I.e. you run out of money.
</t>
        </r>
      </text>
    </comment>
    <comment ref="D56" authorId="0">
      <text>
        <r>
          <rPr>
            <b/>
            <sz val="8"/>
            <color indexed="81"/>
            <rFont val="Tahoma"/>
            <family val="2"/>
          </rPr>
          <t>It assumes that Savings contributions are increased each year by the annual contributions to savings portfolio rate.</t>
        </r>
      </text>
    </comment>
    <comment ref="E56" authorId="0">
      <text>
        <r>
          <rPr>
            <b/>
            <sz val="8"/>
            <color indexed="81"/>
            <rFont val="Tahoma"/>
            <family val="2"/>
          </rPr>
          <t xml:space="preserve">It assumes that annual income increase with the annual COLA.
</t>
        </r>
      </text>
    </comment>
    <comment ref="F56" authorId="0">
      <text>
        <r>
          <rPr>
            <b/>
            <sz val="8"/>
            <color indexed="81"/>
            <rFont val="Tahoma"/>
            <family val="2"/>
          </rPr>
          <t>This is the COLA (inflation) adjusted estimated yearly income from Social Security during retirement.  This is added to your Savings portfolio value to help defray the yearly expenses.</t>
        </r>
      </text>
    </comment>
    <comment ref="G56" authorId="0">
      <text>
        <r>
          <rPr>
            <b/>
            <sz val="8"/>
            <color indexed="81"/>
            <rFont val="Tahoma"/>
            <family val="2"/>
          </rPr>
          <t xml:space="preserve">It is expected that expenses will increase at the annual retirement withdrawal increase rate. It becomes $0 if the savings are ever exhausted.
</t>
        </r>
      </text>
    </comment>
    <comment ref="H56" authorId="0">
      <text>
        <r>
          <rPr>
            <b/>
            <sz val="9"/>
            <color indexed="81"/>
            <rFont val="Tahoma"/>
            <family val="2"/>
          </rPr>
          <t>Percent of expenses that are paid by Social Security once you start taking Social Security.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Peter</author>
  </authors>
  <commentList>
    <comment ref="A238" authorId="0">
      <text>
        <r>
          <rPr>
            <b/>
            <sz val="8"/>
            <color indexed="81"/>
            <rFont val="Tahoma"/>
            <family val="2"/>
          </rPr>
          <t xml:space="preserve">The age range for spouse S1 for 38 years 
set up in the AgeData workbook.
</t>
        </r>
      </text>
    </comment>
    <comment ref="B238" authorId="0">
      <text>
        <r>
          <rPr>
            <b/>
            <sz val="8"/>
            <color indexed="81"/>
            <rFont val="Tahoma"/>
            <family val="2"/>
          </rPr>
          <t>The age range for spouse S2 for 38 years set up in the AgeData workbook.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Peter</author>
  </authors>
  <commentList>
    <comment ref="K115" authorId="0">
      <text>
        <r>
          <rPr>
            <b/>
            <sz val="8"/>
            <color indexed="81"/>
            <rFont val="Tahoma"/>
            <family val="2"/>
          </rPr>
          <t>The S2 expense computed as future value at year of the specified S2 age</t>
        </r>
      </text>
    </comment>
    <comment ref="K292" authorId="0">
      <text>
        <r>
          <rPr>
            <b/>
            <sz val="8"/>
            <color indexed="81"/>
            <rFont val="Tahoma"/>
            <family val="2"/>
          </rPr>
          <t>The S2 expense computed as future value at year of the specified S2 age</t>
        </r>
      </text>
    </comment>
  </commentList>
</comments>
</file>

<file path=xl/comments4.xml><?xml version="1.0" encoding="utf-8"?>
<comments xmlns="http://schemas.openxmlformats.org/spreadsheetml/2006/main">
  <authors>
    <author>Peter</author>
  </authors>
  <commentList>
    <comment ref="A96" authorId="0">
      <text>
        <r>
          <rPr>
            <b/>
            <sz val="8"/>
            <color indexed="81"/>
            <rFont val="Tahoma"/>
            <family val="2"/>
          </rPr>
          <t xml:space="preserve">The age range for spouse S1 for 38 years 
set up in the AgeData workbook.
</t>
        </r>
      </text>
    </comment>
    <comment ref="B96" authorId="0">
      <text>
        <r>
          <rPr>
            <b/>
            <sz val="8"/>
            <color indexed="81"/>
            <rFont val="Tahoma"/>
            <family val="2"/>
          </rPr>
          <t>The age range for spouse S2 for 38 years set up in the AgeData workbook.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C96" authorId="0">
      <text>
        <r>
          <rPr>
            <b/>
            <sz val="8"/>
            <color indexed="81"/>
            <rFont val="Tahoma"/>
            <family val="2"/>
          </rPr>
          <t>Total S1 (untaxed) income as FV.</t>
        </r>
      </text>
    </comment>
    <comment ref="D96" authorId="0">
      <text>
        <r>
          <rPr>
            <b/>
            <sz val="8"/>
            <color indexed="81"/>
            <rFont val="Tahoma"/>
            <family val="2"/>
          </rPr>
          <t xml:space="preserve">All S1 expenses for the S1 age in future value FV
</t>
        </r>
      </text>
    </comment>
  </commentList>
</comments>
</file>

<file path=xl/sharedStrings.xml><?xml version="1.0" encoding="utf-8"?>
<sst xmlns="http://schemas.openxmlformats.org/spreadsheetml/2006/main" count="8167" uniqueCount="3767">
  <si>
    <t>R.8 Data checking for Withdrawals going negative and for incorrect age specifications</t>
  </si>
  <si>
    <t>R.4 Values of Tax-deferred IRA and Roth IRA Contributions and Withdrawals (Scheduled and Irregular)</t>
  </si>
  <si>
    <t>R.5 Value of Savings, Capital Gains, Dividends, and Contributions minus Withdrawals (Scheduled and Irregular)</t>
  </si>
  <si>
    <t>R.5 Value of Savings, Capital Gains, Dividends, and Contributions minus Withdrawals</t>
  </si>
  <si>
    <t xml:space="preserve">      (Scheduled and Irregular)</t>
  </si>
  <si>
    <t>R.6 Total Income including Taxable and Non-taxable income</t>
  </si>
  <si>
    <t>R.5.1 Scheduled Contributions to investment accounts (IRA, Roth, Savings)</t>
  </si>
  <si>
    <t>R.6 Total Income value including Taxable (and Non-taxable)</t>
  </si>
  <si>
    <t xml:space="preserve">   R.8.1 Check all account values to see if money runs out (when account balance goes negative).</t>
  </si>
  <si>
    <r>
      <t xml:space="preserve">Estimated future </t>
    </r>
    <r>
      <rPr>
        <b/>
        <u/>
        <sz val="11"/>
        <color indexed="8"/>
        <rFont val="Calibri"/>
        <family val="2"/>
      </rPr>
      <t>Stock</t>
    </r>
    <r>
      <rPr>
        <b/>
        <sz val="11"/>
        <color indexed="8"/>
        <rFont val="Calibri"/>
        <family val="2"/>
      </rPr>
      <t xml:space="preserve"> ROR (Rs)=</t>
    </r>
  </si>
  <si>
    <r>
      <t xml:space="preserve">Estimated future </t>
    </r>
    <r>
      <rPr>
        <b/>
        <u/>
        <sz val="11"/>
        <color indexed="8"/>
        <rFont val="Calibri"/>
        <family val="2"/>
      </rPr>
      <t>Bond</t>
    </r>
    <r>
      <rPr>
        <b/>
        <sz val="11"/>
        <color indexed="8"/>
        <rFont val="Calibri"/>
        <family val="2"/>
      </rPr>
      <t xml:space="preserve"> ROR (Rb)=</t>
    </r>
  </si>
  <si>
    <t>S1 total taxable Savings value=</t>
  </si>
  <si>
    <t>S2 total taxable Savings value=</t>
  </si>
  <si>
    <t>Estimated S1 taxable Savings ROR=</t>
  </si>
  <si>
    <t>Estimated S2 taxable Savings ROR=</t>
  </si>
  <si>
    <t>Pension S1</t>
  </si>
  <si>
    <t>Pension S2</t>
  </si>
  <si>
    <t>Soc.Sec. S1</t>
  </si>
  <si>
    <t>Soc.Sec. S2</t>
  </si>
  <si>
    <t>IRA/RMD start S1</t>
  </si>
  <si>
    <t>IRA/RMD start S2</t>
  </si>
  <si>
    <t>IRA/RMD end S1</t>
  </si>
  <si>
    <t>IRA/RMD end S2</t>
  </si>
  <si>
    <t>Expenses start S1</t>
  </si>
  <si>
    <t>Expenses start S2</t>
  </si>
  <si>
    <t>Expenses end S1</t>
  </si>
  <si>
    <t>Expenses end S2</t>
  </si>
  <si>
    <t>Income is the sum of Pension, Social Security, earned Work Income, Annuities and investment returns.</t>
  </si>
  <si>
    <t>See R.3</t>
  </si>
  <si>
    <t>See R.4</t>
  </si>
  <si>
    <t>See R.6</t>
  </si>
  <si>
    <t>R.8 Data checking for withdrawals going negative and for incorrect age specifications</t>
  </si>
  <si>
    <t>http://office.microsoft.com/en-us/excel-help/what-happened-to-the-web-toolbar-HA010165901.aspx</t>
  </si>
  <si>
    <t xml:space="preserve">For each of the applicable data worksheets accounts, enter income, contributions and/or withdrawals or expense data </t>
  </si>
  <si>
    <t>http://en.wikipedia.org/wiki/Bucket_list</t>
  </si>
  <si>
    <t>Total S1 irreg. Contrib -Withdrawn Savings FV</t>
  </si>
  <si>
    <t>S1 Sched. Contrib -Withdrawn Savings FV</t>
  </si>
  <si>
    <t>S2 Sched. Contrib -Withdrawn Savings FV</t>
  </si>
  <si>
    <t>Tot S1 ALL Contrib - Withdrawn Savings FV</t>
  </si>
  <si>
    <t>Tot S2 ALL Contrib - Withdrawn Savings FV</t>
  </si>
  <si>
    <t>S1 Sched. Contrib. to Savings FV</t>
  </si>
  <si>
    <t>S2 Sched. Contrib. to Savings FV</t>
  </si>
  <si>
    <t>http://www.irs.gov/retirement/article/0,,id=96989,00.html/</t>
  </si>
  <si>
    <t>Primary Insurance Amount (PIA)</t>
  </si>
  <si>
    <t xml:space="preserve">IRS worksheets to calculate RMDs: </t>
  </si>
  <si>
    <t>http://www.irs.gov/retirement/participant/article/0,,id=188023,00.html</t>
  </si>
  <si>
    <t>http://www.irs.gov/pub/irs-tege/uniform_rmd_wksht.pdf</t>
  </si>
  <si>
    <t>http://www.irs.gov/pub/irs-tege/jlls_rmd_worksheet.pdf</t>
  </si>
  <si>
    <t>http://www.irs.gov/publications/p590/index.html</t>
  </si>
  <si>
    <r>
      <rPr>
        <u/>
        <sz val="10"/>
        <color indexed="8"/>
        <rFont val="Calibri"/>
        <family val="2"/>
      </rPr>
      <t>Publication 590</t>
    </r>
    <r>
      <rPr>
        <sz val="10"/>
        <color indexed="8"/>
        <rFont val="Calibri"/>
        <family val="2"/>
      </rPr>
      <t xml:space="preserve">, Individual Retirement Arrangements (IRAs): </t>
    </r>
  </si>
  <si>
    <t xml:space="preserve">   S.3 Enable/disable the use of Scheduled contributions and withdrawals</t>
  </si>
  <si>
    <t>S. Setup the spreadsheet to use the accounts data you want and ignore other data</t>
  </si>
  <si>
    <t xml:space="preserve">   S.2 Enable/disable the use of Irregular contributions and withdrawals</t>
  </si>
  <si>
    <t>Income, Investment and Expenses worksheets.</t>
  </si>
  <si>
    <t>Total income from (S1+S2) pension + Soc. Sec. FV</t>
  </si>
  <si>
    <r>
      <t xml:space="preserve">Total </t>
    </r>
    <r>
      <rPr>
        <b/>
        <u/>
        <sz val="9"/>
        <color indexed="8"/>
        <rFont val="Calibri"/>
        <family val="2"/>
      </rPr>
      <t>Taxable</t>
    </r>
    <r>
      <rPr>
        <b/>
        <sz val="9"/>
        <color indexed="8"/>
        <rFont val="Calibri"/>
        <family val="2"/>
      </rPr>
      <t xml:space="preserve">  income from (S1+S2) pension + Soc. Sec.  FV</t>
    </r>
  </si>
  <si>
    <t>S1 Scheduled expenses</t>
  </si>
  <si>
    <t>S2 Scheduled expenses</t>
  </si>
  <si>
    <r>
      <t xml:space="preserve">Note: this preference is specified in table </t>
    </r>
    <r>
      <rPr>
        <b/>
        <i/>
        <sz val="11"/>
        <color indexed="8"/>
        <rFont val="Calibri"/>
        <family val="2"/>
      </rPr>
      <t xml:space="preserve">S.3 </t>
    </r>
    <r>
      <rPr>
        <i/>
        <sz val="11"/>
        <color indexed="8"/>
        <rFont val="Calibri"/>
        <family val="2"/>
      </rPr>
      <t>of worksheet</t>
    </r>
  </si>
  <si>
    <r>
      <t xml:space="preserve">Note: this preference is specified in table </t>
    </r>
    <r>
      <rPr>
        <b/>
        <i/>
        <sz val="11"/>
        <color indexed="8"/>
        <rFont val="Calibri"/>
        <family val="2"/>
      </rPr>
      <t>S.3</t>
    </r>
    <r>
      <rPr>
        <i/>
        <sz val="11"/>
        <color indexed="8"/>
        <rFont val="Calibri"/>
        <family val="2"/>
      </rPr>
      <t xml:space="preserve"> of worksheet</t>
    </r>
  </si>
  <si>
    <r>
      <t xml:space="preserve">Note: this preference is specified in table </t>
    </r>
    <r>
      <rPr>
        <b/>
        <i/>
        <sz val="11"/>
        <color indexed="8"/>
        <rFont val="Calibri"/>
        <family val="2"/>
      </rPr>
      <t xml:space="preserve">S.1 </t>
    </r>
    <r>
      <rPr>
        <i/>
        <sz val="11"/>
        <color indexed="8"/>
        <rFont val="Calibri"/>
        <family val="2"/>
      </rPr>
      <t>of worksheet</t>
    </r>
  </si>
  <si>
    <r>
      <t xml:space="preserve">Total S1 </t>
    </r>
    <r>
      <rPr>
        <b/>
        <u/>
        <sz val="10"/>
        <color indexed="8"/>
        <rFont val="Calibri"/>
        <family val="2"/>
      </rPr>
      <t>Taxable</t>
    </r>
    <r>
      <rPr>
        <b/>
        <sz val="10"/>
        <color indexed="8"/>
        <rFont val="Calibri"/>
        <family val="2"/>
      </rPr>
      <t xml:space="preserve"> Income (with div+ ST Cap Gains), not LTCG FV</t>
    </r>
  </si>
  <si>
    <r>
      <t xml:space="preserve">Total S2 </t>
    </r>
    <r>
      <rPr>
        <b/>
        <u/>
        <sz val="10"/>
        <color indexed="8"/>
        <rFont val="Calibri"/>
        <family val="2"/>
      </rPr>
      <t>Taxable</t>
    </r>
    <r>
      <rPr>
        <b/>
        <sz val="10"/>
        <color indexed="8"/>
        <rFont val="Calibri"/>
        <family val="2"/>
      </rPr>
      <t xml:space="preserve"> Income (with div+ ST Cap Gains), not LTCG FV</t>
    </r>
  </si>
  <si>
    <t>(Note as of 2012 both Long-Term Capital Gains and Qualified Dividends are taxed at the LTCG tax rate.).</t>
  </si>
  <si>
    <t>(Note short term distributions Interest non-qualified dividends are taxed at your marginal tax rate.)</t>
  </si>
  <si>
    <r>
      <t xml:space="preserve">Percent of S2 yearly distributions taxed at </t>
    </r>
    <r>
      <rPr>
        <b/>
        <u/>
        <sz val="10"/>
        <color indexed="8"/>
        <rFont val="Calibri"/>
        <family val="2"/>
      </rPr>
      <t>long</t>
    </r>
    <r>
      <rPr>
        <b/>
        <sz val="10"/>
        <color indexed="8"/>
        <rFont val="Calibri"/>
        <family val="2"/>
      </rPr>
      <t xml:space="preserve"> term capital gains rate=</t>
    </r>
  </si>
  <si>
    <r>
      <t xml:space="preserve">Percent of S1 yearly distributions taxed at </t>
    </r>
    <r>
      <rPr>
        <b/>
        <u/>
        <sz val="10"/>
        <color indexed="8"/>
        <rFont val="Calibri"/>
        <family val="2"/>
      </rPr>
      <t>short</t>
    </r>
    <r>
      <rPr>
        <b/>
        <sz val="10"/>
        <color indexed="8"/>
        <rFont val="Calibri"/>
        <family val="2"/>
      </rPr>
      <t xml:space="preserve"> term capital gains rate=</t>
    </r>
  </si>
  <si>
    <t>Percent of S2 yearly distributions taxed at short term capital gains rate=</t>
  </si>
  <si>
    <t xml:space="preserve">    not too much of a problem.</t>
  </si>
  <si>
    <r>
      <t xml:space="preserve">Results </t>
    </r>
    <r>
      <rPr>
        <b/>
        <u/>
        <sz val="11"/>
        <color indexed="8"/>
        <rFont val="Calibri"/>
        <family val="2"/>
      </rPr>
      <t>Table</t>
    </r>
  </si>
  <si>
    <r>
      <t xml:space="preserve">Note: both of these preferences are specified in table </t>
    </r>
    <r>
      <rPr>
        <b/>
        <sz val="11"/>
        <color indexed="8"/>
        <rFont val="Calibri"/>
        <family val="2"/>
      </rPr>
      <t xml:space="preserve">S.2 </t>
    </r>
    <r>
      <rPr>
        <sz val="11"/>
        <color indexed="8"/>
        <rFont val="Calibri"/>
        <family val="2"/>
      </rPr>
      <t>in worksheet</t>
    </r>
  </si>
  <si>
    <r>
      <t xml:space="preserve">*** TO BE EXPANDED BASED ON </t>
    </r>
    <r>
      <rPr>
        <i/>
        <sz val="11"/>
        <color indexed="8"/>
        <rFont val="Calibri"/>
        <family val="2"/>
      </rPr>
      <t>Beta</t>
    </r>
    <r>
      <rPr>
        <sz val="11"/>
        <color theme="1"/>
        <rFont val="Calibri"/>
        <family val="2"/>
        <scheme val="minor"/>
      </rPr>
      <t>-testers feedback ***</t>
    </r>
  </si>
  <si>
    <t>S.2 Enable/disable the use of Irregular Contributions and Withdrawals</t>
  </si>
  <si>
    <t>S.3 Enable/disable the use of Scheduled Contributions and Withdrawals</t>
  </si>
  <si>
    <t>9.1 Enter total Savings and rates of return in taxable accounts</t>
  </si>
  <si>
    <t xml:space="preserve">        9.1.1 Optional, estimate future Savings ROR using current savings portfolio asset allocations</t>
  </si>
  <si>
    <r>
      <t xml:space="preserve">Percent of S1 yearly distributions taxed at </t>
    </r>
    <r>
      <rPr>
        <b/>
        <u/>
        <sz val="10"/>
        <color indexed="8"/>
        <rFont val="Calibri"/>
        <family val="2"/>
      </rPr>
      <t>long</t>
    </r>
    <r>
      <rPr>
        <b/>
        <sz val="10"/>
        <color indexed="8"/>
        <rFont val="Calibri"/>
        <family val="2"/>
      </rPr>
      <t xml:space="preserve"> term capital gains rate=</t>
    </r>
  </si>
  <si>
    <t xml:space="preserve">     9.2 Enter estimates of Savings accounts Long- &amp; Short-term Capital Gains/Tax-Free Dividend distributions</t>
  </si>
  <si>
    <t xml:space="preserve">    9.1 Enter total Savings values and rates of return in taxable accounts</t>
  </si>
  <si>
    <t>Dividend distributions</t>
  </si>
  <si>
    <t>9.2 Enter estimates of Savings accounts Long- &amp; Short-term Capital Gains/Tax-Free</t>
  </si>
  <si>
    <t>9.3.1 Enter yearly Scheduled Contributions to the taxable Savings accounts</t>
  </si>
  <si>
    <t>9.3.2 Enter yearly Scheduled Withdrawals from taxable Savings accounts</t>
  </si>
  <si>
    <t xml:space="preserve">      9.3.1 Enter yearly Scheduled Contributions to the taxable Savings accounts</t>
  </si>
  <si>
    <t xml:space="preserve">       9.3.2 Enter yearly Scheduled Withdrawals from taxable Savings accounts</t>
  </si>
  <si>
    <t xml:space="preserve">        9.4.1 Enter Irregular Contributions and Withdrawals for the Savings account</t>
  </si>
  <si>
    <t xml:space="preserve">are taxes on returns distributed from taxable investments. There are two types (currently), short-term </t>
  </si>
  <si>
    <t>(STCG or ST) that are taxed at the marginal tax rate, and long-term (LTCG or LT) taxed at a special rate.</t>
  </si>
  <si>
    <t xml:space="preserve">is requesting benefits from Social Security. As used in the spreadsheet, it is the age when recipients claim </t>
  </si>
  <si>
    <t>Expenses</t>
  </si>
  <si>
    <t>is funds that comes from various income sources: Pensions, Social Security, Work income, Annuities.</t>
  </si>
  <si>
    <t xml:space="preserve">that can be used to generate yearly Withdrawals for helping pay expenses. You can also make </t>
  </si>
  <si>
    <t>is the Individual Retirement Arrangement I(or account) and is an earned-income savings plan where the worker</t>
  </si>
  <si>
    <t>can contribute during their working career. They can then take withdrawals after 59 1/2. There are many types</t>
  </si>
  <si>
    <t>is a form of Defined Benefit annuity. The worker (and possibly the employer) contributes to this during</t>
  </si>
  <si>
    <t xml:space="preserve">as used here, is a collection of stocks, bonds, and other assets that will grow in value over time </t>
  </si>
  <si>
    <r>
      <t xml:space="preserve">is the </t>
    </r>
    <r>
      <rPr>
        <b/>
        <sz val="11"/>
        <color indexed="8"/>
        <rFont val="Calibri"/>
        <family val="2"/>
      </rPr>
      <t>R</t>
    </r>
    <r>
      <rPr>
        <sz val="11"/>
        <color theme="1"/>
        <rFont val="Calibri"/>
        <family val="2"/>
        <scheme val="minor"/>
      </rPr>
      <t xml:space="preserve">equired </t>
    </r>
    <r>
      <rPr>
        <b/>
        <sz val="11"/>
        <color indexed="8"/>
        <rFont val="Calibri"/>
        <family val="2"/>
      </rPr>
      <t>M</t>
    </r>
    <r>
      <rPr>
        <sz val="11"/>
        <color theme="1"/>
        <rFont val="Calibri"/>
        <family val="2"/>
        <scheme val="minor"/>
      </rPr>
      <t xml:space="preserve">inimum </t>
    </r>
    <r>
      <rPr>
        <b/>
        <sz val="11"/>
        <color indexed="8"/>
        <rFont val="Calibri"/>
        <family val="2"/>
      </rPr>
      <t>D</t>
    </r>
    <r>
      <rPr>
        <sz val="11"/>
        <color theme="1"/>
        <rFont val="Calibri"/>
        <family val="2"/>
        <scheme val="minor"/>
      </rPr>
      <t>istribution for tax-deferred retirement accounts IRAs, 401(k), etc. You can</t>
    </r>
  </si>
  <si>
    <t xml:space="preserve">is a tax-free IRA that the owner contributes to while working. There are no taxes if you take </t>
  </si>
  <si>
    <t>These are investment accounts (tax-deferred IRA, Roth IRA, taxable Savings including banks and CDs)</t>
  </si>
  <si>
    <r>
      <t xml:space="preserve">is the </t>
    </r>
    <r>
      <rPr>
        <u/>
        <sz val="11"/>
        <color indexed="8"/>
        <rFont val="Calibri"/>
        <family val="2"/>
      </rPr>
      <t>Consumer Price Index</t>
    </r>
    <r>
      <rPr>
        <sz val="11"/>
        <color theme="1"/>
        <rFont val="Calibri"/>
        <family val="2"/>
        <scheme val="minor"/>
      </rPr>
      <t xml:space="preserve"> set by the US Bureau of Labor Statistics each year and reflects the cost of  living.</t>
    </r>
  </si>
  <si>
    <t>is the Excel term for the collection of one or more worksheets (seen in the tabs at the bottom of the window).</t>
  </si>
  <si>
    <r>
      <t xml:space="preserve">or </t>
    </r>
    <r>
      <rPr>
        <b/>
        <u/>
        <sz val="11"/>
        <color indexed="8"/>
        <rFont val="Calibri"/>
        <family val="2"/>
      </rPr>
      <t>P</t>
    </r>
    <r>
      <rPr>
        <u/>
        <sz val="11"/>
        <color indexed="8"/>
        <rFont val="Calibri"/>
        <family val="2"/>
      </rPr>
      <t xml:space="preserve">resent </t>
    </r>
    <r>
      <rPr>
        <b/>
        <u/>
        <sz val="11"/>
        <color indexed="8"/>
        <rFont val="Calibri"/>
        <family val="2"/>
      </rPr>
      <t>V</t>
    </r>
    <r>
      <rPr>
        <u/>
        <sz val="11"/>
        <color indexed="8"/>
        <rFont val="Calibri"/>
        <family val="2"/>
      </rPr>
      <t>alue</t>
    </r>
    <r>
      <rPr>
        <sz val="11"/>
        <color theme="1"/>
        <rFont val="Calibri"/>
        <family val="2"/>
        <scheme val="minor"/>
      </rPr>
      <t xml:space="preserve"> (PV) is what the current value would be of something when you know its value at some</t>
    </r>
  </si>
  <si>
    <t>is the allocation of different types of investments such as stocks and bonds etc. that will mostly</t>
  </si>
  <si>
    <t xml:space="preserve"> A.4 The results are consolidated and summarized in the Results worksheet</t>
  </si>
  <si>
    <t xml:space="preserve">         in claiming benefits</t>
  </si>
  <si>
    <t xml:space="preserve">        Income, etc.)</t>
  </si>
  <si>
    <t>6.1  Enter Annuity 1 Income taxed at marginal tax rate</t>
  </si>
  <si>
    <t>6.2 Enter Annuity 2 Income taxed at marginal tax rate</t>
  </si>
  <si>
    <t xml:space="preserve">   6.1  Enter Annuity 1 Income taxed at marginal tax rate</t>
  </si>
  <si>
    <t xml:space="preserve">   6.2  Enter Annuity 2 Income taxed at marginal tax rate</t>
  </si>
  <si>
    <t xml:space="preserve">      2.3.2 Estimate Taxable Income using PV Tax tables and then FV of the Tax</t>
  </si>
  <si>
    <t>2.3.2 Estimate Taxable Income using PV Tax tables and then FV of the Tax</t>
  </si>
  <si>
    <t xml:space="preserve">Notes: </t>
  </si>
  <si>
    <t xml:space="preserve">   (1) as FICA and Medicare taxes are not handled in the spreadsheet, deduct them from any Work Income in the </t>
  </si>
  <si>
    <t>and Withdrawals from year y are subtracted from the Savings account for year y+1. It is created from the intermediate</t>
  </si>
  <si>
    <t>savings + any excess cash for the previous year. Short-Term Capital Gains are abbreviated as STCG or ST.</t>
  </si>
  <si>
    <t>Long-Term Capital Gains are abbreviated as LTCG or LT. Qualified Dividends are abbreviated DIV.</t>
  </si>
  <si>
    <t>9. Taxable Savings accounts (taxed at tax-free, short- &amp; long- term capital gains tax rates)</t>
  </si>
  <si>
    <t>9. Taxable Savings accounts (taxed at tax-free, short- &amp; long-term capital gains tax rates)</t>
  </si>
  <si>
    <t>Capital Gains &amp; Dividends</t>
  </si>
  <si>
    <t>Non qualified dividends are not treated in the spreadsheet. Treat them as if they were STCG.</t>
  </si>
  <si>
    <t>10. Expenses - both scheduled and unscheduled</t>
  </si>
  <si>
    <r>
      <t xml:space="preserve"> (</t>
    </r>
    <r>
      <rPr>
        <u/>
        <sz val="10"/>
        <color indexed="8"/>
        <rFont val="Calibri"/>
        <family val="2"/>
      </rPr>
      <t xml:space="preserve">don't </t>
    </r>
    <r>
      <rPr>
        <sz val="10"/>
        <color indexed="8"/>
        <rFont val="Calibri"/>
        <family val="2"/>
      </rPr>
      <t>change here. Change the next line.)</t>
    </r>
  </si>
  <si>
    <t>A.3 The cash flow table simulates a Cash account by adding Income &amp; Withdrawals</t>
  </si>
  <si>
    <t xml:space="preserve">        and subtracting Expenses &amp; Taxes</t>
  </si>
  <si>
    <t xml:space="preserve">    11.2 Totals for S1+S2 for Income, Withdrawals, Expenses, and Taxes and resulting Cash</t>
  </si>
  <si>
    <t>11.2 Totals for S1+S2 for Income, Withdrawals, Expenses, and Taxes and resulting Cash</t>
  </si>
  <si>
    <t>R.7 Total Expenses (Scheduled and Irregular)</t>
  </si>
  <si>
    <t xml:space="preserve">   R.8.2 Check all Income/Expense data worksheets for problems with Age specifications.</t>
  </si>
  <si>
    <t xml:space="preserve">   6.3 Total taxable income from annuities</t>
  </si>
  <si>
    <t>6.3 Total taxable income from annuities</t>
  </si>
  <si>
    <t>The income worksheets specify one or more sources of yearly income,</t>
  </si>
  <si>
    <t>This is the worksheet where you enter your yearly expenses</t>
  </si>
  <si>
    <t>Income</t>
  </si>
  <si>
    <t xml:space="preserve"> Share all Soc. Sec. benefits 50%:50%?=</t>
  </si>
  <si>
    <t>capital gains which will be realized when stocks/bonds are sold.</t>
  </si>
  <si>
    <t>Roth S2</t>
  </si>
  <si>
    <t>PV</t>
  </si>
  <si>
    <t>FV</t>
  </si>
  <si>
    <t>N.A. yet</t>
  </si>
  <si>
    <t>The S1 Pb+Ps=</t>
  </si>
  <si>
    <t>The S2 Pb+Ps=</t>
  </si>
  <si>
    <t>S1 age</t>
  </si>
  <si>
    <t>S2 age</t>
  </si>
  <si>
    <t>Age</t>
  </si>
  <si>
    <t xml:space="preserve"> </t>
  </si>
  <si>
    <t>S2 Soc.Sec monthly benefit at age 62=</t>
  </si>
  <si>
    <t>S1 Soc.Sec monthly benefit at age 62=</t>
  </si>
  <si>
    <t>S1 Benefits/mo</t>
  </si>
  <si>
    <t>S2 Benefits/mo</t>
  </si>
  <si>
    <t>Ps=</t>
  </si>
  <si>
    <t>Pb=</t>
  </si>
  <si>
    <t>plus</t>
  </si>
  <si>
    <t>on taxable income from</t>
  </si>
  <si>
    <t xml:space="preserve">                             </t>
  </si>
  <si>
    <t>Rsavings(y) = RtaxFree(y) + Rstcg(y) + Rltcg(y)</t>
  </si>
  <si>
    <t>S1 tax-free gains in Savings</t>
  </si>
  <si>
    <t>S2 tax-free gains in Savings</t>
  </si>
  <si>
    <t>Percent S2 Savings withdrawal=</t>
  </si>
  <si>
    <t xml:space="preserve">CPI </t>
  </si>
  <si>
    <t>COLA</t>
  </si>
  <si>
    <t>Annuity</t>
  </si>
  <si>
    <t>Work start s1</t>
  </si>
  <si>
    <t>Work start s2</t>
  </si>
  <si>
    <t>Work end s1</t>
  </si>
  <si>
    <t>Work end s2</t>
  </si>
  <si>
    <t>Annuity 1 start s1</t>
  </si>
  <si>
    <t>Annuity 1 start s2</t>
  </si>
  <si>
    <t>Annuity 1 end s1</t>
  </si>
  <si>
    <t>Annuity 1 end s2</t>
  </si>
  <si>
    <t>Annuity 2 start s1</t>
  </si>
  <si>
    <t>Annuity 2 start s2</t>
  </si>
  <si>
    <t>Annuity 2 end s2</t>
  </si>
  <si>
    <t>Annuity 2 end s1</t>
  </si>
  <si>
    <t>Total S2 short term gains Savings</t>
  </si>
  <si>
    <t>Total S2 long term gains Savings</t>
  </si>
  <si>
    <t>Total S1 long term gains Savings</t>
  </si>
  <si>
    <t>3. Directions for using the spreadsheet</t>
  </si>
  <si>
    <t>FAQ - Frequently Asked Questions</t>
  </si>
  <si>
    <r>
      <t xml:space="preserve">Note: this preference is specified in table </t>
    </r>
    <r>
      <rPr>
        <b/>
        <i/>
        <sz val="11"/>
        <color indexed="8"/>
        <rFont val="Calibri"/>
        <family val="2"/>
      </rPr>
      <t xml:space="preserve">S.2 </t>
    </r>
    <r>
      <rPr>
        <i/>
        <sz val="11"/>
        <color indexed="8"/>
        <rFont val="Calibri"/>
        <family val="2"/>
      </rPr>
      <t>of worksheet</t>
    </r>
  </si>
  <si>
    <t>for IRAs, Roths, and Savings. It allows for one scheduled withdrawal for Expenses. If there are additional future</t>
  </si>
  <si>
    <t>scheduled events, then do them using the Irregular events in the same Data worksheets.</t>
  </si>
  <si>
    <t xml:space="preserve">5. How do I enter changes in my future Scheduled Contributions or Withdrawals , or Expenses? </t>
  </si>
  <si>
    <t>4. What is a scheduled event (used with Contributions, Withdrawals and Expenses)?</t>
  </si>
  <si>
    <t>It starts at a initial age (which must be greater or equal to your current age), and stops at a later age.</t>
  </si>
  <si>
    <t>In the case of Contributions for Investment accounts, it  consists of a dollar amount and an optional COLA percentage</t>
  </si>
  <si>
    <t>percentage of the corresponding amount value. You may increase this by a COLA for the corresponding accounts.</t>
  </si>
  <si>
    <t xml:space="preserve">if you want to increase it each year. In the case of Withdrawals for Investment or the Expense accounts, it  consists of a </t>
  </si>
  <si>
    <t>See worksheet:</t>
  </si>
  <si>
    <t>1. What do I enter for my Work Income?</t>
  </si>
  <si>
    <t>2. How are distributed capital gains handled for the taxable Savings account?</t>
  </si>
  <si>
    <r>
      <t xml:space="preserve">table </t>
    </r>
    <r>
      <rPr>
        <b/>
        <sz val="11"/>
        <color indexed="8"/>
        <rFont val="Calibri"/>
        <family val="2"/>
      </rPr>
      <t>9.4.3</t>
    </r>
    <r>
      <rPr>
        <sz val="11"/>
        <color indexed="8"/>
        <rFont val="Calibri"/>
        <family val="2"/>
      </rPr>
      <t xml:space="preserve"> below.</t>
    </r>
  </si>
  <si>
    <r>
      <t>This net data (i.e., contributions - withdrawals) is used to compute the data for the above table</t>
    </r>
    <r>
      <rPr>
        <b/>
        <sz val="11"/>
        <color indexed="8"/>
        <rFont val="Calibri"/>
        <family val="2"/>
      </rPr>
      <t xml:space="preserve"> 9.4.2</t>
    </r>
  </si>
  <si>
    <r>
      <t>This table is derived from table</t>
    </r>
    <r>
      <rPr>
        <b/>
        <sz val="11"/>
        <color indexed="8"/>
        <rFont val="Calibri"/>
        <family val="2"/>
      </rPr>
      <t xml:space="preserve"> 9.4.1</t>
    </r>
    <r>
      <rPr>
        <sz val="11"/>
        <color indexed="8"/>
        <rFont val="Calibri"/>
        <family val="2"/>
      </rPr>
      <t xml:space="preserve"> and subsequently used to create table </t>
    </r>
    <r>
      <rPr>
        <b/>
        <sz val="11"/>
        <color indexed="8"/>
        <rFont val="Calibri"/>
        <family val="2"/>
      </rPr>
      <t>9.4.2</t>
    </r>
  </si>
  <si>
    <r>
      <t xml:space="preserve">that is used by the </t>
    </r>
    <r>
      <rPr>
        <b/>
        <sz val="11"/>
        <color indexed="8"/>
        <rFont val="Calibri"/>
        <family val="2"/>
      </rPr>
      <t>Results</t>
    </r>
    <r>
      <rPr>
        <sz val="11"/>
        <color theme="1"/>
        <rFont val="Calibri"/>
        <family val="2"/>
        <scheme val="minor"/>
      </rPr>
      <t xml:space="preserve"> table. You can ignore this table.</t>
    </r>
  </si>
  <si>
    <r>
      <t xml:space="preserve"> (</t>
    </r>
    <r>
      <rPr>
        <u/>
        <sz val="10"/>
        <color indexed="8"/>
        <rFont val="Calibri"/>
        <family val="2"/>
      </rPr>
      <t>don't</t>
    </r>
    <r>
      <rPr>
        <sz val="10"/>
        <color indexed="8"/>
        <rFont val="Calibri"/>
        <family val="2"/>
      </rPr>
      <t xml:space="preserve"> change here, enter it on next red line.)</t>
    </r>
  </si>
  <si>
    <t>Age S1 claims (starts) Social Security=</t>
  </si>
  <si>
    <t>Age S2 claims (starts) Social Security=</t>
  </si>
  <si>
    <t xml:space="preserve">Current S1 Soc.Sec. monthly benefit if already started= </t>
  </si>
  <si>
    <t xml:space="preserve">Current S2 Soc.Sec. monthly benefit if already started= </t>
  </si>
  <si>
    <t xml:space="preserve">Social Security yet. Enter the estimated monthly benefits you will get as estimated by Social Security (get this </t>
  </si>
  <si>
    <r>
      <t xml:space="preserve"> </t>
    </r>
    <r>
      <rPr>
        <sz val="10"/>
        <color indexed="8"/>
        <rFont val="Calibri"/>
        <family val="2"/>
      </rPr>
      <t xml:space="preserve"> (this is an estimate for AGI &gt; minimum)</t>
    </r>
  </si>
  <si>
    <t xml:space="preserve">For work income, subtract the FICA, Medicare taxes, and 401(k) type tax-deferred contributions. Health insurance will be </t>
  </si>
  <si>
    <t>Simplified Income-Stream Planning Tool</t>
  </si>
  <si>
    <t>COLA for S1 annuity 1 income (0% if none)=</t>
  </si>
  <si>
    <t>COLA for S2 annuity 1 income (0% if none)=</t>
  </si>
  <si>
    <t>COLA for S1 annuity 2 income (0% if none)=</t>
  </si>
  <si>
    <t>COLA for S2 annuity 2 income (0% if none)=</t>
  </si>
  <si>
    <t>Note: Exclusion Ratio Tax Deduction calculations are not implement at this point.</t>
  </si>
  <si>
    <t>9.3 Yearly Scheduled Contribution and Withdrawal events for taxable Savings accounts</t>
  </si>
  <si>
    <t>Roth(y+1) = Roth(y) + Croth(y) + Rroth(y) - Wroth(y)</t>
  </si>
  <si>
    <t>IRA(y+1) = IRA(y) + Cira(y) + Rira(y) - Wira(y)</t>
  </si>
  <si>
    <t xml:space="preserve">  </t>
  </si>
  <si>
    <t>Contributions come from outside sources (401(k) contributions, inheritances, gifts, etc.). Withdrawals are</t>
  </si>
  <si>
    <t xml:space="preserve">moved to the cash balance account each year. Withdrawals could be used for helping pay for various </t>
  </si>
  <si>
    <t>planned expenses. Both the contributions and withdrawals are entered as present value PV.</t>
  </si>
  <si>
    <t xml:space="preserve">The future value (FV) is computed for both the contributions and withdrawals since that is the data needed </t>
  </si>
  <si>
    <t>for the Results calculations.</t>
  </si>
  <si>
    <t>Event Number</t>
  </si>
  <si>
    <t>S1 Event Type (C, W or U)</t>
  </si>
  <si>
    <t>U</t>
  </si>
  <si>
    <t xml:space="preserve"> S1 age at event</t>
  </si>
  <si>
    <t xml:space="preserve"> S2 age at event</t>
  </si>
  <si>
    <t>S1 amount FV at Contrib.</t>
  </si>
  <si>
    <t xml:space="preserve"> S1 age at Contrib.</t>
  </si>
  <si>
    <t xml:space="preserve"> S1 age at Withdrawal</t>
  </si>
  <si>
    <t>S1 amount FV at Withdrawal</t>
  </si>
  <si>
    <t xml:space="preserve"> S2 age at Contrib.</t>
  </si>
  <si>
    <t>S2 amount FV at Contrib.</t>
  </si>
  <si>
    <t xml:space="preserve"> S2 age at Withdrawal</t>
  </si>
  <si>
    <t>S2 amount FV at Withdrawal</t>
  </si>
  <si>
    <t>S1 Irregular expenses FV</t>
  </si>
  <si>
    <t>S2 Irregular expenses FV</t>
  </si>
  <si>
    <t>Brinson, Hood and Beebower (1986) and later Ibbotson (2000). showed that over 90% of a portfolio's</t>
  </si>
  <si>
    <t>See IRS Publication 590</t>
  </si>
  <si>
    <r>
      <t xml:space="preserve">means </t>
    </r>
    <r>
      <rPr>
        <i/>
        <u/>
        <sz val="11"/>
        <color indexed="8"/>
        <rFont val="Calibri"/>
        <family val="2"/>
      </rPr>
      <t>Not Available Yet</t>
    </r>
    <r>
      <rPr>
        <sz val="11"/>
        <color theme="1"/>
        <rFont val="Calibri"/>
        <family val="2"/>
        <scheme val="minor"/>
      </rPr>
      <t xml:space="preserve"> in this spreadsheet. The feature may be added in the future.</t>
    </r>
  </si>
  <si>
    <t>the tax-deferred-IRA and Roth IRAs. The 401(k) and 403(b)s are also retirement accounts which are held</t>
  </si>
  <si>
    <t>by one's employer. For purposes of this spreadsheet, we assume all money has been rolled over to IRAs.</t>
  </si>
  <si>
    <t>The spreadsheet lets you estimate the portfolio ROR as follows:</t>
  </si>
  <si>
    <t>take withdrawals at any time, but if must take them after age 70 1/2. If you don't, there is a tax-penalty.</t>
  </si>
  <si>
    <t xml:space="preserve">and CDs. </t>
  </si>
  <si>
    <t>is the taxable investment account (containing stocks, bonds, mutual funds etc.) as well as bank accounts</t>
  </si>
  <si>
    <r>
      <t xml:space="preserve">Note (4) you can enable/disable using irregular contributions and withdrawals in the </t>
    </r>
    <r>
      <rPr>
        <b/>
        <sz val="11"/>
        <color indexed="8"/>
        <rFont val="Calibri"/>
        <family val="2"/>
      </rPr>
      <t>Setup</t>
    </r>
    <r>
      <rPr>
        <sz val="11"/>
        <color theme="1"/>
        <rFont val="Calibri"/>
        <family val="2"/>
        <scheme val="minor"/>
      </rPr>
      <t xml:space="preserve"> worksheet </t>
    </r>
    <r>
      <rPr>
        <b/>
        <sz val="11"/>
        <color indexed="8"/>
        <rFont val="Calibri"/>
        <family val="2"/>
      </rPr>
      <t>S.2.</t>
    </r>
  </si>
  <si>
    <t>http://www.worldstart.com/what-is-a-workbook-or-a-worksheet-in-ms-excel/</t>
  </si>
  <si>
    <t xml:space="preserve">You can print out the either the entire workbook or the active worksheet (you select this when you </t>
  </si>
  <si>
    <r>
      <t xml:space="preserve">invoke Print from  the </t>
    </r>
    <r>
      <rPr>
        <i/>
        <sz val="11"/>
        <color indexed="8"/>
        <rFont val="Calibri"/>
        <family val="2"/>
      </rPr>
      <t>File</t>
    </r>
    <r>
      <rPr>
        <sz val="11"/>
        <color theme="1"/>
        <rFont val="Calibri"/>
        <family val="2"/>
        <scheme val="minor"/>
      </rPr>
      <t xml:space="preserve"> menu). When you do the </t>
    </r>
    <r>
      <rPr>
        <i/>
        <sz val="11"/>
        <color indexed="8"/>
        <rFont val="Calibri"/>
        <family val="2"/>
      </rPr>
      <t>Save</t>
    </r>
    <r>
      <rPr>
        <sz val="11"/>
        <color theme="1"/>
        <rFont val="Calibri"/>
        <family val="2"/>
        <scheme val="minor"/>
      </rPr>
      <t xml:space="preserve"> in Excel, it saves the entire workbook.</t>
    </r>
  </si>
  <si>
    <t>Bureau of Labor Statistics compute and publish CPI data on both an historical and ongoing basis.</t>
  </si>
  <si>
    <t>put $0 if not applicable</t>
  </si>
  <si>
    <t>Total (S1+S2) taxable income</t>
  </si>
  <si>
    <t>Total S1 taxable  income</t>
  </si>
  <si>
    <t>Total S2 taxable income</t>
  </si>
  <si>
    <t>Irregular Contributions and Withdrawals for the Savings accounts</t>
  </si>
  <si>
    <t>9.4.3 Table used for intermediate computations separating out the</t>
  </si>
  <si>
    <t>Table of Contents</t>
  </si>
  <si>
    <t>Table of Contents for Introduction</t>
  </si>
  <si>
    <t>Total S1 irreg. withdrawn from Savings FV</t>
  </si>
  <si>
    <t>Total S2 irreg. withdrawn from Savings FV</t>
  </si>
  <si>
    <t>Total S2 irreg. Contrib -Withdrawn Savings FV</t>
  </si>
  <si>
    <t>List of possible Investment accounts</t>
  </si>
  <si>
    <t>Enter future expenses</t>
  </si>
  <si>
    <r>
      <t xml:space="preserve">Fill out Age and Tax data  </t>
    </r>
    <r>
      <rPr>
        <b/>
        <u/>
        <sz val="11"/>
        <color indexed="8"/>
        <rFont val="Calibri"/>
        <family val="2"/>
      </rPr>
      <t>next</t>
    </r>
  </si>
  <si>
    <t>account are not taxed. Required Minimum Distribution (RMD) withdrawals are required from the tax-deferred</t>
  </si>
  <si>
    <t>The Simba backtesting tool is a spreadsheet to backtest portfolio returns from 1972 to present</t>
  </si>
  <si>
    <t>Bogleheads Wiki on personal finance (points to many other resources including books)</t>
  </si>
  <si>
    <t>(Note enter current age even if started earlier or not applicable to make age error go away)</t>
  </si>
  <si>
    <t>(Note end age must be greater or equal to start age.)</t>
  </si>
  <si>
    <t>Examples of future irregular contributions or withdrawals for the tax-deferred IRA.</t>
  </si>
  <si>
    <t>6. Income from Annuities</t>
  </si>
  <si>
    <t xml:space="preserve">   2.3 Compute the Single Estimated Federal Tax from Total Taxable Income </t>
  </si>
  <si>
    <t xml:space="preserve">      2.3.1 Compute PV of Taxable Income and LTCG</t>
  </si>
  <si>
    <t xml:space="preserve">      2.3.2 Estimate Taxable Income using PV Tax tables  and then FV of the Tax</t>
  </si>
  <si>
    <t xml:space="preserve">                 Irregular Contributions and Withdrawals for the Savings accounts</t>
  </si>
  <si>
    <t>[ ] Double check doing PV/FV correctly when used.</t>
  </si>
  <si>
    <t>Savings(y+1) = Savings(y) +Rsavings(y) + Csavings(y)  - Wsavings(y) + ExcessCash(y)</t>
  </si>
  <si>
    <r>
      <t xml:space="preserve">Note: this preference is specified in the </t>
    </r>
    <r>
      <rPr>
        <b/>
        <i/>
        <sz val="11"/>
        <color indexed="8"/>
        <rFont val="Calibri"/>
        <family val="2"/>
      </rPr>
      <t>Setup</t>
    </r>
    <r>
      <rPr>
        <i/>
        <sz val="11"/>
        <color indexed="8"/>
        <rFont val="Calibri"/>
        <family val="2"/>
      </rPr>
      <t xml:space="preserve"> worksheet table </t>
    </r>
    <r>
      <rPr>
        <b/>
        <i/>
        <sz val="11"/>
        <color indexed="8"/>
        <rFont val="Calibri"/>
        <family val="2"/>
      </rPr>
      <t>S.2</t>
    </r>
  </si>
  <si>
    <r>
      <t xml:space="preserve">Note: this preference is specified in the </t>
    </r>
    <r>
      <rPr>
        <b/>
        <sz val="11"/>
        <color indexed="8"/>
        <rFont val="Calibri"/>
        <family val="2"/>
      </rPr>
      <t>Setup</t>
    </r>
    <r>
      <rPr>
        <sz val="11"/>
        <color indexed="8"/>
        <rFont val="Calibri"/>
        <family val="2"/>
      </rPr>
      <t xml:space="preserve"> worksheet table </t>
    </r>
    <r>
      <rPr>
        <b/>
        <sz val="11"/>
        <color indexed="8"/>
        <rFont val="Calibri"/>
        <family val="2"/>
      </rPr>
      <t>S.2</t>
    </r>
  </si>
  <si>
    <t xml:space="preserve">   10.1 Enter Scheduled yearly expenses</t>
  </si>
  <si>
    <t>10.1 Enter Scheduled yearly expenses</t>
  </si>
  <si>
    <t>11.1 Calculated Income, before and after Expenses and Taxes</t>
  </si>
  <si>
    <t xml:space="preserve">    11.1 Calculated Income, before and after Expenses and Taxes</t>
  </si>
  <si>
    <r>
      <t xml:space="preserve">Tax </t>
    </r>
    <r>
      <rPr>
        <i/>
        <sz val="10"/>
        <color indexed="8"/>
        <rFont val="Calibri"/>
        <family val="2"/>
      </rPr>
      <t>Shares for S1+S2</t>
    </r>
  </si>
  <si>
    <r>
      <t xml:space="preserve">See the </t>
    </r>
    <r>
      <rPr>
        <b/>
        <u/>
        <sz val="14"/>
        <color indexed="8"/>
        <rFont val="Calibri"/>
        <family val="2"/>
      </rPr>
      <t>Introduction</t>
    </r>
    <r>
      <rPr>
        <b/>
        <sz val="14"/>
        <color indexed="8"/>
        <rFont val="Calibri"/>
        <family val="2"/>
      </rPr>
      <t xml:space="preserve"> worksheet for more instructions.</t>
    </r>
  </si>
  <si>
    <t>(0% otherwise if no LTCG)</t>
  </si>
  <si>
    <t>(0% otherwise if no STCG)</t>
  </si>
  <si>
    <t>cases) a monthly income benefit.  Some pensions will have COLA adjustments.</t>
  </si>
  <si>
    <t>message describing the situation and directing you to the appropriate worksheet to correct it.</t>
  </si>
  <si>
    <t xml:space="preserve">     being used (since you set the amounts in question to $0), you must set your starting age in the other</t>
  </si>
  <si>
    <t>Note (3) You may include income from any of the sources (pensions, social security, work, and/or annuities).</t>
  </si>
  <si>
    <t>Note (6) You can have scheduled (i.e., yearly) as well as irregular contributions and withdrawals on the investment</t>
  </si>
  <si>
    <t>It can be useful to temporarily disable irregular expenses to get an idea of the "steady-state" behavior of the income</t>
  </si>
  <si>
    <t>are also taken and are greater than the RMD. Note since we don't use partial years, you take RMDs at age 70 or 71.</t>
  </si>
  <si>
    <t>(6) Expenses are the sum of scheduled (i.e., yearly) and irregular (at different ages and amounts) expenses</t>
  </si>
  <si>
    <t xml:space="preserve">The values of IRA and Roth accounts at year y+1 are based on the previous year's (y) IRA and Roth values plus </t>
  </si>
  <si>
    <t xml:space="preserve">contributions (C) and returns (R) on the IRA and Roth minus withdrawals (W) from the IRA and Roth. This is shown </t>
  </si>
  <si>
    <r>
      <t xml:space="preserve">(such that Wira(y) meets RMD rule if &gt;=70 1/2. See </t>
    </r>
    <r>
      <rPr>
        <b/>
        <sz val="10"/>
        <color indexed="8"/>
        <rFont val="Calibri"/>
        <family val="2"/>
      </rPr>
      <t>IRAdata</t>
    </r>
    <r>
      <rPr>
        <sz val="10"/>
        <color indexed="8"/>
        <rFont val="Calibri"/>
        <family val="2"/>
      </rPr>
      <t xml:space="preserve"> worksheet)</t>
    </r>
  </si>
  <si>
    <t>in formulas as:</t>
  </si>
  <si>
    <r>
      <t xml:space="preserve">See </t>
    </r>
    <r>
      <rPr>
        <b/>
        <sz val="11"/>
        <color indexed="8"/>
        <rFont val="Calibri"/>
        <family val="2"/>
      </rPr>
      <t>Appendix  B</t>
    </r>
    <r>
      <rPr>
        <sz val="11"/>
        <color indexed="8"/>
        <rFont val="Calibri"/>
        <family val="2"/>
      </rPr>
      <t>. for more information on the computations and formulas.</t>
    </r>
  </si>
  <si>
    <t>Withdrawals (W) from savings plus any excess cash (ExcessCash) for the previous year.</t>
  </si>
  <si>
    <t>The value of Savings at year y+1 is based on the previous year's (y) Savings value plus Returns (R) on the savings minus</t>
  </si>
  <si>
    <t>are taxed at the marginal tax rate and are entered before taxes.</t>
  </si>
  <si>
    <t>Note that the withdrawal rates are computed from the (Withdrawals minus Contributions) data in the investment accounts.</t>
  </si>
  <si>
    <r>
      <t xml:space="preserve">This computes the contributions Cira(y), Croth(y) and Csavings(y). See table </t>
    </r>
    <r>
      <rPr>
        <b/>
        <sz val="11"/>
        <color indexed="8"/>
        <rFont val="Calibri"/>
        <family val="2"/>
      </rPr>
      <t xml:space="preserve">R.3 </t>
    </r>
    <r>
      <rPr>
        <sz val="11"/>
        <color indexed="8"/>
        <rFont val="Calibri"/>
        <family val="2"/>
      </rPr>
      <t>above for Withdrawal computations.</t>
    </r>
  </si>
  <si>
    <t>Note that returns in IRA, Roth and Savings accounts for year y gets added back into these same accounts at year y+1.</t>
  </si>
  <si>
    <t>Note: for details, see Income, Investment and Expenses worksheets and</t>
  </si>
  <si>
    <t>For more details on the various worksheets  see the Worksheet Navigation table at the bottom of this worksheet.</t>
  </si>
  <si>
    <t xml:space="preserve">These are some validation tests on some of the data you enter and some of the intermediate results that could </t>
  </si>
  <si>
    <t>cause problems with the results.</t>
  </si>
  <si>
    <r>
      <rPr>
        <sz val="11"/>
        <color indexed="8"/>
        <rFont val="Calibri"/>
        <family val="2"/>
      </rPr>
      <t>Note t</t>
    </r>
    <r>
      <rPr>
        <sz val="12"/>
        <color indexed="8"/>
        <rFont val="Calibri"/>
        <family val="2"/>
      </rPr>
      <t xml:space="preserve">hat there is no problem if there are no error messages here. We do not check for negative Cash balance since </t>
    </r>
  </si>
  <si>
    <t>And the cash balance for each year y Cash(y)  (positive or negative)  gets added back into Savings (y+1) on the next year.</t>
  </si>
  <si>
    <t>This top-level  computation is approximated by the following formula for each year y:</t>
  </si>
  <si>
    <t xml:space="preserve">If there are any investment contributions at year y, they are add to the respective investment accounts in year y+1. A </t>
  </si>
  <si>
    <t xml:space="preserve">contribution is specified by the amount and a percent increase each year. See the Investment accounts for details. </t>
  </si>
  <si>
    <t>Negative rates mean contributions exceed withdrawals.</t>
  </si>
  <si>
    <t xml:space="preserve">        9.4.3 Table used for intermediate computations separating out the</t>
  </si>
  <si>
    <t>since you specified it in Setup worksheet as S.1 configuration as:</t>
  </si>
  <si>
    <t>http://opensource.org/licenses/gpl-3.0.html</t>
  </si>
  <si>
    <t>S2 estimated pension COLA (or use CPI set in AgeData)=</t>
  </si>
  <si>
    <t>S1 annuity 1 value of the annuity contract=</t>
  </si>
  <si>
    <t xml:space="preserve">S2 annuity 1 value of the annuity contract= </t>
  </si>
  <si>
    <t>S2 annuity 1 Expected rate of return =</t>
  </si>
  <si>
    <t>S2 annuity 2 value of the annuity contract=</t>
  </si>
  <si>
    <t>S1 annuity 2 value of the annuity contract=</t>
  </si>
  <si>
    <t>S2 annuity 2 Expected rate of return =</t>
  </si>
  <si>
    <t>PensionData</t>
  </si>
  <si>
    <t xml:space="preserve">     Configuration worksheets:</t>
  </si>
  <si>
    <t xml:space="preserve">      Results worksheet:</t>
  </si>
  <si>
    <t>Introduction</t>
  </si>
  <si>
    <r>
      <t xml:space="preserve">Related </t>
    </r>
    <r>
      <rPr>
        <b/>
        <u/>
        <sz val="11"/>
        <color indexed="8"/>
        <rFont val="Calibri"/>
        <family val="2"/>
      </rPr>
      <t>worksheet</t>
    </r>
  </si>
  <si>
    <t>This RMD table used with IRA withdrawals is in the RMDtable worksheet</t>
  </si>
  <si>
    <t xml:space="preserve">      RMD table worksheet:</t>
  </si>
  <si>
    <t xml:space="preserve">Note: for details, see worksheet </t>
  </si>
  <si>
    <t>Note: for details, see worksheets</t>
  </si>
  <si>
    <t>Total S1</t>
  </si>
  <si>
    <t>Total S2</t>
  </si>
  <si>
    <t>IRA-withdrawals</t>
  </si>
  <si>
    <t>Required</t>
  </si>
  <si>
    <t>Do you need to edit the following worksheets?</t>
  </si>
  <si>
    <r>
      <t xml:space="preserve">     (Enter </t>
    </r>
    <r>
      <rPr>
        <b/>
        <i/>
        <sz val="10"/>
        <color indexed="10"/>
        <rFont val="Calibri"/>
        <family val="2"/>
      </rPr>
      <t>used</t>
    </r>
    <r>
      <rPr>
        <i/>
        <sz val="10"/>
        <rFont val="Calibri"/>
        <family val="2"/>
      </rPr>
      <t xml:space="preserve"> or </t>
    </r>
    <r>
      <rPr>
        <b/>
        <i/>
        <sz val="10"/>
        <color indexed="10"/>
        <rFont val="Calibri"/>
        <family val="2"/>
      </rPr>
      <t>ignored</t>
    </r>
    <r>
      <rPr>
        <i/>
        <sz val="10"/>
        <rFont val="Calibri"/>
        <family val="2"/>
      </rPr>
      <t>)</t>
    </r>
  </si>
  <si>
    <t>Amount S1 contributes yearly to the Savings account=</t>
  </si>
  <si>
    <t>Amount S2 contributes yearly to the Savings account=</t>
  </si>
  <si>
    <t>This software attempts to model an income stream from several different income sources, investment withdrawals,</t>
  </si>
  <si>
    <t>Withdrawal Rate</t>
  </si>
  <si>
    <t>S1 sched Withdraw Savings FV</t>
  </si>
  <si>
    <t>S2 sched Withdraw Savings FV</t>
  </si>
  <si>
    <t>S1 Sched Contrib. - Sched Withdrawal Savings FV</t>
  </si>
  <si>
    <t>S2 Sched Contrib. - Sched Withdrawal Savings FV</t>
  </si>
  <si>
    <t>1.1 Current age data for spouses S1 and S2</t>
  </si>
  <si>
    <t xml:space="preserve">    1.1 Current age data for spouses S1 and S2</t>
  </si>
  <si>
    <t xml:space="preserve">    1.2 Consumer Price Index (CPI)</t>
  </si>
  <si>
    <t xml:space="preserve">    1.3 Estimates of average nominal future total Stock and Bond market returns</t>
  </si>
  <si>
    <t>Tax-Deferred IRA</t>
  </si>
  <si>
    <t>Pension</t>
  </si>
  <si>
    <t>401(k)</t>
  </si>
  <si>
    <t>Roth IRA</t>
  </si>
  <si>
    <t>Rollover IRA</t>
  </si>
  <si>
    <t>IRA</t>
  </si>
  <si>
    <t>For example, the COLA used to adjust Social Security , Federal and some state pensions is the CPI.</t>
  </si>
  <si>
    <t>Social Security</t>
  </si>
  <si>
    <t>Asset Allocation</t>
  </si>
  <si>
    <t>Portfolio</t>
  </si>
  <si>
    <t>RMD</t>
  </si>
  <si>
    <t>ROR</t>
  </si>
  <si>
    <t>Spouse S1 current age=</t>
  </si>
  <si>
    <t>Spouse S2 current age=</t>
  </si>
  <si>
    <t>http://ssa.gov/</t>
  </si>
  <si>
    <t>Claiming SocSec</t>
  </si>
  <si>
    <t>http://www.nber.org/programs/ag/rrc/14rrc2012/</t>
  </si>
  <si>
    <t>one pension. The software does not handle different COLAs if you merge multiple pensions for the same</t>
  </si>
  <si>
    <t>http://www.ssa.gov/mystatement/</t>
  </si>
  <si>
    <t>Social Security home page</t>
  </si>
  <si>
    <t>http://www.bls.gov/cpi/</t>
  </si>
  <si>
    <t>SSA Get Your Statement Online</t>
  </si>
  <si>
    <t>Taxation of Periodic Payments from a Pension or Annuity</t>
  </si>
  <si>
    <t>Frequently Asked Questions (about annuities, e.g. Exclusion Ratio, etc.)</t>
  </si>
  <si>
    <t>http://en.wikipedia.org/wiki/Asset_allocation</t>
  </si>
  <si>
    <t>http://www.bogleheads.org/wiki/Main_Page</t>
  </si>
  <si>
    <t>http://www.bogleheads.org/wiki/Category:Asset_Allocation</t>
  </si>
  <si>
    <t>Bogleheads Wiki entry on Asset Allocation</t>
  </si>
  <si>
    <t>Age S1 pension starts=</t>
  </si>
  <si>
    <t>Age S2 pension starts=</t>
  </si>
  <si>
    <t>http://search.usa.gov/search?affiliate=ssa&amp;query=taxing+social+security+benefits</t>
  </si>
  <si>
    <t>2.3.1 Compute PV of Taxable Income and LTCG</t>
  </si>
  <si>
    <t>Note: exclusion ratio tax deduction calculations are not implemented at this point.</t>
  </si>
  <si>
    <t>[ ] Keep checking the model…</t>
  </si>
  <si>
    <t>Cash S1+S2  is Income + Withdrawals - Expenses - Taxes (not adjusted)</t>
  </si>
  <si>
    <t>Subtract percent share of Federal Tax from S1 Cash account=</t>
  </si>
  <si>
    <t>Subtract percent share of Federal Tax from S2 Cash account=</t>
  </si>
  <si>
    <t>The IRA Required Minimum Distribution Worksheet:</t>
  </si>
  <si>
    <t>on tax. Inc. from</t>
  </si>
  <si>
    <t>Note:</t>
  </si>
  <si>
    <t>Note: There is a minor error introduced over time since the mortality table shifts with time, but ok for an estimate.</t>
  </si>
  <si>
    <t>S1 Value or Pct. Stocks in savings  (Ps)=</t>
  </si>
  <si>
    <t>S1 Value or Pct. Bonds in savings (Pb)=</t>
  </si>
  <si>
    <t>S2 Value or Pct. Stocks in savings (Ps)=</t>
  </si>
  <si>
    <t>S2 Value or Pct. Bonds in savings (Pb)=</t>
  </si>
  <si>
    <t>AgeData</t>
  </si>
  <si>
    <t>TaxData</t>
  </si>
  <si>
    <t>SocSecData</t>
  </si>
  <si>
    <t>IRAdata</t>
  </si>
  <si>
    <t>SavingsData</t>
  </si>
  <si>
    <t>Results</t>
  </si>
  <si>
    <t>Age S1 starts annuity 1 income=</t>
  </si>
  <si>
    <t>Age S2 starts annuity 1 income=</t>
  </si>
  <si>
    <t>Age S1 ends annuity 1 income=</t>
  </si>
  <si>
    <t>Ag2 S2 ends annuity 1 income=</t>
  </si>
  <si>
    <t>Age S1 starts annuity 2 income=</t>
  </si>
  <si>
    <t>Age S2 starts annuity 2 income=</t>
  </si>
  <si>
    <t>Age S1 ends annuity 2 income=</t>
  </si>
  <si>
    <t>Ag2 S2 ends annuity 2 income=</t>
  </si>
  <si>
    <t>(yearly annuity income)</t>
  </si>
  <si>
    <t>S1 annuity 1</t>
  </si>
  <si>
    <t>S1 annuity 2</t>
  </si>
  <si>
    <t>S2 annuity 1</t>
  </si>
  <si>
    <t>S2 annuity 2</t>
  </si>
  <si>
    <t xml:space="preserve">Note (2) The spreadsheet model uses average estimated values you specify for CPI, tax rates, withdrawal values (RMDs </t>
  </si>
  <si>
    <t>are enforced), and rates of return that will obviously be a bit different in the future. But probably not too far off for rough</t>
  </si>
  <si>
    <t>Note (1) contributions and/or withdrawals can be entered for the same year by adding additional events.</t>
  </si>
  <si>
    <t>Note (2) The events can be entered in out of order for the ages.</t>
  </si>
  <si>
    <r>
      <t xml:space="preserve">                  the </t>
    </r>
    <r>
      <rPr>
        <b/>
        <sz val="11"/>
        <color indexed="10"/>
        <rFont val="Calibri"/>
        <family val="2"/>
      </rPr>
      <t>PV amount</t>
    </r>
    <r>
      <rPr>
        <sz val="11"/>
        <color theme="1"/>
        <rFont val="Calibri"/>
        <family val="2"/>
        <scheme val="minor"/>
      </rPr>
      <t xml:space="preserve"> to $0 to remove them from the table.</t>
    </r>
  </si>
  <si>
    <t>9.1.1 Optional, estimate future Savings ROR using current savings portfolio asset</t>
  </si>
  <si>
    <t>allocations</t>
  </si>
  <si>
    <t xml:space="preserve">     9.3 Yearly scheduled Contribution and Withdrawal events for taxable Savings accounts</t>
  </si>
  <si>
    <t>https://retirementplans.vanguard.com/VGApp/pe/pubeducation/calculators/RetirementNestEggCalc.jsf</t>
  </si>
  <si>
    <t>Vanguard tool to investigate risk of different (Stock, Bond, Cash) percentages</t>
  </si>
  <si>
    <t>Retirement Nest Egg Calculator (simulation)</t>
  </si>
  <si>
    <t>https://personalp.vanguard.com/us/insights/investingtruths/investing-truth-about-risk</t>
  </si>
  <si>
    <t>http://www.bogleheads.org/readbooks.htm</t>
  </si>
  <si>
    <t>Use irregular Expenses?=</t>
  </si>
  <si>
    <t>Use irregular Savings Contributions and Withdrawals?=</t>
  </si>
  <si>
    <t>Use irregular tax-deferred IRA Contributions and Withdrawals?=</t>
  </si>
  <si>
    <t>Use irregular Roth Contributions and Withdrawals?=</t>
  </si>
  <si>
    <t>Use rebalancing +/-cash between S1 to S2 and vice-versa?=</t>
  </si>
  <si>
    <t>Use scheduled Roth Contributions and Withdrawals?=</t>
  </si>
  <si>
    <t>Use scheduled  Savings Contributions and Withdrawals?=</t>
  </si>
  <si>
    <t>R.2 Income from Pensions and Social Security</t>
  </si>
  <si>
    <t xml:space="preserve"> (Scheduled and Irregular)</t>
  </si>
  <si>
    <t>See R.5</t>
  </si>
  <si>
    <t>See R.7</t>
  </si>
  <si>
    <t>Investments</t>
  </si>
  <si>
    <r>
      <t>Total Taxable Income</t>
    </r>
    <r>
      <rPr>
        <sz val="11"/>
        <color theme="1"/>
        <rFont val="Calibri"/>
        <family val="2"/>
        <scheme val="minor"/>
      </rPr>
      <t xml:space="preserve"> includes only the income that can be taxed. Whereas </t>
    </r>
    <r>
      <rPr>
        <i/>
        <sz val="11"/>
        <color indexed="8"/>
        <rFont val="Calibri"/>
        <family val="2"/>
      </rPr>
      <t>Total Income</t>
    </r>
  </si>
  <si>
    <t xml:space="preserve">because of the compounding of yearly returns of interest, dividends and capital gains. A simplified </t>
  </si>
  <si>
    <t xml:space="preserve">  S1 benefit/year=</t>
  </si>
  <si>
    <t xml:space="preserve">  S2 benefit/year=</t>
  </si>
  <si>
    <t>S1 annuity 1 yearly income =</t>
  </si>
  <si>
    <t>S2 annuity 1 yearly income =</t>
  </si>
  <si>
    <t>S1 annuity 2 yearly income =</t>
  </si>
  <si>
    <t>S2 annuity 2 yearly income =</t>
  </si>
  <si>
    <t xml:space="preserve">S1 work adjustment </t>
  </si>
  <si>
    <t>Total S1 irregular expenses by age FV</t>
  </si>
  <si>
    <t>Total S2 irregular expenses by age FV</t>
  </si>
  <si>
    <t>Total S1 irregular Contributed to Savings FV</t>
  </si>
  <si>
    <t>Total S2 irregular Contributed to SavingsFV</t>
  </si>
  <si>
    <t>Use scheduled tax-deferred IRA Contributions and Withdrawals?=</t>
  </si>
  <si>
    <t>Total Net Worth of S1+S2 IRAs and taxable savings accounts FV</t>
  </si>
  <si>
    <t>Total value of S1+S2 value of taxable savings accounts FV</t>
  </si>
  <si>
    <t>Total value of S1+S2 Roth IRA accounts FV</t>
  </si>
  <si>
    <t>Total value of S1+S2 tax-deferred taxable IRA accounts FV</t>
  </si>
  <si>
    <t>S1 LT Cap Gains from Savings FV</t>
  </si>
  <si>
    <t>S2 LT Cap Gains from Savings FV</t>
  </si>
  <si>
    <r>
      <t xml:space="preserve">Total S1+S2 </t>
    </r>
    <r>
      <rPr>
        <b/>
        <u/>
        <sz val="10"/>
        <color indexed="8"/>
        <rFont val="Calibri"/>
        <family val="2"/>
      </rPr>
      <t>Taxable</t>
    </r>
    <r>
      <rPr>
        <b/>
        <sz val="10"/>
        <color indexed="8"/>
        <rFont val="Calibri"/>
        <family val="2"/>
      </rPr>
      <t xml:space="preserve"> Income (with div+ ST Cap Gains), not LTCG FV</t>
    </r>
  </si>
  <si>
    <r>
      <t xml:space="preserve">PV Total S1+S2 </t>
    </r>
    <r>
      <rPr>
        <b/>
        <u/>
        <sz val="10"/>
        <color indexed="8"/>
        <rFont val="Calibri"/>
        <family val="2"/>
      </rPr>
      <t>Taxable</t>
    </r>
    <r>
      <rPr>
        <b/>
        <sz val="10"/>
        <color indexed="8"/>
        <rFont val="Calibri"/>
        <family val="2"/>
      </rPr>
      <t xml:space="preserve"> Income (with div+ ST Cap Gains), not LTCG FV</t>
    </r>
  </si>
  <si>
    <t>Total S1 Savings gains (DIV + STCG + LTCG) FV</t>
  </si>
  <si>
    <t>Total S2 Savings gains (DIV + STCG + LTCG) FV</t>
  </si>
  <si>
    <t>Total S1 Withdrawals (IRA + Roth + Savings) FV</t>
  </si>
  <si>
    <t>Total S2 Withdrawals (IRA + Roth + Savings) FV</t>
  </si>
  <si>
    <t>Total S1 Income (Pensions, SocSec, Work, Annuities) FV</t>
  </si>
  <si>
    <t>Total S2 Income (Pensions, SocSec, Work, Annuities) FV</t>
  </si>
  <si>
    <t>Total S1+S2 Income (Pensions, SocSec, Work, Annuities) FV</t>
  </si>
  <si>
    <t>Total S2 Taxable Income (IRA withdrawals + Savings DIV + ST Cap Gains), not LTCG FV</t>
  </si>
  <si>
    <t>Total S1 Taxable Income (IRA withdrawals + Savings DIV + ST Cap Gains), not LTCG FV</t>
  </si>
  <si>
    <t>Total S1+S2 Taxable Income (IRA withdrawals + Savings DIV + ST Cap Gains), not LTCG FV</t>
  </si>
  <si>
    <t>S1 scheduled IRA (401(k) etc.) contributions FV</t>
  </si>
  <si>
    <t>S2 scheduled IRA (401(k) etc.) contributions FV</t>
  </si>
  <si>
    <t>S1 scheduled Roth contributions FV</t>
  </si>
  <si>
    <t>S2 scheduled Roth contributions FV</t>
  </si>
  <si>
    <t>S1 scheduled Savings Contributions FV</t>
  </si>
  <si>
    <t>S2 scheduled Savings Contributions FV</t>
  </si>
  <si>
    <t>Total S1 investment contributions FV</t>
  </si>
  <si>
    <t>Total S2 investment contributions FV</t>
  </si>
  <si>
    <r>
      <t xml:space="preserve">This is the table used by the </t>
    </r>
    <r>
      <rPr>
        <b/>
        <sz val="11"/>
        <color indexed="8"/>
        <rFont val="Calibri"/>
        <family val="2"/>
      </rPr>
      <t>Results</t>
    </r>
    <r>
      <rPr>
        <sz val="11"/>
        <color indexed="8"/>
        <rFont val="Calibri"/>
        <family val="2"/>
      </rPr>
      <t xml:space="preserve"> worksheet where Contributions from year y are added to the IRA</t>
    </r>
  </si>
  <si>
    <t>and Withdrawals from year y are subtracted from the Roth for year y+1. It is created from the intermediate</t>
  </si>
  <si>
    <r>
      <t xml:space="preserve">The cash balance </t>
    </r>
    <r>
      <rPr>
        <b/>
        <sz val="11"/>
        <rFont val="Arial"/>
        <family val="2"/>
      </rPr>
      <t>CashData</t>
    </r>
    <r>
      <rPr>
        <sz val="11"/>
        <rFont val="Arial"/>
        <family val="2"/>
      </rPr>
      <t xml:space="preserve"> worksheet has one option and is:</t>
    </r>
  </si>
  <si>
    <r>
      <t xml:space="preserve">The IRA/RMD </t>
    </r>
    <r>
      <rPr>
        <b/>
        <sz val="11"/>
        <rFont val="Arial"/>
        <family val="2"/>
      </rPr>
      <t>RMDtable</t>
    </r>
    <r>
      <rPr>
        <sz val="11"/>
        <rFont val="Arial"/>
        <family val="2"/>
      </rPr>
      <t xml:space="preserve"> worksheet may need to be changed and is:</t>
    </r>
  </si>
  <si>
    <r>
      <t xml:space="preserve">Do you have annuity income? If so then the </t>
    </r>
    <r>
      <rPr>
        <b/>
        <sz val="11"/>
        <rFont val="Arial"/>
        <family val="2"/>
      </rPr>
      <t>AnnuityData</t>
    </r>
    <r>
      <rPr>
        <sz val="11"/>
        <rFont val="Arial"/>
        <family val="2"/>
      </rPr>
      <t xml:space="preserve"> is:</t>
    </r>
  </si>
  <si>
    <t>You MUST edit this worksheet.</t>
  </si>
  <si>
    <t>Percent of S2 yearly distributed tax-free=</t>
  </si>
  <si>
    <t xml:space="preserve">Worksheet Navigation. </t>
  </si>
  <si>
    <t>Worksheet Navigation</t>
  </si>
  <si>
    <t>years. See the Social Security Administration web site for extensive information and data</t>
  </si>
  <si>
    <t>(5) The Federal tax AGI is computed using the taxable income less deductions if they were entered.</t>
  </si>
  <si>
    <t>Currently, for simplicity the deduction amount is fixed, although it should probably be allowed to change.</t>
  </si>
  <si>
    <t>Withdrawal</t>
  </si>
  <si>
    <t>Savings Account</t>
  </si>
  <si>
    <t>Retirement Account</t>
  </si>
  <si>
    <t>S2 IRA Contrib. - Withdrawal FV</t>
  </si>
  <si>
    <t>S1 Roth Contrib -Withdrawal FV</t>
  </si>
  <si>
    <t>S2 Roth Contrib -Withdrawal FV</t>
  </si>
  <si>
    <t>Total  S1+S2 tax-deferred IRAs Contrilb - Withdrawn FV</t>
  </si>
  <si>
    <t>Total  S1+S2 Roth IRAs Contrilb - Withdrawn FV</t>
  </si>
  <si>
    <t>S1 Work income (after FICA + Medicare) FV</t>
  </si>
  <si>
    <t>S2 Work income (after FICA + Medicare) FV</t>
  </si>
  <si>
    <t>S1 Annuity 1 income FV</t>
  </si>
  <si>
    <t>S2 Annuity 1 income FV</t>
  </si>
  <si>
    <t>S1 Annuity 2 income FV</t>
  </si>
  <si>
    <t>S2 Annuity 2 income FV</t>
  </si>
  <si>
    <t>S1 Work + Annuity income FV</t>
  </si>
  <si>
    <t>S2 Work + Annuity income FV</t>
  </si>
  <si>
    <t>Total S1 Work + Annuity income FV</t>
  </si>
  <si>
    <t>Total S2 Work + Annuity income FV</t>
  </si>
  <si>
    <t>Total S1 expenses FV</t>
  </si>
  <si>
    <t>Total S2 expenses FV</t>
  </si>
  <si>
    <t>Total S1+S2 expenses FV</t>
  </si>
  <si>
    <t>the shortfalls will be taken from the Savings account which will be flagged as running out of money here.</t>
  </si>
  <si>
    <t>Total S1+S2 Income (P+SS+W+A) FV</t>
  </si>
  <si>
    <t>Total S1+S2 investment contributions FV</t>
  </si>
  <si>
    <t>Total S1+S2 Expenses FV</t>
  </si>
  <si>
    <t>AnnuityData</t>
  </si>
  <si>
    <t>11. Cash account with Income and Withdrawals added, Expenses &amp; Taxes subtracted</t>
  </si>
  <si>
    <t>S1 annuity 1 Exclusion Ratio =</t>
  </si>
  <si>
    <t>S2 annuity 1 Exclusion Ratio =</t>
  </si>
  <si>
    <t>S1 annuity 2 Exclusion Ratio =</t>
  </si>
  <si>
    <t>S2 annuity 2 Exclusion Ratio =</t>
  </si>
  <si>
    <t>(N.A. yet)</t>
  </si>
  <si>
    <t>10. Expense - both scheduled and unscheduled</t>
  </si>
  <si>
    <t>Generally, work retirement accounts (401(k) and 403(b)) can be moved to personal IRA accounts.</t>
  </si>
  <si>
    <t>Total S1+S2 Income by age FV</t>
  </si>
  <si>
    <t>Total S1+S2 Expenses by age FV</t>
  </si>
  <si>
    <t>S1+S2 Income +Withdrawals - Expenses</t>
  </si>
  <si>
    <t>S1+S2 Taxes</t>
  </si>
  <si>
    <t>Then,</t>
  </si>
  <si>
    <t>Rate of Return=</t>
  </si>
  <si>
    <t xml:space="preserve"> (enter the present value amount)</t>
  </si>
  <si>
    <t xml:space="preserve"> (the calculated future value)</t>
  </si>
  <si>
    <t>S1 extra LTCG tax on prev. yr Cost overrun</t>
  </si>
  <si>
    <t>S2  extra LTCG tax on prev. yr Cost overrun</t>
  </si>
  <si>
    <t>Note we add the tax on cost overruns (CostBasis) withdrawals from the previous year to the current  year.</t>
  </si>
  <si>
    <t>Total S1+S2 LT Cap Gains from Savings+extra FV</t>
  </si>
  <si>
    <t xml:space="preserve">    an additional withdrawal at year y, but we tax it year y+1  although with a possible error if the additional</t>
  </si>
  <si>
    <t xml:space="preserve">    withdrawal would have bumped them into the next higher tax bracket. For small amounts, it is probably </t>
  </si>
  <si>
    <t>Benefit, as % Primary Insurance Amount (PIA), payable at 62-67, 70</t>
  </si>
  <si>
    <t>Taxing Soc. Sec. benefits</t>
  </si>
  <si>
    <t xml:space="preserve">Increased SS return benefits/yr delay claiming= </t>
  </si>
  <si>
    <t>See taxing Soc. Sec. benefits</t>
  </si>
  <si>
    <t>S1 amount each year that is Federal tax-free=</t>
  </si>
  <si>
    <t>S2 amount  each year that is Federal tax-free=</t>
  </si>
  <si>
    <r>
      <t xml:space="preserve">Note: Some pensions have a decreasing tax credit that can be used for Federal  taxes, but </t>
    </r>
    <r>
      <rPr>
        <i/>
        <sz val="11"/>
        <color indexed="8"/>
        <rFont val="Calibri"/>
        <family val="2"/>
      </rPr>
      <t>N.A. yet</t>
    </r>
    <r>
      <rPr>
        <sz val="11"/>
        <color indexed="8"/>
        <rFont val="Calibri"/>
        <family val="2"/>
      </rPr>
      <t>.</t>
    </r>
  </si>
  <si>
    <r>
      <t xml:space="preserve">Note: Some pensions have a decreasing tax credit that can be used for  State taxes, but </t>
    </r>
    <r>
      <rPr>
        <i/>
        <sz val="11"/>
        <color indexed="8"/>
        <rFont val="Calibri"/>
        <family val="2"/>
      </rPr>
      <t>N.A. yet</t>
    </r>
    <r>
      <rPr>
        <sz val="11"/>
        <color theme="1"/>
        <rFont val="Calibri"/>
        <family val="2"/>
        <scheme val="minor"/>
      </rPr>
      <t>.</t>
    </r>
  </si>
  <si>
    <t>S1 State Tax credit of selected pensions=</t>
  </si>
  <si>
    <t>Percent of S1 yearly distributed tax-free=</t>
  </si>
  <si>
    <r>
      <t xml:space="preserve">You </t>
    </r>
    <r>
      <rPr>
        <u/>
        <sz val="11"/>
        <rFont val="Arial"/>
        <family val="2"/>
      </rPr>
      <t>must</t>
    </r>
    <r>
      <rPr>
        <sz val="11"/>
        <rFont val="Arial"/>
        <family val="2"/>
      </rPr>
      <t xml:space="preserve"> edit the </t>
    </r>
    <r>
      <rPr>
        <b/>
        <sz val="11"/>
        <rFont val="Arial"/>
        <family val="2"/>
      </rPr>
      <t>ExpensesData</t>
    </r>
    <r>
      <rPr>
        <sz val="11"/>
        <rFont val="Arial"/>
        <family val="2"/>
      </rPr>
      <t xml:space="preserve"> worksheet which is:</t>
    </r>
  </si>
  <si>
    <r>
      <t xml:space="preserve">You </t>
    </r>
    <r>
      <rPr>
        <u/>
        <sz val="11"/>
        <color indexed="8"/>
        <rFont val="Calibri"/>
        <family val="2"/>
      </rPr>
      <t>must</t>
    </r>
    <r>
      <rPr>
        <sz val="11"/>
        <color indexed="8"/>
        <rFont val="Calibri"/>
        <family val="2"/>
      </rPr>
      <t xml:space="preserve"> edit the </t>
    </r>
    <r>
      <rPr>
        <b/>
        <sz val="11"/>
        <color indexed="8"/>
        <rFont val="Calibri"/>
        <family val="2"/>
      </rPr>
      <t>AgeData</t>
    </r>
    <r>
      <rPr>
        <sz val="11"/>
        <color indexed="8"/>
        <rFont val="Calibri"/>
        <family val="2"/>
      </rPr>
      <t xml:space="preserve"> worksheet which is:</t>
    </r>
  </si>
  <si>
    <r>
      <t xml:space="preserve">You </t>
    </r>
    <r>
      <rPr>
        <u/>
        <sz val="11"/>
        <color indexed="8"/>
        <rFont val="Calibri"/>
        <family val="2"/>
      </rPr>
      <t>must</t>
    </r>
    <r>
      <rPr>
        <sz val="11"/>
        <color indexed="8"/>
        <rFont val="Calibri"/>
        <family val="2"/>
      </rPr>
      <t xml:space="preserve"> edit the </t>
    </r>
    <r>
      <rPr>
        <b/>
        <sz val="11"/>
        <color indexed="8"/>
        <rFont val="Calibri"/>
        <family val="2"/>
      </rPr>
      <t>TaxData</t>
    </r>
    <r>
      <rPr>
        <sz val="11"/>
        <color indexed="8"/>
        <rFont val="Calibri"/>
        <family val="2"/>
      </rPr>
      <t xml:space="preserve"> worksheet which is:</t>
    </r>
  </si>
  <si>
    <t>The expenses are entered as present value (PV) costs.</t>
  </si>
  <si>
    <r>
      <t xml:space="preserve">Note (3) The following table shows some examples. You should set the red S1 and S2 </t>
    </r>
    <r>
      <rPr>
        <b/>
        <sz val="11"/>
        <color indexed="10"/>
        <rFont val="Calibri"/>
        <family val="2"/>
      </rPr>
      <t>age</t>
    </r>
    <r>
      <rPr>
        <sz val="11"/>
        <color theme="1"/>
        <rFont val="Calibri"/>
        <family val="2"/>
        <scheme val="minor"/>
      </rPr>
      <t xml:space="preserve"> values to 0 and  </t>
    </r>
  </si>
  <si>
    <t>yes</t>
  </si>
  <si>
    <t>Savings S1</t>
  </si>
  <si>
    <t>Savings S2</t>
  </si>
  <si>
    <t>Roth S1</t>
  </si>
  <si>
    <r>
      <t xml:space="preserve">Estimated future </t>
    </r>
    <r>
      <rPr>
        <b/>
        <u/>
        <sz val="11"/>
        <color indexed="8"/>
        <rFont val="Calibri"/>
        <family val="2"/>
      </rPr>
      <t>Stock</t>
    </r>
    <r>
      <rPr>
        <b/>
        <sz val="11"/>
        <color indexed="8"/>
        <rFont val="Calibri"/>
        <family val="2"/>
      </rPr>
      <t xml:space="preserve"> ROR (Rs)=</t>
    </r>
  </si>
  <si>
    <r>
      <t xml:space="preserve">Estimated future </t>
    </r>
    <r>
      <rPr>
        <b/>
        <u/>
        <sz val="11"/>
        <color indexed="8"/>
        <rFont val="Calibri"/>
        <family val="2"/>
      </rPr>
      <t>Bond</t>
    </r>
    <r>
      <rPr>
        <b/>
        <sz val="11"/>
        <color indexed="8"/>
        <rFont val="Calibri"/>
        <family val="2"/>
      </rPr>
      <t xml:space="preserve"> ROR (Rb)=</t>
    </r>
  </si>
  <si>
    <t>Total S1 withdrawals FV</t>
  </si>
  <si>
    <t>Total S2 withdrawals FV</t>
  </si>
  <si>
    <t>Cash S1 is Income + Withdrawals - Expenses - Taxes</t>
  </si>
  <si>
    <t>Cash S2 is Income + Withdrawals - Expenses - Taxes</t>
  </si>
  <si>
    <t>S1 Income +Withdrawals - Expenses</t>
  </si>
  <si>
    <t>S2 Income + Withdrawals - Expenses</t>
  </si>
  <si>
    <t>has not been implemented yet and should be ignored.</t>
  </si>
  <si>
    <t>S1 amount PV</t>
  </si>
  <si>
    <t>S1 amount FV</t>
  </si>
  <si>
    <t>S2 reason</t>
  </si>
  <si>
    <t>S1 reason</t>
  </si>
  <si>
    <t>S2  amount PV</t>
  </si>
  <si>
    <t>S2 amount FV</t>
  </si>
  <si>
    <t>Workbook</t>
  </si>
  <si>
    <t>Worksheet</t>
  </si>
  <si>
    <t>you can approximate it by treating it as additional assets in the Savings account. But it will not</t>
  </si>
  <si>
    <t>See FAQ 1. above.</t>
  </si>
  <si>
    <t>FAQ</t>
  </si>
  <si>
    <t>Frequently Asked Questions</t>
  </si>
  <si>
    <t xml:space="preserve"> See worksheets:</t>
  </si>
  <si>
    <t>The spreadsheet allows for one scheduled contribution and one scheduled withdrawal for the three Investment accounts</t>
  </si>
  <si>
    <r>
      <t xml:space="preserve">These options will modify the calculations in the </t>
    </r>
    <r>
      <rPr>
        <b/>
        <sz val="12"/>
        <color indexed="8"/>
        <rFont val="Calibri"/>
        <family val="2"/>
      </rPr>
      <t>Results</t>
    </r>
    <r>
      <rPr>
        <sz val="11"/>
        <color indexed="8"/>
        <rFont val="Calibri"/>
        <family val="2"/>
      </rPr>
      <t xml:space="preserve"> worksheet by adding scheduled contributions and withdrawals </t>
    </r>
  </si>
  <si>
    <r>
      <t xml:space="preserve">Do you have/will have a tax-deferred IRA accounts? If so then  </t>
    </r>
    <r>
      <rPr>
        <b/>
        <sz val="11"/>
        <rFont val="Arial"/>
        <family val="2"/>
      </rPr>
      <t>IRAdata</t>
    </r>
    <r>
      <rPr>
        <sz val="11"/>
        <rFont val="Arial"/>
        <family val="2"/>
      </rPr>
      <t xml:space="preserve"> is:</t>
    </r>
  </si>
  <si>
    <r>
      <t xml:space="preserve">Do you have/will have any Roth IRA accounts If so then  </t>
    </r>
    <r>
      <rPr>
        <b/>
        <sz val="11"/>
        <rFont val="Arial"/>
        <family val="2"/>
      </rPr>
      <t>RothData</t>
    </r>
    <r>
      <rPr>
        <sz val="11"/>
        <rFont val="Arial"/>
        <family val="2"/>
      </rPr>
      <t xml:space="preserve"> is:</t>
    </r>
  </si>
  <si>
    <t>since you specified it in the Setup worksheet as S.1 configuration as:</t>
  </si>
  <si>
    <t>[TODO] DBL-CHECK withdrawal rate calcs.</t>
  </si>
  <si>
    <r>
      <t xml:space="preserve">Do you have/will have work income? If so then </t>
    </r>
    <r>
      <rPr>
        <b/>
        <sz val="11"/>
        <rFont val="Arial"/>
        <family val="2"/>
      </rPr>
      <t>WorkData</t>
    </r>
    <r>
      <rPr>
        <sz val="11"/>
        <rFont val="Arial"/>
        <family val="2"/>
      </rPr>
      <t xml:space="preserve"> is:</t>
    </r>
  </si>
  <si>
    <r>
      <t xml:space="preserve">Do you have/will have pension income? Then  </t>
    </r>
    <r>
      <rPr>
        <b/>
        <sz val="11"/>
        <rFont val="Arial"/>
        <family val="2"/>
      </rPr>
      <t>PensionData</t>
    </r>
    <r>
      <rPr>
        <sz val="11"/>
        <rFont val="Arial"/>
        <family val="2"/>
      </rPr>
      <t xml:space="preserve"> is:</t>
    </r>
  </si>
  <si>
    <r>
      <t xml:space="preserve">Do you have/will have Social Security income? If so then </t>
    </r>
    <r>
      <rPr>
        <b/>
        <sz val="11"/>
        <rFont val="Arial"/>
        <family val="2"/>
      </rPr>
      <t>SocSecData</t>
    </r>
    <r>
      <rPr>
        <sz val="11"/>
        <rFont val="Arial"/>
        <family val="2"/>
      </rPr>
      <t xml:space="preserve"> is:</t>
    </r>
  </si>
  <si>
    <r>
      <t xml:space="preserve">Do you have/will have taxable savings income? If so then </t>
    </r>
    <r>
      <rPr>
        <b/>
        <sz val="11"/>
        <rFont val="Arial"/>
        <family val="2"/>
      </rPr>
      <t>SavingsData</t>
    </r>
    <r>
      <rPr>
        <sz val="11"/>
        <rFont val="Arial"/>
        <family val="2"/>
      </rPr>
      <t xml:space="preserve"> is:</t>
    </r>
  </si>
  <si>
    <t>What you need to do</t>
  </si>
  <si>
    <t xml:space="preserve">  (i.e., investments, banks accts., CDs)</t>
  </si>
  <si>
    <t>Percent S1 increases contribution each year=</t>
  </si>
  <si>
    <t>Percent S2 increases contribution each year=</t>
  </si>
  <si>
    <t>Total S1+S2 for all investment contributions FV</t>
  </si>
  <si>
    <t>S1 withdrawal rate for all investment accounts FV</t>
  </si>
  <si>
    <t>S2 withdrawal rate for all investment accounts FV</t>
  </si>
  <si>
    <t>S1 Savings Value FV</t>
  </si>
  <si>
    <t>S2 Savings Value FV</t>
  </si>
  <si>
    <t>S1 tax-free gains in Savings FV</t>
  </si>
  <si>
    <t>S2 tax-free gains in Savings FV</t>
  </si>
  <si>
    <t>S1 tax-deferred IRA value FV</t>
  </si>
  <si>
    <t>S2 tax-deferred IRA value FV</t>
  </si>
  <si>
    <t>S1 IRA Contrib. - Withdrawal FV</t>
  </si>
  <si>
    <t xml:space="preserve"> 9.4.2 Calculated Savings accounts Irregular Contributions &amp; Withdrawals sorted by age</t>
  </si>
  <si>
    <t xml:space="preserve">        9.4.2 Calculated Savings accounts Irregular Contributions &amp; Withdrawals sorted by age</t>
  </si>
  <si>
    <t>2.1 Enter tax deduction data for computing taxable income</t>
  </si>
  <si>
    <t>Share all pension benefits 50%:50%?=</t>
  </si>
  <si>
    <t>S1 estimated pension COLA (or use CPI set in AgeData)=</t>
  </si>
  <si>
    <t>R.3 Income from Earned Work Income and/or Annuities</t>
  </si>
  <si>
    <t xml:space="preserve">   R.5.1 Scheduled contributions to investment accounts (IRA, Roth, Savings)</t>
  </si>
  <si>
    <t>Setup</t>
  </si>
  <si>
    <t xml:space="preserve">      Income worksheets:</t>
  </si>
  <si>
    <t xml:space="preserve">      Investment worksheets:</t>
  </si>
  <si>
    <t xml:space="preserve">      Expense worksheet:</t>
  </si>
  <si>
    <t>Maximum percent of Social Security that can be taxed=</t>
  </si>
  <si>
    <t>S1 yearly expenses =</t>
  </si>
  <si>
    <t>Age S1 starts expenses=</t>
  </si>
  <si>
    <t>Age S2 starts expenses=</t>
  </si>
  <si>
    <t>(Probably start taking expenses at your current ages and stop when you die…)</t>
  </si>
  <si>
    <t>Age S1 ends expenses=</t>
  </si>
  <si>
    <t>Age S2 ends expenses=</t>
  </si>
  <si>
    <t>taxable income is that subset of income that is taxable (i.e., excludes Roth withdrawals, tax-free income, etc.)</t>
  </si>
  <si>
    <t>S1 expense name</t>
  </si>
  <si>
    <t>S1 expense cost PV</t>
  </si>
  <si>
    <t>S1 expense cost FV</t>
  </si>
  <si>
    <t>S2 age at expense</t>
  </si>
  <si>
    <t>S2 expense name</t>
  </si>
  <si>
    <t>S2 expense cost PV</t>
  </si>
  <si>
    <t>S2 expense cost FV</t>
  </si>
  <si>
    <t>S1 age at expense</t>
  </si>
  <si>
    <t>S2 yearly expenses =</t>
  </si>
  <si>
    <t xml:space="preserve">  (Note if shared, then (S1+S2)/2 each else track separately)</t>
  </si>
  <si>
    <t>S1 Sole Social Security income</t>
  </si>
  <si>
    <t>S2 Sole Social Security income</t>
  </si>
  <si>
    <t>Average Consumer Price Index (CPI)=</t>
  </si>
  <si>
    <t xml:space="preserve">This is an estimate of the CPI for the future. Obviously this is only a guess. </t>
  </si>
  <si>
    <r>
      <t xml:space="preserve">This is used to specify the age range of the S1 and S2 in the </t>
    </r>
    <r>
      <rPr>
        <b/>
        <sz val="11"/>
        <color indexed="8"/>
        <rFont val="Calibri"/>
        <family val="2"/>
      </rPr>
      <t>Results</t>
    </r>
    <r>
      <rPr>
        <sz val="11"/>
        <color theme="1"/>
        <rFont val="Calibri"/>
        <family val="2"/>
        <scheme val="minor"/>
      </rPr>
      <t xml:space="preserve"> and most of the other worksheets.</t>
    </r>
  </si>
  <si>
    <t>Starting ages for various income sources and expenses must be greater or equal to the current ages.</t>
  </si>
  <si>
    <t>1.2 Consumer Price Index (CPI)</t>
  </si>
  <si>
    <t>Estimated Social Security  COLA (or use CPI set in AgeData)=</t>
  </si>
  <si>
    <t>(not tied to the CPI)</t>
  </si>
  <si>
    <t>S2 estimated Expenses COLA =</t>
  </si>
  <si>
    <t>S1 estimated Expenses  COLA=</t>
  </si>
  <si>
    <t>Estimated Tax COLA (or use the CPI set in AgeData)=</t>
  </si>
  <si>
    <t>Total S1 Expenses by age FV</t>
  </si>
  <si>
    <t>WorkData</t>
  </si>
  <si>
    <r>
      <t xml:space="preserve">These options will modify the calculations in the </t>
    </r>
    <r>
      <rPr>
        <b/>
        <sz val="12"/>
        <color indexed="8"/>
        <rFont val="Calibri"/>
        <family val="2"/>
      </rPr>
      <t>Results</t>
    </r>
    <r>
      <rPr>
        <sz val="11"/>
        <color indexed="8"/>
        <rFont val="Calibri"/>
        <family val="2"/>
      </rPr>
      <t xml:space="preserve"> worksheet by adding irregular contributions and withdrawals </t>
    </r>
  </si>
  <si>
    <t>S2 State Tax credit of selected pensions=</t>
  </si>
  <si>
    <t>(For decreasing deduction, N.A. yet)</t>
  </si>
  <si>
    <t>N.A.yet</t>
  </si>
  <si>
    <t>S1 Pension value of the annuity contract= =</t>
  </si>
  <si>
    <t>S1 Pension Expected rate of return =</t>
  </si>
  <si>
    <t>S1 Pension Exclusion Ratio =</t>
  </si>
  <si>
    <t>S2 Pension Exclusion Ratio =</t>
  </si>
  <si>
    <t>(Or use Exclusion Ratio Deduction below)</t>
  </si>
  <si>
    <t>See</t>
  </si>
  <si>
    <t>http://www.annuityadvisors.com/FAQ/Immediate.aspx</t>
  </si>
  <si>
    <r>
      <t>Note: the Exclusion ratio is</t>
    </r>
    <r>
      <rPr>
        <b/>
        <i/>
        <sz val="10"/>
        <color indexed="8"/>
        <rFont val="Calibri"/>
        <family val="2"/>
      </rPr>
      <t xml:space="preserve"> Investment in the Contract / Expected Return </t>
    </r>
    <r>
      <rPr>
        <i/>
        <sz val="10"/>
        <color indexed="8"/>
        <rFont val="Calibri"/>
        <family val="2"/>
      </rPr>
      <t>and determines how much of the annuity</t>
    </r>
  </si>
  <si>
    <t xml:space="preserve">is taxable and non-taxable. The exclusion ratio runs out when all of the principal in the contract has been received </t>
  </si>
  <si>
    <t>(assuming you reach that point in the contract). When the entire amount of principal has been exhausted, the entire</t>
  </si>
  <si>
    <t>annuity payment will then be taxable.</t>
  </si>
  <si>
    <t>S1 annuity 1 Expected rate of return =</t>
  </si>
  <si>
    <t>S1 annuity 2 Expected rate of return =</t>
  </si>
  <si>
    <t>Taxable income is total taxable income + taxable returns from Savings (except LTCG taxed later)</t>
  </si>
  <si>
    <t xml:space="preserve">Note: data in the table below is from: </t>
  </si>
  <si>
    <t>Distribution period</t>
  </si>
  <si>
    <t>(Note: if the JALS table is used, then it must be individualized.)</t>
  </si>
  <si>
    <r>
      <t>The</t>
    </r>
    <r>
      <rPr>
        <u val="singleAccounting"/>
        <sz val="10"/>
        <color indexed="8"/>
        <rFont val="Calibri"/>
        <family val="2"/>
      </rPr>
      <t xml:space="preserve"> Joint and Last Survivor </t>
    </r>
    <r>
      <rPr>
        <b/>
        <sz val="10"/>
        <color indexed="8"/>
        <rFont val="Calibri"/>
        <family val="2"/>
      </rPr>
      <t xml:space="preserve">Table (JALS) </t>
    </r>
    <r>
      <rPr>
        <sz val="10"/>
        <color indexed="8"/>
        <rFont val="Calibri"/>
        <family val="2"/>
      </rPr>
      <t>IRA RMD Worksheet:</t>
    </r>
  </si>
  <si>
    <t>Table used for calculations</t>
  </si>
  <si>
    <t>S1 Pension benefit/year=</t>
  </si>
  <si>
    <t>S2 Pension benefit/year=</t>
  </si>
  <si>
    <t>RothData</t>
  </si>
  <si>
    <r>
      <t>SF</t>
    </r>
    <r>
      <rPr>
        <sz val="11"/>
        <color theme="1"/>
        <rFont val="Calibri"/>
        <family val="2"/>
        <scheme val="minor"/>
      </rPr>
      <t xml:space="preserve"> - Single Filing</t>
    </r>
  </si>
  <si>
    <r>
      <t>MFJ</t>
    </r>
    <r>
      <rPr>
        <sz val="11"/>
        <color theme="1"/>
        <rFont val="Calibri"/>
        <family val="2"/>
        <scheme val="minor"/>
      </rPr>
      <t xml:space="preserve"> - Married Filing Jointly</t>
    </r>
  </si>
  <si>
    <r>
      <t>MFS</t>
    </r>
    <r>
      <rPr>
        <sz val="11"/>
        <color theme="1"/>
        <rFont val="Calibri"/>
        <family val="2"/>
        <scheme val="minor"/>
      </rPr>
      <t xml:space="preserve"> - Married Filing Separately</t>
    </r>
  </si>
  <si>
    <t>MFJ</t>
  </si>
  <si>
    <t>S1 Savings Value</t>
  </si>
  <si>
    <t>S2 Savings Value</t>
  </si>
  <si>
    <t>S1 short term gains Savings</t>
  </si>
  <si>
    <t>Age S1 starts Savings withdrawals=</t>
  </si>
  <si>
    <t>Age S2 starts Savings withdrawals=</t>
  </si>
  <si>
    <t>Age S1 ends Savings withdrawals=</t>
  </si>
  <si>
    <t>Age S2 ends Savings withdrawals=</t>
  </si>
  <si>
    <t>Percent S1 Savings withdrawal=</t>
  </si>
  <si>
    <t>Is a CPI-COLA adjusted pension earned by workers by their FICA contributions during their working</t>
  </si>
  <si>
    <t>If you need this table, you have to replace the one below with your individualized data.</t>
  </si>
  <si>
    <t>Expense Number</t>
  </si>
  <si>
    <t>ExpensesData</t>
  </si>
  <si>
    <t>IRA Contrib. start S1</t>
  </si>
  <si>
    <t>IRA Contrib. start S2</t>
  </si>
  <si>
    <t>IRA Contrib. end S1</t>
  </si>
  <si>
    <t>IRA Contrib. end S2</t>
  </si>
  <si>
    <t>Savings contrib. start S1</t>
  </si>
  <si>
    <t>Savings contrib. start S2</t>
  </si>
  <si>
    <t>Savings contrib. end S1</t>
  </si>
  <si>
    <t>Savings contrib. end S2</t>
  </si>
  <si>
    <t>Savings withdraw start S1</t>
  </si>
  <si>
    <t>Savings withdraw start S2</t>
  </si>
  <si>
    <t>Savings withdraw end S1</t>
  </si>
  <si>
    <t>Savings withdraw end S2</t>
  </si>
  <si>
    <t>Total S1 Income by age FV</t>
  </si>
  <si>
    <t>Total S2 Income by age FV</t>
  </si>
  <si>
    <t>Total S2 Expenses by age FV</t>
  </si>
  <si>
    <t>http://www.ssa.gov/oact/ProgData/ar_drc.html</t>
  </si>
  <si>
    <t>http://www.ssa.gov/oact/COLA/piaformula.html</t>
  </si>
  <si>
    <t>Early or Late Retirement?</t>
  </si>
  <si>
    <t>http://www.ssa.gov/oact/quickcalc/early_late.html</t>
  </si>
  <si>
    <t>http://www.irs.gov/publications/p575/ar02.html#en_US_2011_publink1000226762</t>
  </si>
  <si>
    <t>(This is a crude estimate for approximating the exclusion ratio calculations.)</t>
  </si>
  <si>
    <t>Calculated S1 est. S.S. benefit/mo at claim age=</t>
  </si>
  <si>
    <t>Calculated S2 est. S.S. benefit/mo at claim age=</t>
  </si>
  <si>
    <t>Estimate SSA benefits if delay claiming from age 62</t>
  </si>
  <si>
    <t xml:space="preserve">  (enter your current values, or $0 if none)</t>
  </si>
  <si>
    <t>(Note: It is probably reasonable to assume expenses increase by CPI, but it could be more or less.)</t>
  </si>
  <si>
    <t xml:space="preserve">   </t>
  </si>
  <si>
    <r>
      <t xml:space="preserve">Related </t>
    </r>
    <r>
      <rPr>
        <b/>
        <u/>
        <sz val="11"/>
        <color indexed="8"/>
        <rFont val="Calibri"/>
        <family val="2"/>
      </rPr>
      <t>worksheet</t>
    </r>
  </si>
  <si>
    <t>stream flow.</t>
  </si>
  <si>
    <t xml:space="preserve">The Savings at year y+1 are based on the previous year's (y) Savings + returns on the savings - withdrawals from </t>
  </si>
  <si>
    <t>Appendix A</t>
  </si>
  <si>
    <t>Appendix B</t>
  </si>
  <si>
    <t>Appendix C</t>
  </si>
  <si>
    <t>Glossary of terms</t>
  </si>
  <si>
    <t>Figures</t>
  </si>
  <si>
    <t>Screen shots &amp; descriptions</t>
  </si>
  <si>
    <t>Appendix D</t>
  </si>
  <si>
    <t>A.4 The results are consolidated and summarized in the Results worksheet</t>
  </si>
  <si>
    <r>
      <t>BLUE</t>
    </r>
    <r>
      <rPr>
        <b/>
        <sz val="12"/>
        <color indexed="8"/>
        <rFont val="Calibri"/>
        <family val="2"/>
      </rPr>
      <t xml:space="preserve"> cells are major results or intermediate results (do not edit).</t>
    </r>
  </si>
  <si>
    <r>
      <t>BLACK</t>
    </r>
    <r>
      <rPr>
        <b/>
        <sz val="12"/>
        <color indexed="8"/>
        <rFont val="Calibri"/>
        <family val="2"/>
      </rPr>
      <t xml:space="preserve"> cells are intermediate computations (do not edit).</t>
    </r>
  </si>
  <si>
    <r>
      <t>GRAY</t>
    </r>
    <r>
      <rPr>
        <b/>
        <sz val="12"/>
        <color indexed="8"/>
        <rFont val="Calibri"/>
        <family val="2"/>
      </rPr>
      <t xml:space="preserve"> areas of the other worksheets indicate where the analysis</t>
    </r>
  </si>
  <si>
    <t>Data Input Worksheet names</t>
  </si>
  <si>
    <t>A.3 The cash flow table simulates a Cash account by adding Income and withdrawals</t>
  </si>
  <si>
    <t xml:space="preserve">        and subtracting expenses and taxes</t>
  </si>
  <si>
    <t>The investment accounts are also a source of money through taking withdrawals (as well as allowing contributions).</t>
  </si>
  <si>
    <r>
      <t xml:space="preserve">You don't edit the </t>
    </r>
    <r>
      <rPr>
        <b/>
        <sz val="11"/>
        <color indexed="8"/>
        <rFont val="Calibri"/>
        <family val="2"/>
      </rPr>
      <t>CashData</t>
    </r>
    <r>
      <rPr>
        <sz val="11"/>
        <color indexed="8"/>
        <rFont val="Calibri"/>
        <family val="2"/>
      </rPr>
      <t xml:space="preserve"> worksheet.</t>
    </r>
  </si>
  <si>
    <t>Documentation in additional worksheets</t>
  </si>
  <si>
    <t>To go to a specific worksheet, click on one of the following:</t>
  </si>
  <si>
    <t>This lists outstanding issues, functionality under development, known bugs, etc. that may be addressed in the future.</t>
  </si>
  <si>
    <t>is an income stream that is purchased in various ways (pensions, bought from insurance company)</t>
  </si>
  <si>
    <t>type of annuity, it may return nothing to the annuitant's heirs. Some annuities will include</t>
  </si>
  <si>
    <t>determine the long-term investment returns of a portfolio of stocks, bonds, etc.</t>
  </si>
  <si>
    <t>return is due to its asset allocation. Therefore part of this spreadsheet analysis lets you (very</t>
  </si>
  <si>
    <t>http://office.microsoft.com/en-us/excel-help/adding-your-own-toolbars-HA001054816.aspx</t>
  </si>
  <si>
    <t xml:space="preserve"> (set to 0.0% if not increased each year)</t>
  </si>
  <si>
    <t xml:space="preserve"> (withdraw funds as % of account value)</t>
  </si>
  <si>
    <t>TotaL PV S1+S2 LT Cap Gains from Savings+ extra FV</t>
  </si>
  <si>
    <t>2. Tax rate data and computations of taxes from taxable income</t>
  </si>
  <si>
    <t>7. Tax-deferred retirement accounts: IRA and 401(k), 403(b), etc. type data</t>
  </si>
  <si>
    <t>Adding the BACK and FORWARD command buttons to your copy of Excel 2000</t>
  </si>
  <si>
    <t>Adding the BACK and FORWARD command buttons to your copy of Excel 2007 and 2010</t>
  </si>
  <si>
    <t>List of Excel functions by category</t>
  </si>
  <si>
    <r>
      <t xml:space="preserve">At the </t>
    </r>
    <r>
      <rPr>
        <u/>
        <sz val="11"/>
        <color indexed="8"/>
        <rFont val="Calibri"/>
        <family val="2"/>
      </rPr>
      <t>bottom</t>
    </r>
    <r>
      <rPr>
        <sz val="11"/>
        <color indexed="8"/>
        <rFont val="Calibri"/>
        <family val="2"/>
      </rPr>
      <t xml:space="preserve"> of each worksheet is a navigation list of all  the worksheets. Click on any one of them to go to that worksheet.</t>
    </r>
  </si>
  <si>
    <r>
      <t xml:space="preserve">Estimated </t>
    </r>
    <r>
      <rPr>
        <b/>
        <u/>
        <sz val="11"/>
        <color indexed="8"/>
        <rFont val="Calibri"/>
        <family val="2"/>
      </rPr>
      <t>State</t>
    </r>
    <r>
      <rPr>
        <b/>
        <sz val="11"/>
        <color indexed="8"/>
        <rFont val="Calibri"/>
        <family val="2"/>
      </rPr>
      <t xml:space="preserve"> tax rate (from last tax return or estimate in future)=</t>
    </r>
  </si>
  <si>
    <r>
      <t xml:space="preserve">Non-qualified Short Term Capital Gains (STCG) rate  for AGI UNDER $425K/$450K  = </t>
    </r>
    <r>
      <rPr>
        <b/>
        <u/>
        <sz val="11"/>
        <color indexed="8"/>
        <rFont val="Calibri"/>
        <family val="2"/>
      </rPr>
      <t>marginal tax rate computed</t>
    </r>
    <r>
      <rPr>
        <b/>
        <sz val="11"/>
        <color indexed="8"/>
        <rFont val="Calibri"/>
        <family val="2"/>
      </rPr>
      <t>.</t>
    </r>
  </si>
  <si>
    <t>Short Term Capital Gains (STCG) rate  for AGI UNDER $425K/$450K  =</t>
  </si>
  <si>
    <t>Short Term Capital Gains (STCG) rate for AGI OVER $425K/$450 Brkt = marginal tax rate computed.</t>
  </si>
  <si>
    <t/>
  </si>
  <si>
    <t xml:space="preserve">Medicare sur-tax for AGI OVER $200K/250K but UNDER $425K/$450K= </t>
  </si>
  <si>
    <t xml:space="preserve">Medicare sur-tax for AGI OVER $425K/$450K= </t>
  </si>
  <si>
    <t>Revised:</t>
  </si>
  <si>
    <t xml:space="preserve">        </t>
  </si>
  <si>
    <t xml:space="preserve">  (enter cur. values, or $0 if none)</t>
  </si>
  <si>
    <t>Inv.Acct</t>
  </si>
  <si>
    <t xml:space="preserve"> Estimated Soc Security payout</t>
  </si>
  <si>
    <r>
      <t xml:space="preserve">  </t>
    </r>
    <r>
      <rPr>
        <sz val="10"/>
        <color indexed="8"/>
        <rFont val="Calibri"/>
        <family val="2"/>
      </rPr>
      <t xml:space="preserve">(for people born after 1943, </t>
    </r>
    <r>
      <rPr>
        <b/>
        <sz val="10"/>
        <color indexed="8"/>
        <rFont val="Calibri"/>
        <family val="2"/>
      </rPr>
      <t>8.00%</t>
    </r>
    <r>
      <rPr>
        <sz val="10"/>
        <color indexed="8"/>
        <rFont val="Calibri"/>
        <family val="2"/>
      </rPr>
      <t xml:space="preserve"> default])</t>
    </r>
  </si>
  <si>
    <t xml:space="preserve">  Current year= </t>
  </si>
  <si>
    <t>Spouse S1 deceased age=</t>
  </si>
  <si>
    <t>Spouse S2 deceased age=</t>
  </si>
  <si>
    <t xml:space="preserve">  (0% if none)</t>
  </si>
  <si>
    <t>S2 survivor pension income after S1 deceased</t>
  </si>
  <si>
    <t>S1 survivor pension income after S2 deceased</t>
  </si>
  <si>
    <t>S1 Sole Pension income (calc)</t>
  </si>
  <si>
    <t>S2 Sole Pension income (calc)</t>
  </si>
  <si>
    <t>When Spouse dies, then Keep or Remove their assets?=</t>
  </si>
  <si>
    <t>http://www.forbes.com/sites/kellyphillipserb/2014/10/30/irs-announces-2015-tax-brackets-standard-deduction-amounts-and-more/</t>
  </si>
  <si>
    <t>2.2. Enter Federal Income Tax Filing Status for 2015</t>
  </si>
  <si>
    <t>Years until run out **=</t>
  </si>
  <si>
    <t>**</t>
  </si>
  <si>
    <t>Totals</t>
  </si>
  <si>
    <t>V.0.17.3</t>
  </si>
  <si>
    <r>
      <t xml:space="preserve">1.3 Estimates of average </t>
    </r>
    <r>
      <rPr>
        <b/>
        <u/>
        <sz val="14"/>
        <color indexed="8"/>
        <rFont val="Calibri"/>
        <family val="2"/>
      </rPr>
      <t>nominal</t>
    </r>
    <r>
      <rPr>
        <b/>
        <sz val="14"/>
        <color indexed="8"/>
        <rFont val="Calibri"/>
        <family val="2"/>
      </rPr>
      <t xml:space="preserve"> future total Stock and Bond market returns</t>
    </r>
  </si>
  <si>
    <r>
      <t xml:space="preserve">HH </t>
    </r>
    <r>
      <rPr>
        <sz val="11"/>
        <color indexed="8"/>
        <rFont val="Calibri"/>
        <family val="2"/>
      </rPr>
      <t>- Head of Household</t>
    </r>
  </si>
  <si>
    <t xml:space="preserve">  (default is current age from AgeData)</t>
  </si>
  <si>
    <t xml:space="preserve"> (yearly annuity income)</t>
  </si>
  <si>
    <t>Age S1 starts contributing to the Savings account=</t>
  </si>
  <si>
    <t>Age S2 starts contributing to the Savings account=</t>
  </si>
  <si>
    <t>Age S1 ends contributing to the Savings account=</t>
  </si>
  <si>
    <t>Age S2 ends contributing to the Savings account=</t>
  </si>
  <si>
    <t>Note: the following two calculators are not tied into the spreadsheet. For manual use.</t>
  </si>
  <si>
    <t>12. IRS table of Required Minimum Distributions (RMD) as function of age (for 2015)</t>
  </si>
  <si>
    <t>Year Soc Sec Trust Fund runs out **</t>
  </si>
  <si>
    <t>% Soc Sec payout **</t>
  </si>
  <si>
    <t>This  computes the tax for either MFJ or SF.</t>
  </si>
  <si>
    <t>Standard Deduction</t>
  </si>
  <si>
    <t>Standard Decuction</t>
  </si>
  <si>
    <r>
      <t xml:space="preserve"> MFJ - </t>
    </r>
    <r>
      <rPr>
        <b/>
        <u/>
        <sz val="11"/>
        <color indexed="8"/>
        <rFont val="Calibri"/>
        <family val="2"/>
      </rPr>
      <t>Married Filing Jointly</t>
    </r>
    <r>
      <rPr>
        <b/>
        <sz val="11"/>
        <color indexed="8"/>
        <rFont val="Calibri"/>
        <family val="2"/>
      </rPr>
      <t xml:space="preserve"> Status</t>
    </r>
  </si>
  <si>
    <r>
      <t xml:space="preserve"> MFS - </t>
    </r>
    <r>
      <rPr>
        <b/>
        <u/>
        <sz val="10"/>
        <color indexed="8"/>
        <rFont val="Calibri"/>
        <family val="2"/>
      </rPr>
      <t>Married Filing Separately</t>
    </r>
    <r>
      <rPr>
        <b/>
        <sz val="10"/>
        <color indexed="8"/>
        <rFont val="Calibri"/>
        <family val="2"/>
      </rPr>
      <t xml:space="preserve"> Status</t>
    </r>
  </si>
  <si>
    <t xml:space="preserve">Min. Tax </t>
  </si>
  <si>
    <t>10% over M.I</t>
  </si>
  <si>
    <t>Min Income (M.I.)</t>
  </si>
  <si>
    <t>15% over M.I</t>
  </si>
  <si>
    <t>25% over M.I</t>
  </si>
  <si>
    <t>28% over M.I</t>
  </si>
  <si>
    <t>33% over M.I</t>
  </si>
  <si>
    <t>35% over M.I</t>
  </si>
  <si>
    <t>39.6% over M.I</t>
  </si>
  <si>
    <t>Min. Income in bracket</t>
  </si>
  <si>
    <t>V.0.17.5</t>
  </si>
  <si>
    <r>
      <rPr>
        <i/>
        <sz val="11"/>
        <color indexed="8"/>
        <rFont val="Calibri"/>
        <family val="2"/>
      </rPr>
      <t>Note t</t>
    </r>
    <r>
      <rPr>
        <i/>
        <sz val="12"/>
        <color indexed="8"/>
        <rFont val="Calibri"/>
        <family val="2"/>
      </rPr>
      <t>hat there is a problem if there are any error messages here. It will show the worksheet with the problem.</t>
    </r>
  </si>
  <si>
    <t>10.1.2 How the expenses change over time.</t>
  </si>
  <si>
    <t xml:space="preserve">Note: Currently only the above (10.1) expenses are deducted. </t>
  </si>
  <si>
    <t>Total Deductions S1+S2</t>
  </si>
  <si>
    <r>
      <t xml:space="preserve">Adjusted PV Total S1+S2 </t>
    </r>
    <r>
      <rPr>
        <b/>
        <u/>
        <sz val="10"/>
        <color indexed="8"/>
        <rFont val="Calibri"/>
        <family val="2"/>
      </rPr>
      <t>Taxable</t>
    </r>
    <r>
      <rPr>
        <b/>
        <sz val="10"/>
        <color indexed="8"/>
        <rFont val="Calibri"/>
        <family val="2"/>
      </rPr>
      <t xml:space="preserve"> Income  - Total Deductions</t>
    </r>
  </si>
  <si>
    <t>The adjusted taxable income  is the total taxable income - deductions.</t>
  </si>
  <si>
    <t>The total deductions are deducted first. The LTCG taxes are added after the marginal tax computation.</t>
  </si>
  <si>
    <t>The yearly standard deduction =</t>
  </si>
  <si>
    <t>The yearly scheduled S1 deduction =</t>
  </si>
  <si>
    <t>The yearly scheduled S2 deduction =</t>
  </si>
  <si>
    <t xml:space="preserve"> (From ExpenseData 10.1)</t>
  </si>
  <si>
    <t xml:space="preserve"> (from Table 2.1 above)</t>
  </si>
  <si>
    <t>LTCG tax rate</t>
  </si>
  <si>
    <t>The LTCG tax rate depends on the adjusted total taxable income in Table 2.3.1</t>
  </si>
  <si>
    <t>SF</t>
  </si>
  <si>
    <t>threshold</t>
  </si>
  <si>
    <t xml:space="preserve"> Range</t>
  </si>
  <si>
    <t>MarginalTax in 10% range</t>
  </si>
  <si>
    <t>Marginal Tax in 15% range</t>
  </si>
  <si>
    <t>Marginal Tax in 25% range</t>
  </si>
  <si>
    <t>Marginal Tax in 28% range</t>
  </si>
  <si>
    <t>Marginal Tax in 33% range</t>
  </si>
  <si>
    <t>Marginal Tax in 35% range</t>
  </si>
  <si>
    <t>Marginal Tax in 39.5% range</t>
  </si>
  <si>
    <t>Add State tax (if any) when computing taxes?=</t>
  </si>
  <si>
    <t>The "PV Total Estimated (Fed+State) tax (includes LTCG) + Fed surtaxes" is the final taxes.</t>
  </si>
  <si>
    <t>State Tax Rate=</t>
  </si>
  <si>
    <t>If enabled for State taxes (in Setup), the total amount includes the State taxes computed on the adjusted fross income - deductions.</t>
  </si>
  <si>
    <t xml:space="preserve">   (if Soc.Sec. Trust Fund runs out of money.)</t>
  </si>
  <si>
    <t>V.0.17.6</t>
  </si>
  <si>
    <t>See worksheets:</t>
  </si>
  <si>
    <t>V.0.18.1</t>
  </si>
  <si>
    <t>Worksheet section</t>
  </si>
  <si>
    <t>Worksheet Name</t>
  </si>
  <si>
    <t>Value of Variable</t>
  </si>
  <si>
    <r>
      <t xml:space="preserve">Estimated future </t>
    </r>
    <r>
      <rPr>
        <b/>
        <u/>
        <sz val="11"/>
        <color indexed="8"/>
        <rFont val="Calibri"/>
        <family val="2"/>
      </rPr>
      <t>Stock</t>
    </r>
    <r>
      <rPr>
        <b/>
        <sz val="11"/>
        <color indexed="8"/>
        <rFont val="Calibri"/>
        <family val="2"/>
      </rPr>
      <t xml:space="preserve"> nominal Rate Of Return ROR (Rs)=</t>
    </r>
  </si>
  <si>
    <r>
      <t xml:space="preserve">Estimated future </t>
    </r>
    <r>
      <rPr>
        <b/>
        <u/>
        <sz val="11"/>
        <color indexed="8"/>
        <rFont val="Calibri"/>
        <family val="2"/>
      </rPr>
      <t>Bond (fixed-income</t>
    </r>
    <r>
      <rPr>
        <b/>
        <sz val="11"/>
        <color indexed="8"/>
        <rFont val="Calibri"/>
        <family val="2"/>
      </rPr>
      <t>) nominal Rate Of Return ROR (Rb)=</t>
    </r>
  </si>
  <si>
    <t>S.1</t>
  </si>
  <si>
    <t>Not Edited</t>
  </si>
  <si>
    <t>S.2</t>
  </si>
  <si>
    <t>S.3</t>
  </si>
  <si>
    <t>Standard Deduction =</t>
  </si>
  <si>
    <t>Estimated State tax rate (from last tax return or estimate in future)=</t>
  </si>
  <si>
    <t>Age S1 becomes deceased =</t>
  </si>
  <si>
    <t>Age S2 becomes deceased =</t>
  </si>
  <si>
    <t>Age S1 becomes deceased=</t>
  </si>
  <si>
    <t>Age S2 becomes deceased=</t>
  </si>
  <si>
    <t>used in the future, they will be added here.</t>
  </si>
  <si>
    <t>4.1.1</t>
  </si>
  <si>
    <t>4.1.3</t>
  </si>
  <si>
    <t>4.1.4</t>
  </si>
  <si>
    <t>S1 Soc.Sec monthly benefit at age 62 (if not already taking)=</t>
  </si>
  <si>
    <t>S2 Soc.Sec monthly benefit at age 62 (if not already taking)=</t>
  </si>
  <si>
    <t>4.1.3.1</t>
  </si>
  <si>
    <t>8. Roth IRA and Roth 401(k) tax-free retirement accounts</t>
  </si>
  <si>
    <r>
      <t xml:space="preserve">   (from </t>
    </r>
    <r>
      <rPr>
        <b/>
        <sz val="10"/>
        <color indexed="8"/>
        <rFont val="Calibri"/>
        <family val="2"/>
      </rPr>
      <t>ExpenseData</t>
    </r>
    <r>
      <rPr>
        <sz val="10"/>
        <color indexed="8"/>
        <rFont val="Calibri"/>
        <family val="2"/>
      </rPr>
      <t xml:space="preserve"> 10.1.1)</t>
    </r>
  </si>
  <si>
    <t xml:space="preserve">         10.1.2 How the expenses change over time.</t>
  </si>
  <si>
    <t>reasonable for most people and probably don't need to be changed. The current COLA (Cost Of Living Adjustment)</t>
  </si>
  <si>
    <t xml:space="preserve">Filing Status Tax-Table to Use (MFJ, SF, or MFS)= </t>
  </si>
  <si>
    <t>Survivor Benefit for S1 from S2 pension=</t>
  </si>
  <si>
    <t>Survivor Benefit for S2 from S1 pension=</t>
  </si>
  <si>
    <t xml:space="preserve"> (Note: default market stock/bond returns are set in </t>
  </si>
  <si>
    <t>Assumptions</t>
  </si>
  <si>
    <r>
      <t xml:space="preserve">Summary list of all settings in </t>
    </r>
    <r>
      <rPr>
        <b/>
        <sz val="11"/>
        <color indexed="8"/>
        <rFont val="Calibri"/>
        <family val="2"/>
      </rPr>
      <t>Setup,</t>
    </r>
    <r>
      <rPr>
        <sz val="11"/>
        <color indexed="8"/>
        <rFont val="Calibri"/>
        <family val="2"/>
      </rPr>
      <t xml:space="preserve"> and </t>
    </r>
    <r>
      <rPr>
        <b/>
        <sz val="11"/>
        <color indexed="8"/>
        <rFont val="Calibri"/>
        <family val="2"/>
      </rPr>
      <t>AgeData</t>
    </r>
    <r>
      <rPr>
        <sz val="11"/>
        <color indexed="8"/>
        <rFont val="Calibri"/>
        <family val="2"/>
      </rPr>
      <t xml:space="preserve"> through </t>
    </r>
    <r>
      <rPr>
        <b/>
        <sz val="11"/>
        <color indexed="8"/>
        <rFont val="Calibri"/>
        <family val="2"/>
      </rPr>
      <t>ExpenseData</t>
    </r>
    <r>
      <rPr>
        <sz val="11"/>
        <color indexed="8"/>
        <rFont val="Calibri"/>
        <family val="2"/>
      </rPr>
      <t xml:space="preserve"> worksheets</t>
    </r>
  </si>
  <si>
    <t xml:space="preserve">      Assumptions worksheet</t>
  </si>
  <si>
    <t>Appendix C. Glossary - definitions of some of the terms used in this analysis</t>
  </si>
  <si>
    <t>Glossary - definitions of terms used in the spreadsheet</t>
  </si>
  <si>
    <t xml:space="preserve">     S1 total taxable Investor Savings value=</t>
  </si>
  <si>
    <t xml:space="preserve">     S1 total taxable Other Savings value=</t>
  </si>
  <si>
    <t xml:space="preserve">     S2 total taxable Investor Savings value=</t>
  </si>
  <si>
    <t xml:space="preserve">     S2 total taxable Other Savings value=</t>
  </si>
  <si>
    <t>Estimated S1 taxable Savings Rate Of Return (ROR)=</t>
  </si>
  <si>
    <t>Estimated S2 taxable Savings Rate Of Return (ROR)=</t>
  </si>
  <si>
    <t>9.1.1</t>
  </si>
  <si>
    <r>
      <t xml:space="preserve">Percent of S1 yearly distributions taxed at </t>
    </r>
    <r>
      <rPr>
        <b/>
        <u/>
        <sz val="11"/>
        <color indexed="8"/>
        <rFont val="Calibri"/>
        <family val="2"/>
      </rPr>
      <t>long</t>
    </r>
    <r>
      <rPr>
        <b/>
        <sz val="11"/>
        <color indexed="8"/>
        <rFont val="Calibri"/>
        <family val="2"/>
      </rPr>
      <t xml:space="preserve"> term capital gains rate=</t>
    </r>
  </si>
  <si>
    <r>
      <t xml:space="preserve">Percent of S2 yearly distributions taxed at </t>
    </r>
    <r>
      <rPr>
        <b/>
        <u/>
        <sz val="11"/>
        <color indexed="8"/>
        <rFont val="Calibri"/>
        <family val="2"/>
      </rPr>
      <t>long</t>
    </r>
    <r>
      <rPr>
        <b/>
        <sz val="11"/>
        <color indexed="8"/>
        <rFont val="Calibri"/>
        <family val="2"/>
      </rPr>
      <t xml:space="preserve"> term capital gains rate=</t>
    </r>
  </si>
  <si>
    <r>
      <t xml:space="preserve">Percent of S1 yearly distributions taxed at </t>
    </r>
    <r>
      <rPr>
        <b/>
        <u/>
        <sz val="11"/>
        <color indexed="8"/>
        <rFont val="Calibri"/>
        <family val="2"/>
      </rPr>
      <t>short</t>
    </r>
    <r>
      <rPr>
        <b/>
        <sz val="11"/>
        <color indexed="8"/>
        <rFont val="Calibri"/>
        <family val="2"/>
      </rPr>
      <t xml:space="preserve"> term capital gains rate=</t>
    </r>
  </si>
  <si>
    <t>9.3.1</t>
  </si>
  <si>
    <t>9.3.2</t>
  </si>
  <si>
    <t>Assumptions.  This is a Summary of user settings in other worksheets.</t>
  </si>
  <si>
    <t xml:space="preserve">   2.2 Enter Federal Income Tax Filing Status for 2015 (has current tax rules)</t>
  </si>
  <si>
    <t>R.4 Values of Tax-deferred IRA and Roth IRA Contributions and Withdrawals</t>
  </si>
  <si>
    <t xml:space="preserve">Go to </t>
  </si>
  <si>
    <t>D.1 Things TODO and CHECK</t>
  </si>
  <si>
    <t>Appendix D. Things TODO and CHECK, and REVISION-LIST</t>
  </si>
  <si>
    <t>Updated Tax-tables for 2015</t>
  </si>
  <si>
    <t xml:space="preserve">Added </t>
  </si>
  <si>
    <t>Cleanup.</t>
  </si>
  <si>
    <t xml:space="preserve">See </t>
  </si>
  <si>
    <t>V.0.18.2</t>
  </si>
  <si>
    <t>http://www.irs.gov/publications/p575/ar02.html</t>
  </si>
  <si>
    <r>
      <t xml:space="preserve">Claiming Soc.Sec. papers by Robert Merton and Sita Slavov </t>
    </r>
    <r>
      <rPr>
        <i/>
        <sz val="11"/>
        <color indexed="8"/>
        <rFont val="Calibri"/>
        <family val="2"/>
      </rPr>
      <t>et.al.</t>
    </r>
    <r>
      <rPr>
        <sz val="11"/>
        <color theme="1"/>
        <rFont val="Calibri"/>
        <family val="2"/>
        <scheme val="minor"/>
      </rPr>
      <t xml:space="preserve">, 2012 </t>
    </r>
    <r>
      <rPr>
        <u/>
        <sz val="11"/>
        <color indexed="8"/>
        <rFont val="Calibri"/>
        <family val="2"/>
      </rPr>
      <t>Retirement Research Consortium Conference</t>
    </r>
    <r>
      <rPr>
        <sz val="11"/>
        <color theme="1"/>
        <rFont val="Calibri"/>
        <family val="2"/>
        <scheme val="minor"/>
      </rPr>
      <t xml:space="preserve"> </t>
    </r>
  </si>
  <si>
    <t>http://www.bogleheads.org/wiki/Simba's_backtesting_spreadsheet</t>
  </si>
  <si>
    <t>http://www.bogleheads.org/wiki/Safe_withdrawal_rates</t>
  </si>
  <si>
    <t>Bogleheads Wiki on Safe Withdrawal Rates</t>
  </si>
  <si>
    <t>http://retirementresearcher.com/guyton-and-kitces-with-continued-discussions-on-safe-withdrawal-rates-and-spending-decision-rules/</t>
  </si>
  <si>
    <t>Wade Pfau's The Retirement Income Dashboard (articles about SWR and financing retirement)</t>
  </si>
  <si>
    <t>http://retirementresearcher.com/dashboard/</t>
  </si>
  <si>
    <t>http://www.aaii.com/journal/article/retirement-savings-choosing-a-withdrawal-rate-that-is-sustainable</t>
  </si>
  <si>
    <t>Original AAII Trinity Study (1998),  Retirement Savings: Choosing a Withdrawal Rate That Is Sustainable By Philip L. Cooley,</t>
  </si>
  <si>
    <t xml:space="preserve">      Carl M. Hubbard and Daniel T. Walz. This and the earlier Bengen (1994 JFP) papers are where the commonly</t>
  </si>
  <si>
    <t xml:space="preserve">      accepted 4% SWR came from.</t>
  </si>
  <si>
    <t>http://www.forbes.com/sites/wadepfau/2015/06/10/safe-withdrawal-rates-for-retirement-and-the-trinity-study/</t>
  </si>
  <si>
    <t xml:space="preserve">Forbes, Safe Withdrawal Rates for Retirement &amp; the Trinity Study by Wade Pfau, </t>
  </si>
  <si>
    <t>http://www.aaii.com/journal/article/reduce-stock-exposure-in-retirement-or-gradually-increase-it.touch</t>
  </si>
  <si>
    <t>AAII, Reduce Stock Exposure in Retirement, or Gradually Increase It? By Michal Kitces &amp; Wade Pfau, April 2014</t>
  </si>
  <si>
    <t>https://www.onefpa.org/journal/Pages/The%204%20Percent%20Rule%20Is%20Not%20Safe%20in%20a%20Low-Yield%20World.aspx</t>
  </si>
  <si>
    <t>http://www.amazon.com/Rational-Expectations-Allocation-Investing-Adults/dp/0988780321/ref=la_B001H6ID14_1_5/188-7872909-</t>
  </si>
  <si>
    <r>
      <t xml:space="preserve">the values in the </t>
    </r>
    <r>
      <rPr>
        <b/>
        <sz val="11"/>
        <color theme="1"/>
        <rFont val="Calibri"/>
        <family val="2"/>
        <scheme val="minor"/>
      </rPr>
      <t>Assumptions</t>
    </r>
    <r>
      <rPr>
        <sz val="11"/>
        <color theme="1"/>
        <rFont val="Calibri"/>
        <family val="2"/>
        <scheme val="minor"/>
      </rPr>
      <t xml:space="preserve"> worksheet but rather in the other worksheets.</t>
    </r>
  </si>
  <si>
    <r>
      <t xml:space="preserve">As you edit data in the other worksheets, it will also be visible in the </t>
    </r>
    <r>
      <rPr>
        <b/>
        <sz val="11"/>
        <color theme="1"/>
        <rFont val="Calibri"/>
        <family val="2"/>
        <scheme val="minor"/>
      </rPr>
      <t>Assumptions</t>
    </r>
    <r>
      <rPr>
        <sz val="11"/>
        <color theme="1"/>
        <rFont val="Calibri"/>
        <family val="2"/>
        <scheme val="minor"/>
      </rPr>
      <t xml:space="preserve"> worksheet. You do not change</t>
    </r>
  </si>
  <si>
    <t>worksheet.</t>
  </si>
  <si>
    <t>Only edit this worksheet if the IRS changes their RMD values.</t>
  </si>
  <si>
    <r>
      <t xml:space="preserve">This summarizes the data currently entered in worksheets </t>
    </r>
    <r>
      <rPr>
        <b/>
        <sz val="11"/>
        <color indexed="8"/>
        <rFont val="Calibri"/>
        <family val="2"/>
      </rPr>
      <t>Setup</t>
    </r>
    <r>
      <rPr>
        <sz val="11"/>
        <color indexed="8"/>
        <rFont val="Calibri"/>
        <family val="2"/>
      </rPr>
      <t xml:space="preserve"> through </t>
    </r>
    <r>
      <rPr>
        <b/>
        <sz val="11"/>
        <color indexed="8"/>
        <rFont val="Calibri"/>
        <family val="2"/>
      </rPr>
      <t>ExpensesData.</t>
    </r>
  </si>
  <si>
    <r>
      <t>There is a summary of the data entered in A.1 (</t>
    </r>
    <r>
      <rPr>
        <b/>
        <sz val="11"/>
        <color indexed="8"/>
        <rFont val="Calibri"/>
        <family val="2"/>
      </rPr>
      <t>Setup</t>
    </r>
    <r>
      <rPr>
        <sz val="11"/>
        <color indexed="8"/>
        <rFont val="Calibri"/>
        <family val="2"/>
      </rPr>
      <t xml:space="preserve"> through </t>
    </r>
    <r>
      <rPr>
        <b/>
        <sz val="11"/>
        <color indexed="8"/>
        <rFont val="Calibri"/>
        <family val="2"/>
      </rPr>
      <t>ExpensesData)</t>
    </r>
    <r>
      <rPr>
        <sz val="11"/>
        <color indexed="8"/>
        <rFont val="Calibri"/>
        <family val="2"/>
      </rPr>
      <t xml:space="preserve"> above in the </t>
    </r>
    <r>
      <rPr>
        <b/>
        <sz val="11"/>
        <color indexed="8"/>
        <rFont val="Calibri"/>
        <family val="2"/>
      </rPr>
      <t>Assumptions</t>
    </r>
    <r>
      <rPr>
        <sz val="11"/>
        <color indexed="8"/>
        <rFont val="Calibri"/>
        <family val="2"/>
      </rPr>
      <t xml:space="preserve"> worksheet.</t>
    </r>
  </si>
  <si>
    <t>2) toggle using irregular contributions or withdrawals for IRA, Roth and Savings data,</t>
  </si>
  <si>
    <t>1)  adding irregular contributions and withdrawals for the tax-deferred IRA, Roth IRA ,and Savings,</t>
  </si>
  <si>
    <t>3) toggle using irregular expenses</t>
  </si>
  <si>
    <t>12. IRS table of Required Minimum Distributions (RMD) as function of age (Uniform default table)</t>
  </si>
  <si>
    <t>Results Worksheet names</t>
  </si>
  <si>
    <t>Cash balance Worksheet name</t>
  </si>
  <si>
    <t xml:space="preserve"> It will have a gray background like this line.</t>
  </si>
  <si>
    <r>
      <t xml:space="preserve">is the </t>
    </r>
    <r>
      <rPr>
        <b/>
        <i/>
        <sz val="11"/>
        <color indexed="8"/>
        <rFont val="Calibri"/>
        <family val="2"/>
      </rPr>
      <t>R</t>
    </r>
    <r>
      <rPr>
        <i/>
        <sz val="11"/>
        <color theme="1"/>
        <rFont val="Calibri"/>
        <family val="2"/>
        <scheme val="minor"/>
      </rPr>
      <t xml:space="preserve">ate </t>
    </r>
    <r>
      <rPr>
        <b/>
        <i/>
        <sz val="11"/>
        <color indexed="8"/>
        <rFont val="Calibri"/>
        <family val="2"/>
      </rPr>
      <t>O</t>
    </r>
    <r>
      <rPr>
        <i/>
        <sz val="11"/>
        <color theme="1"/>
        <rFont val="Calibri"/>
        <family val="2"/>
        <scheme val="minor"/>
      </rPr>
      <t xml:space="preserve">f </t>
    </r>
    <r>
      <rPr>
        <b/>
        <i/>
        <sz val="11"/>
        <color indexed="8"/>
        <rFont val="Calibri"/>
        <family val="2"/>
      </rPr>
      <t>R</t>
    </r>
    <r>
      <rPr>
        <i/>
        <sz val="11"/>
        <color theme="1"/>
        <rFont val="Calibri"/>
        <family val="2"/>
        <scheme val="minor"/>
      </rPr>
      <t>eturn, generally used in this spreadsheet to define the yearly return from an investment.</t>
    </r>
  </si>
  <si>
    <t>Color coded the worksheet tabs according to their role in the overall spreadsheet.</t>
  </si>
  <si>
    <t>Cleaned up some of the older documentation and added updated web links.</t>
  </si>
  <si>
    <r>
      <t xml:space="preserve">Inserted a new </t>
    </r>
    <r>
      <rPr>
        <b/>
        <sz val="11"/>
        <color indexed="8"/>
        <rFont val="Calibri"/>
        <family val="2"/>
      </rPr>
      <t>Introduction</t>
    </r>
    <r>
      <rPr>
        <sz val="11"/>
        <color indexed="8"/>
        <rFont val="Calibri"/>
        <family val="2"/>
      </rPr>
      <t xml:space="preserve"> section "7.7 Safe Withdrawal Rates (SWR) during retirement resources".</t>
    </r>
  </si>
  <si>
    <t xml:space="preserve">     Currently have a fixed percentage of AGI that does no take State marginal tax rates into account.</t>
  </si>
  <si>
    <t>Total  yearly scheduled (S1+S2) deduction =</t>
  </si>
  <si>
    <r>
      <t xml:space="preserve"> (else set to 0% to use </t>
    </r>
    <r>
      <rPr>
        <b/>
        <sz val="10"/>
        <color indexed="8"/>
        <rFont val="Calibri"/>
        <family val="2"/>
      </rPr>
      <t>AgeData</t>
    </r>
    <r>
      <rPr>
        <sz val="10"/>
        <color indexed="8"/>
        <rFont val="Calibri"/>
        <family val="2"/>
      </rPr>
      <t xml:space="preserve"> worksheet CPI)</t>
    </r>
  </si>
  <si>
    <t>https://support.office.com/en-US/article/Excel-functions-by-category-5f91f4e9-7b42-46d2-9bd1-63f26a86c0eb#__toc309306711</t>
  </si>
  <si>
    <t>Excel Future Value FV functions</t>
  </si>
  <si>
    <t>Excel Present Value PV functions</t>
  </si>
  <si>
    <t>https://support.office.com/en-us/article/FV-function-2eef9f44-a084-4c61-bdd8-4fe4bb1b71b3</t>
  </si>
  <si>
    <t>https://support.office.com/en-us/article/PV-function-23879d31-0e02-4321-be01-da16e8168cbd</t>
  </si>
  <si>
    <t>http://www.mangustarisk.com/doc/pdf/Does_Asset_Allocation_Explain_40_90_100_Performance.pdf</t>
  </si>
  <si>
    <t>http://www.cfapubs.org/doi/pdf/10.2469/faj.v51.n1.1869</t>
  </si>
  <si>
    <t>http://www.amazon.com/Pensionize-Your-Nest-Egg-Allocation/dp/0470680997/</t>
  </si>
  <si>
    <t>http://www.amazon.com/Four-Pillars-Investing-Building-Portfolio/dp/0071385290/</t>
  </si>
  <si>
    <r>
      <rPr>
        <u/>
        <sz val="11"/>
        <color theme="1"/>
        <rFont val="Calibri"/>
        <family val="2"/>
        <scheme val="minor"/>
      </rPr>
      <t>The Four Pillars of Investing: Lessons for Building a Winning Portfolio</t>
    </r>
    <r>
      <rPr>
        <sz val="11"/>
        <color theme="1"/>
        <rFont val="Calibri"/>
        <family val="2"/>
        <scheme val="minor"/>
      </rPr>
      <t>, by W.J. Bernstein (2002)</t>
    </r>
  </si>
  <si>
    <t>http://www.amazon.com/Random-Walk-Down-Wall-Street/dp/0393246116/ref=sr_1_1</t>
  </si>
  <si>
    <t>http://www.nirsonline.org/</t>
  </si>
  <si>
    <t>National Institute on Retirement Security</t>
  </si>
  <si>
    <t>http://crr.bc.edu/</t>
  </si>
  <si>
    <t>Center for Retirement Research at Boston College</t>
  </si>
  <si>
    <t>V.0.18.3</t>
  </si>
  <si>
    <t>Next worksheet (Assumptions)</t>
  </si>
  <si>
    <t>Previous worksheet (Introduction)</t>
  </si>
  <si>
    <t>Previous worksheet (Assumptions)</t>
  </si>
  <si>
    <t>Next worksheet (Appendix A)</t>
  </si>
  <si>
    <t>Next worksheet (Appendix B)</t>
  </si>
  <si>
    <t>Previous worksheet (Appendix A)</t>
  </si>
  <si>
    <t>Next worksheet (Appendix C)</t>
  </si>
  <si>
    <t>Previous worksheet (Appendix B)</t>
  </si>
  <si>
    <t>Next worksheet (Appendix D)</t>
  </si>
  <si>
    <t>Previous worksheet (Appendix C)</t>
  </si>
  <si>
    <t>Next worksheet (FAQ)</t>
  </si>
  <si>
    <t>Previous worksheet (Appendix D)</t>
  </si>
  <si>
    <t>Resources</t>
  </si>
  <si>
    <r>
      <t xml:space="preserve">    </t>
    </r>
    <r>
      <rPr>
        <b/>
        <sz val="11"/>
        <color indexed="8"/>
        <rFont val="Calibri"/>
        <family val="2"/>
      </rPr>
      <t>Introduction</t>
    </r>
    <r>
      <rPr>
        <sz val="11"/>
        <color indexed="8"/>
        <rFont val="Calibri"/>
        <family val="2"/>
      </rPr>
      <t xml:space="preserve"> and </t>
    </r>
    <r>
      <rPr>
        <b/>
        <sz val="11"/>
        <color indexed="8"/>
        <rFont val="Calibri"/>
        <family val="2"/>
      </rPr>
      <t>Resources</t>
    </r>
    <r>
      <rPr>
        <sz val="11"/>
        <color indexed="8"/>
        <rFont val="Calibri"/>
        <family val="2"/>
      </rPr>
      <t xml:space="preserve"> worksheets are white. </t>
    </r>
  </si>
  <si>
    <t>Describes the purpose, function and how to use the Simple-Income-Planning Excel program.</t>
  </si>
  <si>
    <t>V.0.18.4</t>
  </si>
  <si>
    <t>Lists of articles, literature, web sites related to financial planning</t>
  </si>
  <si>
    <t xml:space="preserve"> Lists various resources (articles, literature, web sites) related to financial planning</t>
  </si>
  <si>
    <t>See the full license description sections 15. Disclaimer of Warranty and 16. Limitation of Liability for details.</t>
  </si>
  <si>
    <t>V.0.18.5</t>
  </si>
  <si>
    <t>Q.1 Will I run out of money during retirement?</t>
  </si>
  <si>
    <t>Given expected income sources and expected expenses in retirement, will I run out of money. If I save more or spend less,</t>
  </si>
  <si>
    <t xml:space="preserve">    1.3 How the spreadsheet works</t>
  </si>
  <si>
    <t>1.3 How the spreadsheet works</t>
  </si>
  <si>
    <t>Expenses are specified similar to contributions and withdrawals for investment accounts, but as scheduled and irregular</t>
  </si>
  <si>
    <t>R.8.1 Check all account values to check "if money runs out" (when account balance goes negative).</t>
  </si>
  <si>
    <t>R.8.2 Check all income/expense data worksheets for problems with "age specifications".</t>
  </si>
  <si>
    <t>In summary:</t>
  </si>
  <si>
    <t>Cash(y) = Income(y) + Withdrawals(y) - Expenses(y) - Taxes(y)</t>
  </si>
  <si>
    <t>Note (1) The spreadsheet does not handle state taxes fully as that would depend on the specific tax rules of each state, and</t>
  </si>
  <si>
    <t xml:space="preserve">Withdrawals made from Investment accounts (IRA, Roth, Savings) are treated as income. None are required except the IRA </t>
  </si>
  <si>
    <t>If Cash(y) is positive at the end of year y, then there is an excess. If negative, then there is a shortfall. The Cash(y)</t>
  </si>
  <si>
    <t>is added to Savings(y+1) so a shortfall of Cash in year y is taken care of in the following year y+1.</t>
  </si>
  <si>
    <t>Note: If you are using the Joint and Last Survivor table, you must use the following worksheet to get a new table if the IRS changes it,</t>
  </si>
  <si>
    <t>then enter the new distribution periods you get in the table below. The percentages are computed</t>
  </si>
  <si>
    <t>http://www.irs.gov/publications/p939/ar02.html</t>
  </si>
  <si>
    <t>For more on  the Exclusion Ratio see</t>
  </si>
  <si>
    <r>
      <t xml:space="preserve">   (2) State taxes are approximated in section</t>
    </r>
    <r>
      <rPr>
        <b/>
        <sz val="11"/>
        <color indexed="8"/>
        <rFont val="Calibri"/>
        <family val="2"/>
      </rPr>
      <t xml:space="preserve"> 2.1</t>
    </r>
    <r>
      <rPr>
        <sz val="11"/>
        <color indexed="8"/>
        <rFont val="Calibri"/>
        <family val="2"/>
      </rPr>
      <t xml:space="preserve"> below.</t>
    </r>
  </si>
  <si>
    <r>
      <t xml:space="preserve">Made a new worksheet </t>
    </r>
    <r>
      <rPr>
        <sz val="11"/>
        <color indexed="8"/>
        <rFont val="Calibri"/>
        <family val="2"/>
      </rPr>
      <t xml:space="preserve"> </t>
    </r>
  </si>
  <si>
    <t>Fixed Income</t>
  </si>
  <si>
    <t>are investment assets such as bonds, CDs, money markets etc. that generally have a fixed interest rat</t>
  </si>
  <si>
    <t xml:space="preserve">determined at the time of initial sale. Some of these may change their interest rates under certain </t>
  </si>
  <si>
    <t>Bond funds</t>
  </si>
  <si>
    <t>called it's maturity date.</t>
  </si>
  <si>
    <t>are collections of bond assets that can be of similar or of different maturities. The  funds are constantly</t>
  </si>
  <si>
    <t>selling bonds when their maturity dates are less than what the target maturity date range is for the fund.</t>
  </si>
  <si>
    <t>The funds then replaces those with new bonds on the top of maturity range. These will almost</t>
  </si>
  <si>
    <t xml:space="preserve">certainly have different interest rates which is why bond funds reported interest rates will change </t>
  </si>
  <si>
    <t>over time.</t>
  </si>
  <si>
    <t>Contributions</t>
  </si>
  <si>
    <t>contributions to the IRA, Roth and/or Savings accounts.</t>
  </si>
  <si>
    <t>include a COLA adjustment each year. For purposes of this spreadsheet, each spouse may have up to</t>
  </si>
  <si>
    <t>or start taking Social Security benefits. Two recent papers discuss this process and the advantages /</t>
  </si>
  <si>
    <t>disadvantages of claiming at a later age. See papers by Robert Merton, and Sita Slavov et.al. at the</t>
  </si>
  <si>
    <r>
      <t xml:space="preserve">2012 </t>
    </r>
    <r>
      <rPr>
        <u/>
        <sz val="11"/>
        <color indexed="8"/>
        <rFont val="Calibri"/>
        <family val="2"/>
      </rPr>
      <t>Retirement Research Consortium Conference</t>
    </r>
    <r>
      <rPr>
        <sz val="11"/>
        <color theme="1"/>
        <rFont val="Calibri"/>
        <family val="2"/>
        <scheme val="minor"/>
      </rPr>
      <t xml:space="preserve"> </t>
    </r>
  </si>
  <si>
    <t>roughly) estimate future returns by a crude asset allocation of the ratio of stocks% : fixed-income%.</t>
  </si>
  <si>
    <t>Irregular</t>
  </si>
  <si>
    <t>contributions, withdrawals, or expenses specified on particular age basis in the IRA, Roth, Savings and</t>
  </si>
  <si>
    <t>Expense accounts.</t>
  </si>
  <si>
    <t>Scheduled</t>
  </si>
  <si>
    <t>contributions, withdrawals, or expenses specified a a fixed amount (possibly COLA adjusted) starting at</t>
  </si>
  <si>
    <t>a  particular age and ending at a particular age for the IRA, Roth, Savings and Expense accounts.</t>
  </si>
  <si>
    <r>
      <t xml:space="preserve">or </t>
    </r>
    <r>
      <rPr>
        <b/>
        <u/>
        <sz val="11"/>
        <color indexed="8"/>
        <rFont val="Calibri"/>
        <family val="2"/>
      </rPr>
      <t>F</t>
    </r>
    <r>
      <rPr>
        <u/>
        <sz val="11"/>
        <color indexed="8"/>
        <rFont val="Calibri"/>
        <family val="2"/>
      </rPr>
      <t xml:space="preserve">uture </t>
    </r>
    <r>
      <rPr>
        <b/>
        <u/>
        <sz val="11"/>
        <color indexed="8"/>
        <rFont val="Calibri"/>
        <family val="2"/>
      </rPr>
      <t>V</t>
    </r>
    <r>
      <rPr>
        <u/>
        <sz val="11"/>
        <color indexed="8"/>
        <rFont val="Calibri"/>
        <family val="2"/>
      </rPr>
      <t>alue</t>
    </r>
    <r>
      <rPr>
        <sz val="11"/>
        <color theme="1"/>
        <rFont val="Calibri"/>
        <family val="2"/>
        <scheme val="minor"/>
      </rPr>
      <t xml:space="preserve"> (FV) is what the current value (PV) would be at some time in the future. It is estimated for</t>
    </r>
  </si>
  <si>
    <t xml:space="preserve"> n years in the future as FV = PV * (1+r)**n, where r is an interest rate. The default for r is the CPI.</t>
  </si>
  <si>
    <t>estimate of portfolio return (rate of return or ROR) form the ratio of Stocks:Bonds is computed (if you enter</t>
  </si>
  <si>
    <t>the percentages of stock and bonds, i.e. fixed income). Alternatively, you can just put in a return you estimate.</t>
  </si>
  <si>
    <t>of IRAs and they differ in how they are taxed. Types of IRAs in this spreadsheet include: tax-deferred-IRA,</t>
  </si>
  <si>
    <t>rollover-IRA, Roth-IRA. The first two are taxed at the the owner's Federal marginal tax rate and they must start</t>
  </si>
  <si>
    <t>taking withdrawals at 70 1/2 and they must take at least the Minimum Required Distribution each year (see</t>
  </si>
  <si>
    <t>http://www.jasonzweig.com/dictionary/</t>
  </si>
  <si>
    <t>be that accurate because of the different tax treatment of taxable and non-taxable portions of in it.</t>
  </si>
  <si>
    <t>IRA after age 70 1/2.  In this spreadsheet, the starting age for when RMDs are taken is age 70.</t>
  </si>
  <si>
    <t>List of possible Income Sources</t>
  </si>
  <si>
    <t>A.2 Two tables that probably  have to be updated when the IRS tax data changes</t>
  </si>
  <si>
    <t>A.5 Documentation in the Introduction and Resources worksheets</t>
  </si>
  <si>
    <t xml:space="preserve"> A.2 Two tables that may have to be updated as the IRS tax data changes</t>
  </si>
  <si>
    <r>
      <t xml:space="preserve">the definitions of unfamiliar terms. For a fun dictionary of financial terms, see </t>
    </r>
    <r>
      <rPr>
        <i/>
        <u/>
        <sz val="11"/>
        <color indexed="8"/>
        <rFont val="Calibri"/>
        <family val="2"/>
      </rPr>
      <t>The Devil's  Financial Dictionary</t>
    </r>
    <r>
      <rPr>
        <sz val="11"/>
        <color indexed="8"/>
        <rFont val="Calibri"/>
        <family val="2"/>
      </rPr>
      <t xml:space="preserve"> by</t>
    </r>
  </si>
  <si>
    <t>Jason Zweig at</t>
  </si>
  <si>
    <t>point in the future or FV. It is estimated for n years in the future as PV = FV / (1+r)**n, where r is an</t>
  </si>
  <si>
    <t>interest rate. The default for r is the CPI.</t>
  </si>
  <si>
    <t>Stocks</t>
  </si>
  <si>
    <t>also known as "equities" are partial ownership in a company. Stocks may pay dividends each year.</t>
  </si>
  <si>
    <t>Stock mutual funds are collections of stocks. When the funds sell individual stocks they have give you a</t>
  </si>
  <si>
    <t xml:space="preserve">capital gain (loss) if the stock price is more (less) than they paid for it. Because they are risker than </t>
  </si>
  <si>
    <r>
      <t xml:space="preserve">bonds, their </t>
    </r>
    <r>
      <rPr>
        <u/>
        <sz val="11"/>
        <color theme="1"/>
        <rFont val="Calibri"/>
        <family val="2"/>
        <scheme val="minor"/>
      </rPr>
      <t>long term</t>
    </r>
    <r>
      <rPr>
        <sz val="11"/>
        <color theme="1"/>
        <rFont val="Calibri"/>
        <family val="2"/>
        <scheme val="minor"/>
      </rPr>
      <t xml:space="preserve"> returns are generally higher.</t>
    </r>
  </si>
  <si>
    <t>Spreadsheet</t>
  </si>
  <si>
    <t xml:space="preserve">in Excel (or OpenOffice, LibreOffice, Google docs, etc.) is a collection of worksheets and is also called </t>
  </si>
  <si>
    <t>a workbook.</t>
  </si>
  <si>
    <t xml:space="preserve">withdrawals after 59 1/2 (except for the 5 year rule on new contributions). For the purpose of this spreadsheet, </t>
  </si>
  <si>
    <t xml:space="preserve">as used in the spreadsheet, money is withdrawn yearly from tax-deferred IRA, Roth IRA, and Savings account </t>
  </si>
  <si>
    <r>
      <t xml:space="preserve">and added to the cash basis </t>
    </r>
    <r>
      <rPr>
        <b/>
        <sz val="11"/>
        <color indexed="8"/>
        <rFont val="Calibri"/>
        <family val="2"/>
      </rPr>
      <t>CashData</t>
    </r>
    <r>
      <rPr>
        <sz val="11"/>
        <color theme="1"/>
        <rFont val="Calibri"/>
        <family val="2"/>
        <scheme val="minor"/>
      </rPr>
      <t xml:space="preserve"> account.  The withdrawals may be specified as yearly schedule and/or</t>
    </r>
  </si>
  <si>
    <t>irregular withdrawals.</t>
  </si>
  <si>
    <r>
      <t xml:space="preserve">is the percentage( </t>
    </r>
    <r>
      <rPr>
        <i/>
        <sz val="11"/>
        <color theme="1"/>
        <rFont val="Calibri"/>
        <family val="2"/>
        <scheme val="minor"/>
      </rPr>
      <t>amount-withdrawn / total-value)</t>
    </r>
    <r>
      <rPr>
        <sz val="11"/>
        <color theme="1"/>
        <rFont val="Calibri"/>
        <family val="2"/>
        <scheme val="minor"/>
      </rPr>
      <t xml:space="preserve"> of an account or accounts. High withdrawal rates are</t>
    </r>
  </si>
  <si>
    <t xml:space="preserve">is the  Excel (or OpenOffice, LibreOffice, Google docs, etc.) term for the particular active page you are </t>
  </si>
  <si>
    <t xml:space="preserve">working on in the entire workbook You switch between worksheets by clicking on one of the </t>
  </si>
  <si>
    <t>worksheet tabs at the bottom on the page.  In this spreadsheet you can also switch worksheets by clicking</t>
  </si>
  <si>
    <t>on a hyperlink to another worksheet . The following Web page defines workbook and worksheets</t>
  </si>
  <si>
    <t xml:space="preserve">[ ] Add additional ST &amp; LT Capital Gains ability when do irregular withdrawals from Savings account because selling some </t>
  </si>
  <si>
    <r>
      <t xml:space="preserve">   to make navigation easier. This is currently in the </t>
    </r>
    <r>
      <rPr>
        <b/>
        <sz val="11"/>
        <color theme="1"/>
        <rFont val="Calibri"/>
        <family val="2"/>
        <scheme val="minor"/>
      </rPr>
      <t>Figures</t>
    </r>
    <r>
      <rPr>
        <sz val="11"/>
        <color theme="1"/>
        <rFont val="Calibri"/>
        <family val="2"/>
        <scheme val="minor"/>
      </rPr>
      <t xml:space="preserve"> worksheet.</t>
    </r>
  </si>
  <si>
    <t xml:space="preserve">2.3 Compute the Estimated Federal Tax from Total Taxable Income </t>
  </si>
  <si>
    <t xml:space="preserve">   2.3 Compute the Estimated Federal Tax from Total Taxable Income </t>
  </si>
  <si>
    <r>
      <t>This table summaries data from tables</t>
    </r>
    <r>
      <rPr>
        <b/>
        <sz val="11"/>
        <color indexed="8"/>
        <rFont val="Calibri"/>
        <family val="2"/>
      </rPr>
      <t xml:space="preserve"> R.2</t>
    </r>
    <r>
      <rPr>
        <sz val="11"/>
        <color indexed="8"/>
        <rFont val="Calibri"/>
        <family val="2"/>
      </rPr>
      <t xml:space="preserve"> through </t>
    </r>
    <r>
      <rPr>
        <b/>
        <sz val="11"/>
        <color indexed="8"/>
        <rFont val="Calibri"/>
        <family val="2"/>
      </rPr>
      <t>R.7</t>
    </r>
    <r>
      <rPr>
        <sz val="11"/>
        <color indexed="8"/>
        <rFont val="Calibri"/>
        <family val="2"/>
      </rPr>
      <t xml:space="preserve"> below. Header colors for table headers for the same data in </t>
    </r>
  </si>
  <si>
    <t>different tables may vary.</t>
  </si>
  <si>
    <t>(3) We assume Soc. Sec. is taxed at the maximum 85% of income received, the other 15% is tax free.</t>
  </si>
  <si>
    <t>RS. Resources (articles, literature, web sites)</t>
  </si>
  <si>
    <t>RS.1 IRS and Taxes</t>
  </si>
  <si>
    <t>RS.2 Social Security</t>
  </si>
  <si>
    <t>RS.3 Consumer Price Index (CPI)</t>
  </si>
  <si>
    <t>RS.4 Annuities</t>
  </si>
  <si>
    <t>RS.5 Asset allocation and investing</t>
  </si>
  <si>
    <t>RS.6 Financial Planning resources</t>
  </si>
  <si>
    <t>RS.7 Safe Withdrawal Rates (SWR) during retirement resources</t>
  </si>
  <si>
    <t>This computes the overall Stock to bond asset allocation for  S1 and S2 combining all of their accounts: IRA, Roth</t>
  </si>
  <si>
    <t>Account</t>
  </si>
  <si>
    <t>S1 % of total</t>
  </si>
  <si>
    <t>% Stocks</t>
  </si>
  <si>
    <t>%Bonds</t>
  </si>
  <si>
    <t>S2 % of total</t>
  </si>
  <si>
    <t xml:space="preserve">S1+S2 % Stocks </t>
  </si>
  <si>
    <t>S1+S2 % Bonds</t>
  </si>
  <si>
    <t>Total</t>
  </si>
  <si>
    <t xml:space="preserve">   R.5.2  Total Stock:Bond Percentages and Asset Allocation of all accounts (IRA, Roth, Savings)</t>
  </si>
  <si>
    <t xml:space="preserve">   2.1 Enter tax exclusion+deduction data for computing taxable income</t>
  </si>
  <si>
    <t>https://support.office.com/en-US/article/SUMIF-function-169B8C99-C05C-4483-A712-1697A653039B</t>
  </si>
  <si>
    <t>American Association of Independent Investors (AAII)</t>
  </si>
  <si>
    <t>http://www.morningstar.com/</t>
  </si>
  <si>
    <t>Morningstar (investment research, retirement planning, asset prices, blogs, etc.)</t>
  </si>
  <si>
    <t>Consumer price index - Wikipedia</t>
  </si>
  <si>
    <t>https://en.wikipedia.org/wiki/Consumer_price_index</t>
  </si>
  <si>
    <t>S1 Alloc.</t>
  </si>
  <si>
    <t>S2 Alloc.</t>
  </si>
  <si>
    <t>S1+S2 Alloc.</t>
  </si>
  <si>
    <t xml:space="preserve"> and Savings accounts. The allocation (abbreviated Alloc. In the table) and is computed for S1, S2 and for S1+S2 together.</t>
  </si>
  <si>
    <t>[ ] Use consistent colors for table headers if possible.</t>
  </si>
  <si>
    <t xml:space="preserve">[ ] Add a better description on how to add the hyperlink BACK/FORWARD command buttons to Excel 2000, 2007, 2010 </t>
  </si>
  <si>
    <r>
      <t xml:space="preserve">[ ] Edit /clarify </t>
    </r>
    <r>
      <rPr>
        <b/>
        <sz val="11"/>
        <color indexed="8"/>
        <rFont val="Calibri"/>
        <family val="2"/>
      </rPr>
      <t xml:space="preserve">Instruction: </t>
    </r>
    <r>
      <rPr>
        <sz val="11"/>
        <color theme="1"/>
        <rFont val="Calibri"/>
        <family val="2"/>
        <scheme val="minor"/>
      </rPr>
      <t xml:space="preserve">section to the front of all data entry worksheets to tell user the exact set of </t>
    </r>
  </si>
  <si>
    <t>section "1.1 How It Works".</t>
  </si>
  <si>
    <t>V.0.18.6</t>
  </si>
  <si>
    <t>http://www.usinflationcalculator.com/inflation/consumer-price-index-and-annual-percent-changes-from-1913-to-2008/</t>
  </si>
  <si>
    <t>Consumer Price Index Data from 1913 to 2015 (including year to year as percentage)</t>
  </si>
  <si>
    <t>Beta**</t>
  </si>
  <si>
    <t>GNU General Public License, version 3.0 (GPLv3) at</t>
  </si>
  <si>
    <t>https://en.wikipedia.org/wiki/Software_release_life_cycle</t>
  </si>
  <si>
    <r>
      <t xml:space="preserve">Put a "cartoon"-like note in the </t>
    </r>
    <r>
      <rPr>
        <b/>
        <sz val="11"/>
        <color indexed="8"/>
        <rFont val="Calibri"/>
        <family val="2"/>
      </rPr>
      <t>Introduction</t>
    </r>
    <r>
      <rPr>
        <sz val="11"/>
        <color indexed="8"/>
        <rFont val="Calibri"/>
        <family val="2"/>
      </rPr>
      <t xml:space="preserve"> that this is  Beta-level software that is "</t>
    </r>
    <r>
      <rPr>
        <b/>
        <sz val="11"/>
        <color indexed="8"/>
        <rFont val="Calibri"/>
        <family val="2"/>
      </rPr>
      <t>Forever Beta</t>
    </r>
    <r>
      <rPr>
        <sz val="11"/>
        <color indexed="8"/>
        <rFont val="Calibri"/>
        <family val="2"/>
      </rPr>
      <t>".</t>
    </r>
  </si>
  <si>
    <t>V.0.18.7</t>
  </si>
  <si>
    <t>11. CashData</t>
  </si>
  <si>
    <t>10. ExpensesData</t>
  </si>
  <si>
    <t>9. SavingsData</t>
  </si>
  <si>
    <t>8. RothData</t>
  </si>
  <si>
    <t>12. RMDtable</t>
  </si>
  <si>
    <t>RS. Resources</t>
  </si>
  <si>
    <t>R. Results</t>
  </si>
  <si>
    <t>S. Setup</t>
  </si>
  <si>
    <t>1. AgeData</t>
  </si>
  <si>
    <t>2. TaxData</t>
  </si>
  <si>
    <t>6. AnnuityData</t>
  </si>
  <si>
    <t>7. IRAdata</t>
  </si>
  <si>
    <t>Previous worksheet (12. RMDtable)</t>
  </si>
  <si>
    <t>Next worksheet (RS. Resources)</t>
  </si>
  <si>
    <t>Previous worksheet (11. CashData)</t>
  </si>
  <si>
    <t>Previous worksheet (10. ExpensesData)</t>
  </si>
  <si>
    <t>Next worksheet (12. RMDtable)</t>
  </si>
  <si>
    <t>Previous worksheet (9. SavingsData)</t>
  </si>
  <si>
    <t>Next worksheet (11. CashData)</t>
  </si>
  <si>
    <t>Previous worksheet (8. RothData)</t>
  </si>
  <si>
    <t>Next worksheet (10. ExpensesData)</t>
  </si>
  <si>
    <t>Previous worksheet (7. IRAData)</t>
  </si>
  <si>
    <t>Next worksheet (9. SavingsData)</t>
  </si>
  <si>
    <t>Previous worksheet (6. AnnuityData)</t>
  </si>
  <si>
    <t>Next worksheet (8. RothData)</t>
  </si>
  <si>
    <t>Next worksheet (7. IRAData)</t>
  </si>
  <si>
    <t>Previous worksheet (2. TaxData)</t>
  </si>
  <si>
    <t>Previous worksheet (1. AgeData)</t>
  </si>
  <si>
    <t>Previous worksheet (S. Setup)</t>
  </si>
  <si>
    <t>Next worksheet (2. TaxData)</t>
  </si>
  <si>
    <t>Next worksheet (1. AgeData)</t>
  </si>
  <si>
    <t>Previous worksheet (R. Results)</t>
  </si>
  <si>
    <t>Next worksheet (S. Setup)</t>
  </si>
  <si>
    <t>Next worksheet (R. Results)</t>
  </si>
  <si>
    <t>http://www.washingtonpost.com/news/wonkblog/wp/2013/04/19/meet-cpi-e-the-progressive-alternative-to-chained-cpi/</t>
  </si>
  <si>
    <t>W.Post, Meet CPI-E, the progressive alternative to chained CPI, (2013)</t>
  </si>
  <si>
    <t>and A,C. Macqueen (2010)</t>
  </si>
  <si>
    <r>
      <rPr>
        <i/>
        <sz val="11"/>
        <color indexed="8"/>
        <rFont val="Calibri"/>
        <family val="2"/>
      </rPr>
      <t>F.Anal.J.</t>
    </r>
    <r>
      <rPr>
        <sz val="11"/>
        <color indexed="8"/>
        <rFont val="Calibri"/>
        <family val="2"/>
      </rPr>
      <t xml:space="preserve">, </t>
    </r>
    <r>
      <rPr>
        <u/>
        <sz val="11"/>
        <color indexed="8"/>
        <rFont val="Calibri"/>
        <family val="2"/>
      </rPr>
      <t>Determinants of Portfolio Performance II: An Update</t>
    </r>
    <r>
      <rPr>
        <sz val="11"/>
        <color theme="1"/>
        <rFont val="Calibri"/>
        <family val="2"/>
        <scheme val="minor"/>
      </rPr>
      <t>, Gary P. Brinson, Brian D. Singer, Gilbert L. Beebower (1991)</t>
    </r>
  </si>
  <si>
    <r>
      <rPr>
        <i/>
        <sz val="11"/>
        <color indexed="8"/>
        <rFont val="Calibri"/>
        <family val="2"/>
      </rPr>
      <t>F.Anal.J.</t>
    </r>
    <r>
      <rPr>
        <sz val="11"/>
        <color indexed="8"/>
        <rFont val="Calibri"/>
        <family val="2"/>
      </rPr>
      <t xml:space="preserve">, </t>
    </r>
    <r>
      <rPr>
        <u/>
        <sz val="11"/>
        <color indexed="8"/>
        <rFont val="Calibri"/>
        <family val="2"/>
      </rPr>
      <t>Does Asset Allocation Policy Explain 40%, 90%, or 100% of Performance</t>
    </r>
    <r>
      <rPr>
        <sz val="11"/>
        <color indexed="8"/>
        <rFont val="Calibri"/>
        <family val="2"/>
      </rPr>
      <t>?, Roger G. Ibbotson, Paul D. Kaplan, (2000).</t>
    </r>
  </si>
  <si>
    <t>Guyton &amp; Kitces with Continued Discussions on Safe Withdrawal Rates and Spending Decision Rules, by Wade Pfau, 2014</t>
  </si>
  <si>
    <r>
      <t xml:space="preserve">is the  </t>
    </r>
    <r>
      <rPr>
        <u/>
        <sz val="11"/>
        <color indexed="8"/>
        <rFont val="Calibri"/>
        <family val="2"/>
      </rPr>
      <t>Cost Of Living Adjustment</t>
    </r>
    <r>
      <rPr>
        <sz val="11"/>
        <color theme="1"/>
        <rFont val="Calibri"/>
        <family val="2"/>
        <scheme val="minor"/>
      </rPr>
      <t>, often used with pensions, Social Security and some annuities.</t>
    </r>
  </si>
  <si>
    <r>
      <t>R.8.2</t>
    </r>
    <r>
      <rPr>
        <sz val="11"/>
        <color theme="1"/>
        <rFont val="Calibri"/>
        <family val="2"/>
        <scheme val="minor"/>
      </rPr>
      <t xml:space="preserve"> in the </t>
    </r>
    <r>
      <rPr>
        <b/>
        <sz val="11"/>
        <color indexed="8"/>
        <rFont val="Calibri"/>
        <family val="2"/>
      </rPr>
      <t>R. Results</t>
    </r>
    <r>
      <rPr>
        <sz val="11"/>
        <color theme="1"/>
        <rFont val="Calibri"/>
        <family val="2"/>
        <scheme val="minor"/>
      </rPr>
      <t xml:space="preserve"> worksheet. If there is no error, then a blue dot will appear. Otherwise you will see an error</t>
    </r>
  </si>
  <si>
    <r>
      <t xml:space="preserve">     worksheets to at least the current age in the </t>
    </r>
    <r>
      <rPr>
        <b/>
        <sz val="11"/>
        <color indexed="8"/>
        <rFont val="Calibri"/>
        <family val="2"/>
      </rPr>
      <t>1. AgeData</t>
    </r>
    <r>
      <rPr>
        <sz val="11"/>
        <color indexed="8"/>
        <rFont val="Calibri"/>
        <family val="2"/>
      </rPr>
      <t xml:space="preserve"> worksheet. This  is summarized for all worksheets in </t>
    </r>
  </si>
  <si>
    <r>
      <t xml:space="preserve">would need to take tax-free muni-bond income into account. However, in the </t>
    </r>
    <r>
      <rPr>
        <b/>
        <sz val="11"/>
        <color indexed="8"/>
        <rFont val="Calibri"/>
        <family val="2"/>
      </rPr>
      <t>2. TaxData</t>
    </r>
    <r>
      <rPr>
        <sz val="11"/>
        <color indexed="8"/>
        <rFont val="Calibri"/>
        <family val="2"/>
      </rPr>
      <t xml:space="preserve"> worksheet it does allow you to</t>
    </r>
  </si>
  <si>
    <r>
      <t xml:space="preserve">estimation purposes. You can use the CPI, set in </t>
    </r>
    <r>
      <rPr>
        <b/>
        <sz val="11"/>
        <color indexed="8"/>
        <rFont val="Calibri"/>
        <family val="2"/>
      </rPr>
      <t>1. AgeData</t>
    </r>
    <r>
      <rPr>
        <sz val="11"/>
        <color theme="1"/>
        <rFont val="Calibri"/>
        <family val="2"/>
        <scheme val="minor"/>
      </rPr>
      <t xml:space="preserve"> worksheet, as the default COLA for Soc Sec, Pension, IRA,</t>
    </r>
  </si>
  <si>
    <t>Note (4) The Social Security benefits tables are computed for each spouse for each year delayed past age 62 (see worksheet</t>
  </si>
  <si>
    <t>Savings(y+1) = Savings(y) + Cash(y)</t>
  </si>
  <si>
    <r>
      <t xml:space="preserve">(2) The Federal marginal tax rate is indexed to inflation by the CPI in </t>
    </r>
    <r>
      <rPr>
        <b/>
        <sz val="11"/>
        <color indexed="8"/>
        <rFont val="Calibri"/>
        <family val="2"/>
      </rPr>
      <t>2. TaxData</t>
    </r>
    <r>
      <rPr>
        <sz val="11"/>
        <color indexed="8"/>
        <rFont val="Calibri"/>
        <family val="2"/>
      </rPr>
      <t xml:space="preserve"> workbook.</t>
    </r>
  </si>
  <si>
    <r>
      <t xml:space="preserve">(8) Tax-deferred IRA withdrawals are the RMD amount using </t>
    </r>
    <r>
      <rPr>
        <b/>
        <sz val="11"/>
        <color indexed="8"/>
        <rFont val="Calibri"/>
        <family val="2"/>
      </rPr>
      <t>12. RMDtable</t>
    </r>
    <r>
      <rPr>
        <sz val="11"/>
        <color indexed="8"/>
        <rFont val="Calibri"/>
        <family val="2"/>
      </rPr>
      <t xml:space="preserve"> after age 70 1/2 unless specified withdrawals</t>
    </r>
  </si>
  <si>
    <r>
      <t xml:space="preserve">NOTE: You must first set your preferences in the </t>
    </r>
    <r>
      <rPr>
        <b/>
        <u/>
        <sz val="14"/>
        <color indexed="8"/>
        <rFont val="Calibri"/>
        <family val="2"/>
      </rPr>
      <t>S. Setup</t>
    </r>
    <r>
      <rPr>
        <b/>
        <sz val="14"/>
        <color indexed="8"/>
        <rFont val="Calibri"/>
        <family val="2"/>
      </rPr>
      <t xml:space="preserve"> worksheet and then enter your</t>
    </r>
  </si>
  <si>
    <t>Numbered all references to all worksheets throughout the entire spreadsheet.</t>
  </si>
  <si>
    <r>
      <t xml:space="preserve">[ ] Double check Tax computations in </t>
    </r>
    <r>
      <rPr>
        <b/>
        <sz val="11"/>
        <color indexed="8"/>
        <rFont val="Calibri"/>
        <family val="2"/>
      </rPr>
      <t xml:space="preserve">2. TaxData </t>
    </r>
    <r>
      <rPr>
        <sz val="11"/>
        <color indexed="8"/>
        <rFont val="Calibri"/>
        <family val="2"/>
      </rPr>
      <t xml:space="preserve">worksheet. </t>
    </r>
  </si>
  <si>
    <t>Note:  previous revision notes are not included.</t>
  </si>
  <si>
    <r>
      <t xml:space="preserve">Numbered the Worksheet </t>
    </r>
    <r>
      <rPr>
        <u/>
        <sz val="11"/>
        <color indexed="8"/>
        <rFont val="Calibri"/>
        <family val="2"/>
      </rPr>
      <t>tabs</t>
    </r>
    <r>
      <rPr>
        <sz val="11"/>
        <color indexed="8"/>
        <rFont val="Calibri"/>
        <family val="2"/>
      </rPr>
      <t xml:space="preserve"> at the bottom of the Excel window. Reversed order of this </t>
    </r>
    <r>
      <rPr>
        <b/>
        <sz val="11"/>
        <color indexed="8"/>
        <rFont val="Calibri"/>
        <family val="2"/>
      </rPr>
      <t>D.2 REVISION-LIST</t>
    </r>
    <r>
      <rPr>
        <sz val="11"/>
        <color indexed="8"/>
        <rFont val="Calibri"/>
        <family val="2"/>
      </rPr>
      <t>.</t>
    </r>
  </si>
  <si>
    <r>
      <t xml:space="preserve">Because Federal Taxes are taken out of fully taxable income in the </t>
    </r>
    <r>
      <rPr>
        <b/>
        <sz val="11"/>
        <color indexed="8"/>
        <rFont val="Calibri"/>
        <family val="2"/>
      </rPr>
      <t>2. TaxData</t>
    </r>
    <r>
      <rPr>
        <sz val="11"/>
        <color theme="1"/>
        <rFont val="Calibri"/>
        <family val="2"/>
        <scheme val="minor"/>
      </rPr>
      <t xml:space="preserve"> worksheet, you do not subtract tax withholding</t>
    </r>
  </si>
  <si>
    <t>declare a state tax percentage which will be added to your marginal tax rate and applied to the adjusted gross income.</t>
  </si>
  <si>
    <t>This spreadsheet software computes a rough estimate of yearly income and expense flows as various income sources and</t>
  </si>
  <si>
    <r>
      <t xml:space="preserve">clicking on worksheet hyperlinks (blue font with an underline) available throughout the spreadsheet. The </t>
    </r>
    <r>
      <rPr>
        <b/>
        <sz val="11"/>
        <color theme="1"/>
        <rFont val="Calibri"/>
        <family val="2"/>
        <scheme val="minor"/>
      </rPr>
      <t xml:space="preserve">R. </t>
    </r>
    <r>
      <rPr>
        <b/>
        <sz val="11"/>
        <color indexed="8"/>
        <rFont val="Calibri"/>
        <family val="2"/>
      </rPr>
      <t>Results</t>
    </r>
    <r>
      <rPr>
        <sz val="11"/>
        <color theme="1"/>
        <rFont val="Calibri"/>
        <family val="2"/>
        <scheme val="minor"/>
      </rPr>
      <t xml:space="preserve"> worksheet</t>
    </r>
  </si>
  <si>
    <t xml:space="preserve">Appendix A </t>
  </si>
  <si>
    <t>http://www.aaii.com/</t>
  </si>
  <si>
    <t>https://www.etf.com/docs/IfYouCan.pdf</t>
  </si>
  <si>
    <t xml:space="preserve"> (PDF). Hardcover available on Amazon.</t>
  </si>
  <si>
    <t>Excel conditional vector summation SUMIF function (used with irregular entry tables in this spreadsheet)</t>
  </si>
  <si>
    <r>
      <t xml:space="preserve">Book, </t>
    </r>
    <r>
      <rPr>
        <i/>
        <sz val="11"/>
        <color theme="1"/>
        <rFont val="Calibri"/>
        <family val="2"/>
        <scheme val="minor"/>
      </rPr>
      <t>Pensionize Your Nest Egg: How to Use Product Allocation to Create a Guaranteed Income for Life</t>
    </r>
    <r>
      <rPr>
        <sz val="11"/>
        <color theme="1"/>
        <rFont val="Calibri"/>
        <family val="2"/>
        <scheme val="minor"/>
      </rPr>
      <t xml:space="preserve"> by M.A. Milevsky, </t>
    </r>
  </si>
  <si>
    <r>
      <t xml:space="preserve">Book, </t>
    </r>
    <r>
      <rPr>
        <i/>
        <sz val="11"/>
        <color theme="1"/>
        <rFont val="Calibri"/>
        <family val="2"/>
        <scheme val="minor"/>
      </rPr>
      <t xml:space="preserve">A Random Walk Down Wall Street: The Time-Tested Strategy for Successful Investing (11th Ed) </t>
    </r>
    <r>
      <rPr>
        <sz val="11"/>
        <color theme="1"/>
        <rFont val="Calibri"/>
        <family val="2"/>
        <scheme val="minor"/>
      </rPr>
      <t>by B. Malkiel (2015)</t>
    </r>
  </si>
  <si>
    <r>
      <t xml:space="preserve">Book, </t>
    </r>
    <r>
      <rPr>
        <i/>
        <sz val="11"/>
        <color theme="1"/>
        <rFont val="Calibri"/>
        <family val="2"/>
        <scheme val="minor"/>
      </rPr>
      <t>If you can: How to Get Rich Slowly</t>
    </r>
    <r>
      <rPr>
        <sz val="11"/>
        <color theme="1"/>
        <rFont val="Calibri"/>
        <family val="2"/>
        <scheme val="minor"/>
      </rPr>
      <t xml:space="preserve"> by W.J. Bernstein (2014)</t>
    </r>
  </si>
  <si>
    <r>
      <t>Book,</t>
    </r>
    <r>
      <rPr>
        <i/>
        <sz val="11"/>
        <color theme="1"/>
        <rFont val="Calibri"/>
        <family val="2"/>
        <scheme val="minor"/>
      </rPr>
      <t xml:space="preserve"> Rational Expectations: Asset Allocation for Investing Adults (Investing for Adults) (Vol 4)</t>
    </r>
    <r>
      <rPr>
        <sz val="11"/>
        <color theme="1"/>
        <rFont val="Calibri"/>
        <family val="2"/>
        <scheme val="minor"/>
      </rPr>
      <t xml:space="preserve"> by William J Bernstein (2014) </t>
    </r>
  </si>
  <si>
    <t>by Jeramy Siegel (2014)</t>
  </si>
  <si>
    <r>
      <t xml:space="preserve">Book, </t>
    </r>
    <r>
      <rPr>
        <i/>
        <sz val="11"/>
        <color theme="1"/>
        <rFont val="Calibri"/>
        <family val="2"/>
        <scheme val="minor"/>
      </rPr>
      <t>Stocks for the Long Run 5/E: The Definitive Guide to Financial Market Returns &amp; Long-Term Investment Strategies</t>
    </r>
  </si>
  <si>
    <t>http://www.amazon.com/Stocks-Long-Run-Definitive-Investment/dp/0071800514/ref=dp_ob_title_bk</t>
  </si>
  <si>
    <r>
      <t xml:space="preserve">Book, </t>
    </r>
    <r>
      <rPr>
        <i/>
        <sz val="11"/>
        <color theme="1"/>
        <rFont val="Calibri"/>
        <family val="2"/>
        <scheme val="minor"/>
      </rPr>
      <t>Bogle On Mutual Funds: New Perspectives For The Intelligent Investor</t>
    </r>
    <r>
      <rPr>
        <sz val="11"/>
        <color theme="1"/>
        <rFont val="Calibri"/>
        <family val="2"/>
        <scheme val="minor"/>
      </rPr>
      <t xml:space="preserve"> by John Bogle (2015 edition)</t>
    </r>
  </si>
  <si>
    <t>http://www.amazon.com/Bogle-Mutual-Funds-Perspectives-Intelligent/dp/111908833X/ref=sr_1_2</t>
  </si>
  <si>
    <t>Bogleheads Wiki entry on Annuities</t>
  </si>
  <si>
    <t>https://www.bogleheads.org/wiki/Category:Annuities</t>
  </si>
  <si>
    <t>Wikipedia entry on Asset Allocation</t>
  </si>
  <si>
    <t xml:space="preserve">     9.2 Enter estimates of Savings accounts Long- &amp; Short-term Cap-Gains/Tax-Free Dividend distributions</t>
  </si>
  <si>
    <r>
      <t xml:space="preserve">It pulls computed partial results from all of the other worksheets and presents them in a set of tables </t>
    </r>
    <r>
      <rPr>
        <b/>
        <sz val="11"/>
        <color theme="1"/>
        <rFont val="Calibri"/>
        <family val="2"/>
        <scheme val="minor"/>
      </rPr>
      <t>R.1</t>
    </r>
    <r>
      <rPr>
        <sz val="11"/>
        <color theme="1"/>
        <rFont val="Calibri"/>
        <family val="2"/>
        <scheme val="minor"/>
      </rPr>
      <t xml:space="preserve"> through </t>
    </r>
    <r>
      <rPr>
        <b/>
        <sz val="11"/>
        <color theme="1"/>
        <rFont val="Calibri"/>
        <family val="2"/>
        <scheme val="minor"/>
      </rPr>
      <t>R.7</t>
    </r>
    <r>
      <rPr>
        <sz val="11"/>
        <color theme="1"/>
        <rFont val="Calibri"/>
        <family val="2"/>
        <scheme val="minor"/>
      </rPr>
      <t>.</t>
    </r>
  </si>
  <si>
    <r>
      <t>In particular table</t>
    </r>
    <r>
      <rPr>
        <b/>
        <sz val="11"/>
        <color theme="1"/>
        <rFont val="Calibri"/>
        <family val="2"/>
        <scheme val="minor"/>
      </rPr>
      <t xml:space="preserve"> R.1</t>
    </r>
    <r>
      <rPr>
        <sz val="11"/>
        <color theme="1"/>
        <rFont val="Calibri"/>
        <family val="2"/>
        <scheme val="minor"/>
      </rPr>
      <t xml:space="preserve"> is the top level summary table.</t>
    </r>
  </si>
  <si>
    <r>
      <t xml:space="preserve">See the section </t>
    </r>
    <r>
      <rPr>
        <b/>
        <sz val="11"/>
        <color indexed="8"/>
        <rFont val="Calibri"/>
        <family val="2"/>
      </rPr>
      <t xml:space="preserve">Figures </t>
    </r>
    <r>
      <rPr>
        <sz val="11"/>
        <color indexed="8"/>
        <rFont val="Calibri"/>
        <family val="2"/>
      </rPr>
      <t>worksheet</t>
    </r>
    <r>
      <rPr>
        <b/>
        <sz val="11"/>
        <color indexed="8"/>
        <rFont val="Calibri"/>
        <family val="2"/>
      </rPr>
      <t xml:space="preserve">  figure 9. How to navigate the spreadsheet workbook using the built-in hyperlinks.</t>
    </r>
  </si>
  <si>
    <r>
      <t>Also see the</t>
    </r>
    <r>
      <rPr>
        <b/>
        <sz val="11"/>
        <color theme="1"/>
        <rFont val="Calibri"/>
        <family val="2"/>
        <scheme val="minor"/>
      </rPr>
      <t xml:space="preserve"> Resources RS.7.</t>
    </r>
  </si>
  <si>
    <t>For those who know how to copy data with Excel by dragging lines with the content you want, you can do it  much faster</t>
  </si>
  <si>
    <t>that way.  However, be careful to only copy cells with red data. If you copy the blue data you will break the spreadsheet.</t>
  </si>
  <si>
    <r>
      <t xml:space="preserve">For tables  </t>
    </r>
    <r>
      <rPr>
        <b/>
        <sz val="11"/>
        <color theme="1"/>
        <rFont val="Calibri"/>
        <family val="2"/>
        <scheme val="minor"/>
      </rPr>
      <t>7. IRAdata 7.4.1,   8. RothData 8.4.1,   9. SavingsData 9.4.1</t>
    </r>
    <r>
      <rPr>
        <sz val="11"/>
        <color theme="1"/>
        <rFont val="Calibri"/>
        <family val="2"/>
        <scheme val="minor"/>
      </rPr>
      <t xml:space="preserve"> you can replace all demo entries with (</t>
    </r>
    <r>
      <rPr>
        <b/>
        <sz val="11"/>
        <color rgb="FFFF0000"/>
        <rFont val="Calibri"/>
        <family val="2"/>
        <scheme val="minor"/>
      </rPr>
      <t>U, 0, &lt;blank&gt;, $0</t>
    </r>
    <r>
      <rPr>
        <sz val="11"/>
        <color theme="1"/>
        <rFont val="Calibri"/>
        <family val="2"/>
        <scheme val="minor"/>
      </rPr>
      <t>).</t>
    </r>
  </si>
  <si>
    <r>
      <t>Where</t>
    </r>
    <r>
      <rPr>
        <i/>
        <sz val="11"/>
        <color theme="1"/>
        <rFont val="Calibri"/>
        <family val="2"/>
        <scheme val="minor"/>
      </rPr>
      <t xml:space="preserve"> &lt;blank&gt; </t>
    </r>
    <r>
      <rPr>
        <sz val="11"/>
        <color theme="1"/>
        <rFont val="Calibri"/>
        <family val="2"/>
        <scheme val="minor"/>
      </rPr>
      <t>is just deleting an entry that was there previously.</t>
    </r>
  </si>
  <si>
    <r>
      <rPr>
        <i/>
        <sz val="11"/>
        <color theme="1"/>
        <rFont val="Calibri"/>
        <family val="2"/>
        <scheme val="minor"/>
      </rPr>
      <t>expense</t>
    </r>
    <r>
      <rPr>
        <sz val="11"/>
        <color theme="1"/>
        <rFont val="Calibri"/>
        <family val="2"/>
        <scheme val="minor"/>
      </rPr>
      <t xml:space="preserve"> events. Whereas yearly investment account withdrawals are added to the cash-flow, expenses are subtracted </t>
    </r>
  </si>
  <si>
    <t xml:space="preserve">      Cash-flow worksheet:</t>
  </si>
  <si>
    <r>
      <t xml:space="preserve">Each year, all income and investment withdrawals are "deposited" or added into the cash-flow table in </t>
    </r>
    <r>
      <rPr>
        <b/>
        <sz val="11"/>
        <color theme="1"/>
        <rFont val="Calibri"/>
        <family val="2"/>
        <scheme val="minor"/>
      </rPr>
      <t>11. CashData</t>
    </r>
  </si>
  <si>
    <t>Google drive "sheet" spreadsheet program able to use Excel files</t>
  </si>
  <si>
    <t>https://www.google.com/sheets/about/</t>
  </si>
  <si>
    <t>http://www.openoffice.org/sc/</t>
  </si>
  <si>
    <t>Open Office "calc" spreadsheet program able to use Excel files</t>
  </si>
  <si>
    <t>http://www.apple.com/mac/numbers/</t>
  </si>
  <si>
    <t>Apple "numbers" spreadsheet program able to use Excel files</t>
  </si>
  <si>
    <t>11. Cash-flow account with Income and Withdrawals added, Expenses &amp; Taxes subtracted</t>
  </si>
  <si>
    <t>V.0.18.8</t>
  </si>
  <si>
    <t>Note that you can leave gaps of Unused events in the table to make groups of entries easier to read.</t>
  </si>
  <si>
    <r>
      <t xml:space="preserve">[ ] Investigate how can make a better estimated state tax calculation to include in the </t>
    </r>
    <r>
      <rPr>
        <b/>
        <sz val="11"/>
        <color indexed="8"/>
        <rFont val="Calibri"/>
        <family val="2"/>
      </rPr>
      <t>2. TaxData</t>
    </r>
    <r>
      <rPr>
        <sz val="11"/>
        <color theme="1"/>
        <rFont val="Calibri"/>
        <family val="2"/>
        <scheme val="minor"/>
      </rPr>
      <t xml:space="preserve"> worksheet.  </t>
    </r>
  </si>
  <si>
    <r>
      <t xml:space="preserve">Work income is taxable earned income after </t>
    </r>
    <r>
      <rPr>
        <u/>
        <sz val="11"/>
        <color indexed="8"/>
        <rFont val="Calibri"/>
        <family val="2"/>
      </rPr>
      <t>deducting</t>
    </r>
    <r>
      <rPr>
        <sz val="11"/>
        <color indexed="8"/>
        <rFont val="Calibri"/>
        <family val="2"/>
      </rPr>
      <t xml:space="preserve"> FICA and Medicare taxes but not Federal and State taxes. Annuities</t>
    </r>
  </si>
  <si>
    <t>For those who are interested in how taxes are computed in the spreadsheet, it is apprixmated with the following formula.</t>
  </si>
  <si>
    <r>
      <t xml:space="preserve">contributions can be specified as part of the yearly schedule expenses in the </t>
    </r>
    <r>
      <rPr>
        <b/>
        <sz val="11"/>
        <color theme="1"/>
        <rFont val="Calibri"/>
        <family val="2"/>
        <scheme val="minor"/>
      </rPr>
      <t>10. ExpenseData.</t>
    </r>
    <r>
      <rPr>
        <sz val="11"/>
        <color theme="1"/>
        <rFont val="Calibri"/>
        <family val="2"/>
        <scheme val="minor"/>
      </rPr>
      <t xml:space="preserve"> </t>
    </r>
  </si>
  <si>
    <t>Roth and Savings withdrawals, work and annuity income, and Expenses. You can also override each of these COLAs on</t>
  </si>
  <si>
    <t xml:space="preserve">        10.1.1 How much of the above(10.1) yearly expenses are tax exclusions+deductibles.</t>
  </si>
  <si>
    <t>Withdrawals is the sum of withdrawals (R) from IRAs, Roths and Savings.</t>
  </si>
  <si>
    <t>(labeled as I+W-E-T in the following table)</t>
  </si>
  <si>
    <t xml:space="preserve">   S.1 Configure the spreadsheet so that it applies to your personal situation.</t>
  </si>
  <si>
    <t>S.1 Configure the spreadsheet so that it applies to your personal situation</t>
  </si>
  <si>
    <t>(Default entries are from AgeData that you can override by entering data in Red cells.)</t>
  </si>
  <si>
    <t xml:space="preserve"> If you want to override the COLA, enter another value here=</t>
  </si>
  <si>
    <t xml:space="preserve">    override Age S1 starts contributing to Roth IRA=</t>
  </si>
  <si>
    <t xml:space="preserve">    override Age S2 starts contributing to Roth IRA=</t>
  </si>
  <si>
    <t xml:space="preserve">    override Age S1 starts Savings withdrawals=</t>
  </si>
  <si>
    <t xml:space="preserve">    override Age S2 starts Savings withdrawals=</t>
  </si>
  <si>
    <t>S1 Sole Social Security income after runs out</t>
  </si>
  <si>
    <t>S2 Sole Social Security income after runs out</t>
  </si>
  <si>
    <t>Bogleheads expanded book list</t>
  </si>
  <si>
    <r>
      <rPr>
        <b/>
        <u/>
        <sz val="12"/>
        <color indexed="8"/>
        <rFont val="Calibri"/>
        <family val="2"/>
      </rPr>
      <t>ONLY</t>
    </r>
    <r>
      <rPr>
        <b/>
        <sz val="12"/>
        <color indexed="8"/>
        <rFont val="Calibri"/>
        <family val="2"/>
      </rPr>
      <t xml:space="preserve"> enter or edit data into </t>
    </r>
    <r>
      <rPr>
        <b/>
        <sz val="12"/>
        <color indexed="10"/>
        <rFont val="Calibri"/>
        <family val="2"/>
      </rPr>
      <t>RED</t>
    </r>
    <r>
      <rPr>
        <b/>
        <sz val="12"/>
        <color indexed="8"/>
        <rFont val="Calibri"/>
        <family val="2"/>
      </rPr>
      <t xml:space="preserve"> cells. Doing otherwise might break the spreadsheet.</t>
    </r>
  </si>
  <si>
    <t xml:space="preserve">     9.4 Future Irregular Contributions and Withdrawals for the taxable Savings accounts </t>
  </si>
  <si>
    <t xml:space="preserve">9.4 Future Irregular Contributions and Withdrawals for the taxable Savings accounts </t>
  </si>
  <si>
    <t>It provides an income stream benefit for a lifetime or fixed period after which, depending on the</t>
  </si>
  <si>
    <t>It is used as the COLA for Social Security and some public pensions. It is entered in the AgeData worksheet.</t>
  </si>
  <si>
    <t>(income + withdrawals - expenses - taxes) each year and is termed the cash account. Expenses are</t>
  </si>
  <si>
    <t xml:space="preserve">pre-specified conditions. Generally these investments have a future date when the asset is redeemed </t>
  </si>
  <si>
    <t>includes both taxable and nontaxable income (actually received before tax deductions).</t>
  </si>
  <si>
    <r>
      <t xml:space="preserve">worksheet </t>
    </r>
    <r>
      <rPr>
        <b/>
        <sz val="11"/>
        <color theme="1"/>
        <rFont val="Calibri"/>
        <family val="2"/>
        <scheme val="minor"/>
      </rPr>
      <t>12. RMDtable).</t>
    </r>
    <r>
      <rPr>
        <sz val="11"/>
        <color theme="1"/>
        <rFont val="Calibri"/>
        <family val="2"/>
        <scheme val="minor"/>
      </rPr>
      <t xml:space="preserve"> The Roth-IRA owner will not pay any taxes on withdrawals after 59 1/2 and are not </t>
    </r>
  </si>
  <si>
    <t xml:space="preserve">generally not sustainable in the long term. The overall withdrawal rates are computed and shown in </t>
  </si>
  <si>
    <r>
      <t xml:space="preserve">For purposes of this spreadsheet, the IRA worksheet is  </t>
    </r>
    <r>
      <rPr>
        <b/>
        <sz val="12"/>
        <color indexed="8"/>
        <rFont val="Calibri"/>
        <family val="2"/>
      </rPr>
      <t>7. IRAdata</t>
    </r>
    <r>
      <rPr>
        <sz val="11"/>
        <color theme="1"/>
        <rFont val="Calibri"/>
        <family val="2"/>
        <scheme val="minor"/>
      </rPr>
      <t xml:space="preserve"> and Roth worksheet is  </t>
    </r>
    <r>
      <rPr>
        <b/>
        <sz val="11"/>
        <color theme="1"/>
        <rFont val="Calibri"/>
        <family val="2"/>
        <scheme val="minor"/>
      </rPr>
      <t xml:space="preserve">8. </t>
    </r>
    <r>
      <rPr>
        <b/>
        <sz val="12"/>
        <color indexed="8"/>
        <rFont val="Calibri"/>
        <family val="2"/>
      </rPr>
      <t>RothData.</t>
    </r>
  </si>
  <si>
    <r>
      <t xml:space="preserve">See </t>
    </r>
    <r>
      <rPr>
        <b/>
        <sz val="11"/>
        <color indexed="8"/>
        <rFont val="Calibri"/>
        <family val="2"/>
      </rPr>
      <t>12. RMDtable</t>
    </r>
    <r>
      <rPr>
        <sz val="11"/>
        <color theme="1"/>
        <rFont val="Calibri"/>
        <family val="2"/>
        <scheme val="minor"/>
      </rPr>
      <t xml:space="preserve"> worksheet for more details and IRS pub. 590 </t>
    </r>
  </si>
  <si>
    <r>
      <t xml:space="preserve">data for the Roth IRA and Roth 401(k) are entered in the </t>
    </r>
    <r>
      <rPr>
        <b/>
        <sz val="12"/>
        <color indexed="8"/>
        <rFont val="Calibri"/>
        <family val="2"/>
      </rPr>
      <t>8. RothData</t>
    </r>
    <r>
      <rPr>
        <sz val="11"/>
        <color theme="1"/>
        <rFont val="Calibri"/>
        <family val="2"/>
        <scheme val="minor"/>
      </rPr>
      <t xml:space="preserve"> worksheet.</t>
    </r>
  </si>
  <si>
    <r>
      <rPr>
        <b/>
        <sz val="11"/>
        <color indexed="8"/>
        <rFont val="Calibri"/>
        <family val="2"/>
      </rPr>
      <t xml:space="preserve">2. TaxData,  11. CashData </t>
    </r>
    <r>
      <rPr>
        <sz val="11"/>
        <color indexed="8"/>
        <rFont val="Calibri"/>
        <family val="2"/>
      </rPr>
      <t>worksheets to make it easier to backtrack to where the data came in the calculation.</t>
    </r>
  </si>
  <si>
    <t>Not Edited (unless IRS changes it)</t>
  </si>
  <si>
    <t>(If inflation ever takes off, all bets are off…)</t>
  </si>
  <si>
    <t>Note: do not edit the cost FV cells as it will corrupt the FV computation.</t>
  </si>
  <si>
    <r>
      <t xml:space="preserve">Added more realistic irregular expenses in the demo data for the </t>
    </r>
    <r>
      <rPr>
        <b/>
        <sz val="11"/>
        <color indexed="8"/>
        <rFont val="Calibri"/>
        <family val="2"/>
      </rPr>
      <t>10. ExpensesData</t>
    </r>
    <r>
      <rPr>
        <sz val="11"/>
        <color indexed="8"/>
        <rFont val="Calibri"/>
        <family val="2"/>
      </rPr>
      <t xml:space="preserve"> and irregular</t>
    </r>
  </si>
  <si>
    <t>[ ] Improve user interface Q&amp;A for filling in the red cells to simplify filling out the spreadsheet.</t>
  </si>
  <si>
    <t xml:space="preserve">      a better user interface that would be possible using VBA.</t>
  </si>
  <si>
    <t>upgrade, overlapping children's college costs.</t>
  </si>
  <si>
    <r>
      <t>withdrawals from</t>
    </r>
    <r>
      <rPr>
        <b/>
        <sz val="11"/>
        <color theme="1"/>
        <rFont val="Calibri"/>
        <family val="2"/>
        <scheme val="minor"/>
      </rPr>
      <t xml:space="preserve"> 9. SavingsData</t>
    </r>
    <r>
      <rPr>
        <sz val="11"/>
        <color theme="1"/>
        <rFont val="Calibri"/>
        <family val="2"/>
        <scheme val="minor"/>
      </rPr>
      <t>. New expenses include more realistic values for major trips, a home</t>
    </r>
  </si>
  <si>
    <t xml:space="preserve">     override Age S1 stops contributing to Savings=</t>
  </si>
  <si>
    <t xml:space="preserve">     override Age S2 stops contributing to Savings=</t>
  </si>
  <si>
    <t xml:space="preserve">     override Age S1 stops Savings withdrawals=</t>
  </si>
  <si>
    <t xml:space="preserve">     override Age S2 stops Savings withdrawals=</t>
  </si>
  <si>
    <t>(default age at death in AgeData)</t>
  </si>
  <si>
    <r>
      <t xml:space="preserve">and don't let it exceed the age at death ages for S1 and S2 respectively in </t>
    </r>
    <r>
      <rPr>
        <b/>
        <sz val="11"/>
        <color indexed="8"/>
        <rFont val="Calibri"/>
        <family val="2"/>
      </rPr>
      <t>1. AgeData</t>
    </r>
    <r>
      <rPr>
        <sz val="11"/>
        <color indexed="8"/>
        <rFont val="Calibri"/>
        <family val="2"/>
      </rPr>
      <t>.</t>
    </r>
  </si>
  <si>
    <t>V.0.19.1</t>
  </si>
  <si>
    <t>V.0.18.9</t>
  </si>
  <si>
    <t>withdrawals.</t>
  </si>
  <si>
    <r>
      <t xml:space="preserve">Added test for ending age in </t>
    </r>
    <r>
      <rPr>
        <b/>
        <sz val="11"/>
        <color indexed="8"/>
        <rFont val="Calibri"/>
        <family val="2"/>
      </rPr>
      <t>7. IRAdata, 8. RothData, 9. SavingsData, 10. ExpensesData</t>
    </r>
  </si>
  <si>
    <r>
      <t xml:space="preserve">Added "Mortgage P+I" to demo data irregular expenses </t>
    </r>
    <r>
      <rPr>
        <b/>
        <sz val="11"/>
        <color theme="1"/>
        <rFont val="Calibri"/>
        <family val="2"/>
        <scheme val="minor"/>
      </rPr>
      <t>10. ExpensesData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9. SavingsData</t>
    </r>
    <r>
      <rPr>
        <sz val="11"/>
        <color theme="1"/>
        <rFont val="Calibri"/>
        <family val="2"/>
        <scheme val="minor"/>
      </rPr>
      <t xml:space="preserve"> irregular</t>
    </r>
  </si>
  <si>
    <r>
      <t xml:space="preserve">Currently, we make a simplified assumption about future distributed capital gains for withdrawals from the </t>
    </r>
    <r>
      <rPr>
        <b/>
        <sz val="11"/>
        <color theme="1"/>
        <rFont val="Calibri"/>
        <family val="2"/>
        <scheme val="minor"/>
      </rPr>
      <t>9. SavingData</t>
    </r>
  </si>
  <si>
    <t>account that the capital gains will be the same each year. This probably under counts future capital gains for tax purposes.</t>
  </si>
  <si>
    <t xml:space="preserve">    steps needed to fill out that worksheet. Should some of this be moved to an Appendix?</t>
  </si>
  <si>
    <t>V.0.19.2</t>
  </si>
  <si>
    <t>When one spouse dies, the expenses will not be just the remaining spouses expense. Rather it will be a percentage of</t>
  </si>
  <si>
    <t>the (S1+S2) expenses.</t>
  </si>
  <si>
    <t>Remaining Spouse yearly expenses specified as percentage=</t>
  </si>
  <si>
    <t xml:space="preserve"> as yrly expense=</t>
  </si>
  <si>
    <t xml:space="preserve">   or =</t>
  </si>
  <si>
    <t xml:space="preserve"> as yearly exp.=</t>
  </si>
  <si>
    <t xml:space="preserve">   Total (S1+S2) yearly expenses =</t>
  </si>
  <si>
    <t xml:space="preserve">  (just total of S1+S2)</t>
  </si>
  <si>
    <t>When one spouse dies, the deductions will not be just the remaining spouses deductions Rather it will be a percentage of</t>
  </si>
  <si>
    <t>the (S1+S2) deductions</t>
  </si>
  <si>
    <t>Remaining Spouse yearly deductions specified as percentage=</t>
  </si>
  <si>
    <t xml:space="preserve"> yrly exp=</t>
  </si>
  <si>
    <t xml:space="preserve"> yrly ded=</t>
  </si>
  <si>
    <t>S2 yearly scheduled expenses =</t>
  </si>
  <si>
    <r>
      <t xml:space="preserve"> - - - &gt; DO </t>
    </r>
    <r>
      <rPr>
        <b/>
        <u/>
        <sz val="14"/>
        <color rgb="FFFF0000"/>
        <rFont val="Calibri"/>
        <family val="2"/>
        <scheme val="minor"/>
      </rPr>
      <t>NOT</t>
    </r>
    <r>
      <rPr>
        <b/>
        <sz val="14"/>
        <color rgb="FFFF0000"/>
        <rFont val="Calibri"/>
        <family val="2"/>
        <scheme val="minor"/>
      </rPr>
      <t xml:space="preserve"> CHANGE ANY VALUES in the following tables in this worksheet. &lt; - - - </t>
    </r>
  </si>
  <si>
    <t>Setting up the spreadsheet</t>
  </si>
  <si>
    <t>Types of personal data required</t>
  </si>
  <si>
    <t>Experimenting with other configurations after you have entered your personal data</t>
  </si>
  <si>
    <t>(a) Validity checks are made for IRA, Roth, Savings and Cash-flow accounts to test if any of them run out of money. This</t>
  </si>
  <si>
    <r>
      <t xml:space="preserve">      is indicated with a </t>
    </r>
    <r>
      <rPr>
        <b/>
        <sz val="11"/>
        <color indexed="12"/>
        <rFont val="Calibri"/>
        <family val="2"/>
      </rPr>
      <t>PROBLEM</t>
    </r>
    <r>
      <rPr>
        <sz val="11"/>
        <color indexed="8"/>
        <rFont val="Calibri"/>
        <family val="2"/>
      </rPr>
      <t xml:space="preserve"> warning on the </t>
    </r>
    <r>
      <rPr>
        <b/>
        <sz val="11"/>
        <rFont val="Calibri"/>
        <family val="2"/>
      </rPr>
      <t>R. Result</t>
    </r>
    <r>
      <rPr>
        <b/>
        <sz val="12"/>
        <rFont val="Calibri"/>
        <family val="2"/>
      </rPr>
      <t>s</t>
    </r>
    <r>
      <rPr>
        <sz val="11"/>
        <color indexed="8"/>
        <rFont val="Calibri"/>
        <family val="2"/>
      </rPr>
      <t xml:space="preserve"> worksheet  </t>
    </r>
    <r>
      <rPr>
        <b/>
        <sz val="11"/>
        <color indexed="8"/>
        <rFont val="Calibri"/>
        <family val="2"/>
      </rPr>
      <t>R.8.2</t>
    </r>
    <r>
      <rPr>
        <sz val="11"/>
        <color indexed="8"/>
        <rFont val="Calibri"/>
        <family val="2"/>
      </rPr>
      <t>. The error will remain until you correct it.</t>
    </r>
  </si>
  <si>
    <r>
      <t xml:space="preserve">     If the ages entered are inconsistent, it will show an </t>
    </r>
    <r>
      <rPr>
        <b/>
        <sz val="11"/>
        <color indexed="12"/>
        <rFont val="Calibri"/>
        <family val="2"/>
      </rPr>
      <t>ERROR xxx</t>
    </r>
    <r>
      <rPr>
        <sz val="11"/>
        <color indexed="8"/>
        <rFont val="Calibri"/>
        <family val="2"/>
      </rPr>
      <t xml:space="preserve"> message until you fix it. For entries that are not</t>
    </r>
  </si>
  <si>
    <t>The first worksheets you should use to enter your data</t>
  </si>
  <si>
    <t>Types of Savings</t>
  </si>
  <si>
    <t>Types of Expenses</t>
  </si>
  <si>
    <t>How excess or insufficient cash is handled at the end of each year</t>
  </si>
  <si>
    <t>Use scheduled Savings Contributions and Withdrawals?=</t>
  </si>
  <si>
    <r>
      <rPr>
        <b/>
        <sz val="11"/>
        <color theme="1"/>
        <rFont val="Calibri"/>
        <family val="2"/>
        <scheme val="minor"/>
      </rPr>
      <t>8. RothData, 9. SavingsData, 10. ExpensesData</t>
    </r>
    <r>
      <rPr>
        <sz val="11"/>
        <color theme="1"/>
        <rFont val="Calibri"/>
        <family val="2"/>
        <scheme val="minor"/>
      </rPr>
      <t>) worksheets and suggested using file version "-noIrregularData-".</t>
    </r>
  </si>
  <si>
    <r>
      <t xml:space="preserve">Added subheadings in </t>
    </r>
    <r>
      <rPr>
        <b/>
        <sz val="11"/>
        <color indexed="8"/>
        <rFont val="Calibri"/>
        <family val="2"/>
      </rPr>
      <t>Introduction,</t>
    </r>
    <r>
      <rPr>
        <sz val="11"/>
        <color indexed="8"/>
        <rFont val="Calibri"/>
        <family val="2"/>
      </rPr>
      <t xml:space="preserve"> and added paragraph about removing "irregular" data in (</t>
    </r>
    <r>
      <rPr>
        <b/>
        <sz val="11"/>
        <color indexed="8"/>
        <rFont val="Calibri"/>
        <family val="2"/>
      </rPr>
      <t>7. IRAdata</t>
    </r>
    <r>
      <rPr>
        <sz val="11"/>
        <color indexed="8"/>
        <rFont val="Calibri"/>
        <family val="2"/>
      </rPr>
      <t xml:space="preserve">, </t>
    </r>
  </si>
  <si>
    <t>Also added note in the worksheets with irregular data to the same effect.</t>
  </si>
  <si>
    <t>Age S2 ends annuity 2 income=</t>
  </si>
  <si>
    <r>
      <t xml:space="preserve">Fixed </t>
    </r>
    <r>
      <rPr>
        <b/>
        <sz val="11"/>
        <color theme="1"/>
        <rFont val="Calibri"/>
        <family val="2"/>
        <scheme val="minor"/>
      </rPr>
      <t xml:space="preserve">3. Pension, 4. SocSecData, 5.WorkData, 6. AnnuityData </t>
    </r>
    <r>
      <rPr>
        <sz val="11"/>
        <color theme="1"/>
        <rFont val="Calibri"/>
        <family val="2"/>
        <scheme val="minor"/>
      </rPr>
      <t>computation to handle death of S1 or S2 better.</t>
    </r>
  </si>
  <si>
    <r>
      <t xml:space="preserve">B.1.1 Estimate Present Value given </t>
    </r>
    <r>
      <rPr>
        <b/>
        <u/>
        <sz val="14"/>
        <color indexed="8"/>
        <rFont val="Calibri"/>
        <family val="2"/>
      </rPr>
      <t>Future Value</t>
    </r>
  </si>
  <si>
    <r>
      <t>B.1.2 Estimate Future Value given</t>
    </r>
    <r>
      <rPr>
        <b/>
        <u/>
        <sz val="14"/>
        <color indexed="8"/>
        <rFont val="Calibri"/>
        <family val="2"/>
      </rPr>
      <t xml:space="preserve"> Present Value</t>
    </r>
  </si>
  <si>
    <t>B.1 Calculators for computing Present or Future Value</t>
  </si>
  <si>
    <t xml:space="preserve">      B.1.1 Estimate Present Value given Future Value</t>
  </si>
  <si>
    <t xml:space="preserve">      B.1.2 Estimate Future Value given Present Value</t>
  </si>
  <si>
    <t xml:space="preserve">B.1 Calculators for computing Present or Future Value </t>
  </si>
  <si>
    <t xml:space="preserve"> These two calculators can be used for estimating either FV given PV or PV given FV. They can be useful for </t>
  </si>
  <si>
    <r>
      <t>estimating PV values for entering into the Irregular Withdrawals entries table</t>
    </r>
    <r>
      <rPr>
        <b/>
        <sz val="11"/>
        <color indexed="8"/>
        <rFont val="Calibri"/>
        <family val="2"/>
      </rPr>
      <t xml:space="preserve"> 10.2 .1.</t>
    </r>
    <r>
      <rPr>
        <sz val="11"/>
        <color theme="1"/>
        <rFont val="Calibri"/>
        <family val="2"/>
        <scheme val="minor"/>
      </rPr>
      <t xml:space="preserve"> </t>
    </r>
  </si>
  <si>
    <t>Appendix B. Extra calculators (not tied to rest of spreadsheet)</t>
  </si>
  <si>
    <t>Extra calculators</t>
  </si>
  <si>
    <t>Extra calculators (not tied in with the rest of the spreadsheet)</t>
  </si>
  <si>
    <t>Interest Rinvestment =</t>
  </si>
  <si>
    <t>Year</t>
  </si>
  <si>
    <t xml:space="preserve"> (specify the average interest rate you might expect)</t>
  </si>
  <si>
    <t>Amount invested =</t>
  </si>
  <si>
    <t xml:space="preserve"> (amount to be invested)</t>
  </si>
  <si>
    <t>Compounded R-investment</t>
  </si>
  <si>
    <t>Inflation Rinflation (CPI) =</t>
  </si>
  <si>
    <t xml:space="preserve"> (expected inflation value. I.e. the Consumer Price Index CPI).</t>
  </si>
  <si>
    <t>Compounded R-inflation (CPI)</t>
  </si>
  <si>
    <t>http://www.forbes.com/sites/kellyphillipserb/2015/09/16/2016-tax-rates-brackets-exemption-amounts-may-result-in-lower-bills/</t>
  </si>
  <si>
    <t>Amount withdrawn each year=</t>
  </si>
  <si>
    <t xml:space="preserve"> (amount to be withdrawn each year)</t>
  </si>
  <si>
    <t>Real (CPI) adjusted withdrawal</t>
  </si>
  <si>
    <t>Value of investment (no withdrawals)</t>
  </si>
  <si>
    <t>Net value of investments after yearly withdrawals</t>
  </si>
  <si>
    <t>Real (after inflation) returns</t>
  </si>
  <si>
    <t>It also computes the remainder Net Value of the investment after taking out inflation adjusted withdrawals.</t>
  </si>
  <si>
    <t>It can show when the investment runs out of money.</t>
  </si>
  <si>
    <r>
      <t xml:space="preserve">Moved extra calculations from </t>
    </r>
    <r>
      <rPr>
        <b/>
        <sz val="11"/>
        <color theme="1"/>
        <rFont val="Calibri"/>
        <family val="2"/>
        <scheme val="minor"/>
      </rPr>
      <t>10. Expenses 10.4.1</t>
    </r>
    <r>
      <rPr>
        <sz val="11"/>
        <color theme="1"/>
        <rFont val="Calibri"/>
        <family val="2"/>
        <scheme val="minor"/>
      </rPr>
      <t xml:space="preserve"> to new </t>
    </r>
    <r>
      <rPr>
        <b/>
        <sz val="11"/>
        <color theme="1"/>
        <rFont val="Calibri"/>
        <family val="2"/>
        <scheme val="minor"/>
      </rPr>
      <t xml:space="preserve">Appendix B. </t>
    </r>
    <r>
      <rPr>
        <sz val="11"/>
        <color theme="1"/>
        <rFont val="Calibri"/>
        <family val="2"/>
        <scheme val="minor"/>
      </rPr>
      <t>Extra  Calculators.</t>
    </r>
  </si>
  <si>
    <t>V.0.19.3</t>
  </si>
  <si>
    <t xml:space="preserve">  (67 is current claiming age)</t>
  </si>
  <si>
    <r>
      <t xml:space="preserve">  (if not sure, use </t>
    </r>
    <r>
      <rPr>
        <i/>
        <sz val="11"/>
        <color theme="1"/>
        <rFont val="Calibri"/>
        <family val="2"/>
        <scheme val="minor"/>
      </rPr>
      <t>IRS Standard Deduction</t>
    </r>
    <r>
      <rPr>
        <sz val="11"/>
        <color theme="1"/>
        <rFont val="Calibri"/>
        <family val="2"/>
        <scheme val="minor"/>
      </rPr>
      <t>)</t>
    </r>
  </si>
  <si>
    <r>
      <t xml:space="preserve">  (</t>
    </r>
    <r>
      <rPr>
        <i/>
        <sz val="11"/>
        <color indexed="8"/>
        <rFont val="Calibri"/>
        <family val="2"/>
      </rPr>
      <t>2.00% is roughly what it is now and the current FED target)</t>
    </r>
  </si>
  <si>
    <r>
      <t>Values  (</t>
    </r>
    <r>
      <rPr>
        <b/>
        <i/>
        <sz val="11"/>
        <color indexed="8"/>
        <rFont val="Calibri"/>
        <family val="2"/>
      </rPr>
      <t>5%, 2%</t>
    </r>
    <r>
      <rPr>
        <i/>
        <sz val="11"/>
        <color indexed="8"/>
        <rFont val="Calibri"/>
        <family val="2"/>
      </rPr>
      <t>)  are reasonable, but a bit conservative. If you have other values, enter them.</t>
    </r>
  </si>
  <si>
    <t>Note: ROR is the "Rate Of Return".</t>
  </si>
  <si>
    <t>(See the tax rules for your state.)</t>
  </si>
  <si>
    <t>S2 Pension value of the annuity contract= =</t>
  </si>
  <si>
    <t>S2 Pension Expected rate of return =</t>
  </si>
  <si>
    <t>Where:</t>
  </si>
  <si>
    <t>Tax(y) = (Income(y) + Wira(y) + Rstcg(y))*TaxMarginal(y)  +  (Rltcg(y) + If(ExcessCash(y-1)&lt;0))*TaxLtcg</t>
  </si>
  <si>
    <t>ExcessCash(y-1) is the shortfall in the cash account in the previous year y-1 which assumes long-term</t>
  </si>
  <si>
    <t xml:space="preserve">              capital gains from savings will be realised to raise cash for that shortfall.</t>
  </si>
  <si>
    <t>Tax(y) is the tax in year y,</t>
  </si>
  <si>
    <t>Income(y) is the income from (pension,  Soc. Sec., Work and/or annuities) in year y,</t>
  </si>
  <si>
    <t>Wira(y) is the withdrawals from Taxable IRAs (including 401(k)s, etc.) in year y,</t>
  </si>
  <si>
    <t>Rstcg(y) is the short-term capital gains from savings in year y,</t>
  </si>
  <si>
    <t>TaxMarginal(y) is the marginal federal tax rate (plus possibly state marginal tax rate if specified) for year y,</t>
  </si>
  <si>
    <t>Rltcg(y) is the long-term capital gains from savings in year y,</t>
  </si>
  <si>
    <t>NOTE: The following Cap-Gains and sur-taxes may change each year and so can be update here. It is currently set</t>
  </si>
  <si>
    <t>for the 2015 tax schedule.</t>
  </si>
  <si>
    <t>Note: the following is the percent each spouse pays. S1+S2 must be 100%.</t>
  </si>
  <si>
    <t xml:space="preserve">   (3) The LTCG tax on negative Cash(y) shortfalls is added to Savings(y+1). If this value is negative, it is  equivalent to</t>
  </si>
  <si>
    <t>(Note: Soc. Sec. income is Federally taxed if AGI &gt; $25K single filter, $32K if MFJ.)</t>
  </si>
  <si>
    <t xml:space="preserve">   estimated benefits statement from Social Security.)</t>
  </si>
  <si>
    <t xml:space="preserve"> Edit the scheduled data in the corresponding worksheets. </t>
  </si>
  <si>
    <r>
      <t xml:space="preserve">Note: </t>
    </r>
    <r>
      <rPr>
        <b/>
        <i/>
        <sz val="9"/>
        <color indexed="8"/>
        <rFont val="Arial"/>
        <family val="2"/>
      </rPr>
      <t>P</t>
    </r>
    <r>
      <rPr>
        <i/>
        <sz val="9"/>
        <color indexed="8"/>
        <rFont val="Arial"/>
        <family val="2"/>
      </rPr>
      <t xml:space="preserve"> is percentage, </t>
    </r>
    <r>
      <rPr>
        <b/>
        <i/>
        <sz val="9"/>
        <color indexed="8"/>
        <rFont val="Arial"/>
        <family val="2"/>
      </rPr>
      <t>R</t>
    </r>
    <r>
      <rPr>
        <i/>
        <sz val="9"/>
        <color indexed="8"/>
        <rFont val="Arial"/>
        <family val="2"/>
      </rPr>
      <t xml:space="preserve"> is estimated rate of return</t>
    </r>
  </si>
  <si>
    <r>
      <t xml:space="preserve">(Note: add up all scheduled expenses, but NOT including taxes. That will be computed separately in </t>
    </r>
    <r>
      <rPr>
        <b/>
        <i/>
        <sz val="11"/>
        <color indexed="8"/>
        <rFont val="Arial"/>
        <family val="2"/>
      </rPr>
      <t>2. TaxData.)</t>
    </r>
  </si>
  <si>
    <r>
      <t xml:space="preserve">accounts. You can disable contributions and withdrawals per account on the </t>
    </r>
    <r>
      <rPr>
        <b/>
        <sz val="11"/>
        <color indexed="8"/>
        <rFont val="Calibri"/>
        <family val="2"/>
      </rPr>
      <t>S. Setup</t>
    </r>
    <r>
      <rPr>
        <sz val="11"/>
        <color indexed="8"/>
        <rFont val="Calibri"/>
        <family val="2"/>
      </rPr>
      <t xml:space="preserve"> worksheet sections </t>
    </r>
    <r>
      <rPr>
        <b/>
        <sz val="11"/>
        <color indexed="8"/>
        <rFont val="Calibri"/>
        <family val="2"/>
      </rPr>
      <t>S.2</t>
    </r>
    <r>
      <rPr>
        <sz val="11"/>
        <color indexed="8"/>
        <rFont val="Calibri"/>
        <family val="2"/>
      </rPr>
      <t xml:space="preserve"> and </t>
    </r>
    <r>
      <rPr>
        <b/>
        <sz val="11"/>
        <color indexed="8"/>
        <rFont val="Calibri"/>
        <family val="2"/>
      </rPr>
      <t>S.3</t>
    </r>
    <r>
      <rPr>
        <sz val="11"/>
        <color indexed="8"/>
        <rFont val="Calibri"/>
        <family val="2"/>
      </rPr>
      <t>.</t>
    </r>
  </si>
  <si>
    <r>
      <t xml:space="preserve">that happens so you can withdraw less to avoid this situation.  These checks are summarized in sections </t>
    </r>
    <r>
      <rPr>
        <b/>
        <sz val="11"/>
        <color indexed="8"/>
        <rFont val="Calibri"/>
        <family val="2"/>
      </rPr>
      <t>R.8.1</t>
    </r>
    <r>
      <rPr>
        <sz val="11"/>
        <color theme="1"/>
        <rFont val="Calibri"/>
        <family val="2"/>
        <scheme val="minor"/>
      </rPr>
      <t xml:space="preserve"> and</t>
    </r>
  </si>
  <si>
    <r>
      <t xml:space="preserve">     </t>
    </r>
    <r>
      <rPr>
        <b/>
        <sz val="11"/>
        <color indexed="8"/>
        <rFont val="Calibri"/>
        <family val="2"/>
      </rPr>
      <t>R. Results</t>
    </r>
    <r>
      <rPr>
        <sz val="11"/>
        <color indexed="8"/>
        <rFont val="Calibri"/>
        <family val="2"/>
      </rPr>
      <t xml:space="preserve"> section </t>
    </r>
    <r>
      <rPr>
        <b/>
        <sz val="11"/>
        <color indexed="8"/>
        <rFont val="Calibri"/>
        <family val="2"/>
      </rPr>
      <t>R.8.1</t>
    </r>
    <r>
      <rPr>
        <sz val="11"/>
        <color indexed="8"/>
        <rFont val="Calibri"/>
        <family val="2"/>
      </rPr>
      <t>.</t>
    </r>
  </si>
  <si>
    <r>
      <t xml:space="preserve">Added discussion in the </t>
    </r>
    <r>
      <rPr>
        <b/>
        <sz val="11"/>
        <color theme="1"/>
        <rFont val="Calibri"/>
        <family val="2"/>
        <scheme val="minor"/>
      </rPr>
      <t>Introduction</t>
    </r>
    <r>
      <rPr>
        <sz val="11"/>
        <color theme="1"/>
        <rFont val="Calibri"/>
        <family val="2"/>
        <scheme val="minor"/>
      </rPr>
      <t xml:space="preserve"> section </t>
    </r>
    <r>
      <rPr>
        <b/>
        <sz val="11"/>
        <color theme="1"/>
        <rFont val="Calibri"/>
        <family val="2"/>
        <scheme val="minor"/>
      </rPr>
      <t>1.3</t>
    </r>
    <r>
      <rPr>
        <sz val="11"/>
        <color theme="1"/>
        <rFont val="Calibri"/>
        <family val="2"/>
        <scheme val="minor"/>
      </rPr>
      <t xml:space="preserve"> on</t>
    </r>
  </si>
  <si>
    <t xml:space="preserve">       "The spreadsheet files distributions with the name, version number, and demo data as part of the file"</t>
  </si>
  <si>
    <r>
      <t xml:space="preserve">Added additional conditional code to deal with  with no data (i.e., </t>
    </r>
    <r>
      <rPr>
        <b/>
        <sz val="11"/>
        <color rgb="FFFF6600"/>
        <rFont val="Calibri"/>
        <family val="2"/>
        <scheme val="minor"/>
      </rPr>
      <t>$0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rgb="FFFF6600"/>
        <rFont val="Calibri"/>
        <family val="2"/>
        <scheme val="minor"/>
      </rPr>
      <t>0.0%</t>
    </r>
    <r>
      <rPr>
        <sz val="11"/>
        <color theme="1"/>
        <rFont val="Calibri"/>
        <family val="2"/>
        <scheme val="minor"/>
      </rPr>
      <t xml:space="preserve">) for user specified values. </t>
    </r>
  </si>
  <si>
    <t>V.0.20.1</t>
  </si>
  <si>
    <t>Federal income tax brackets for 2015 (for year 2015 previous spreadsheets)</t>
  </si>
  <si>
    <t>Federal income tax brackets for 2016 for year 2015 current spreadsheets)</t>
  </si>
  <si>
    <t>Publication 590-A on Contributions to IRAs</t>
  </si>
  <si>
    <t>Publication 590-B on Distributions from IRAs</t>
  </si>
  <si>
    <t>https://www.irs.gov/pub/irs-pdf/p590a.pdf</t>
  </si>
  <si>
    <t>https://www.irs.gov/uac/About-Publication-590B</t>
  </si>
  <si>
    <t>Publication 590-B on Distributions from IRAs (talks about revisions)</t>
  </si>
  <si>
    <t>IRS FAQ on IRA RMD  rules</t>
  </si>
  <si>
    <t xml:space="preserve">The 2016 Marginal tax rates </t>
  </si>
  <si>
    <t>Treasury changes rates or modifies numbers of tax brackets.</t>
  </si>
  <si>
    <r>
      <t xml:space="preserve">Note: Only update the following </t>
    </r>
    <r>
      <rPr>
        <b/>
        <sz val="11"/>
        <color theme="9" tint="-0.249977111117893"/>
        <rFont val="Calibri"/>
        <family val="2"/>
      </rPr>
      <t>ORANGE</t>
    </r>
    <r>
      <rPr>
        <sz val="11"/>
        <color indexed="8"/>
        <rFont val="Calibri"/>
        <family val="2"/>
      </rPr>
      <t xml:space="preserve"> entries for future years when</t>
    </r>
  </si>
  <si>
    <t>Enter the tax table to be used (enter MFJ, or SF):</t>
  </si>
  <si>
    <r>
      <rPr>
        <b/>
        <u/>
        <sz val="12"/>
        <color theme="9" tint="-0.249977111117893"/>
        <rFont val="Calibri"/>
        <family val="2"/>
      </rPr>
      <t>ORANGE</t>
    </r>
    <r>
      <rPr>
        <b/>
        <sz val="12"/>
        <color indexed="8"/>
        <rFont val="Calibri"/>
        <family val="2"/>
      </rPr>
      <t xml:space="preserve"> cells are normally not changed unless the IRS changes various tax rates (do not edit).</t>
    </r>
  </si>
  <si>
    <r>
      <rPr>
        <b/>
        <u/>
        <sz val="12"/>
        <color indexed="8"/>
        <rFont val="Calibri"/>
        <family val="2"/>
      </rPr>
      <t>ONLY</t>
    </r>
    <r>
      <rPr>
        <b/>
        <sz val="12"/>
        <color indexed="8"/>
        <rFont val="Calibri"/>
        <family val="2"/>
      </rPr>
      <t xml:space="preserve"> enter or edit data in </t>
    </r>
    <r>
      <rPr>
        <b/>
        <u/>
        <sz val="12"/>
        <color indexed="10"/>
        <rFont val="Calibri"/>
        <family val="2"/>
      </rPr>
      <t>RED</t>
    </r>
    <r>
      <rPr>
        <b/>
        <sz val="12"/>
        <color indexed="8"/>
        <rFont val="Calibri"/>
        <family val="2"/>
      </rPr>
      <t xml:space="preserve"> cells.</t>
    </r>
  </si>
  <si>
    <t xml:space="preserve">  (you could use this estimate </t>
  </si>
  <si>
    <t xml:space="preserve">    in 9.1 above)</t>
  </si>
  <si>
    <t xml:space="preserve">    Estimated (probably 1.5% to 4% over next decade)</t>
  </si>
  <si>
    <t xml:space="preserve">    Estimated (probably 4% to 9% over next decade)</t>
  </si>
  <si>
    <t>Spouse S1 age deceases=</t>
  </si>
  <si>
    <t>Spouse S2 age deceases=</t>
  </si>
  <si>
    <t>The Federal Reserve's target has been about 2.0%, but it has recently been about 1.5%.</t>
  </si>
  <si>
    <t xml:space="preserve">   Estimated (probably 1.5% to 4% over next decade)</t>
  </si>
  <si>
    <t xml:space="preserve">   Estimated (probably 4% to 9% over next decade)</t>
  </si>
  <si>
    <t>(Note the end age must be greater or equal to start age.)</t>
  </si>
  <si>
    <r>
      <t xml:space="preserve">You </t>
    </r>
    <r>
      <rPr>
        <u/>
        <sz val="11"/>
        <color indexed="8"/>
        <rFont val="Calibri"/>
        <family val="2"/>
      </rPr>
      <t>must</t>
    </r>
    <r>
      <rPr>
        <sz val="11"/>
        <color indexed="8"/>
        <rFont val="Calibri"/>
        <family val="2"/>
      </rPr>
      <t xml:space="preserve"> edit the </t>
    </r>
    <r>
      <rPr>
        <b/>
        <sz val="12"/>
        <color indexed="8"/>
        <rFont val="Calibri"/>
        <family val="2"/>
      </rPr>
      <t>TaxData</t>
    </r>
    <r>
      <rPr>
        <sz val="11"/>
        <color indexed="8"/>
        <rFont val="Calibri"/>
        <family val="2"/>
      </rPr>
      <t xml:space="preserve"> worksheet which is:</t>
    </r>
  </si>
  <si>
    <r>
      <t xml:space="preserve">You </t>
    </r>
    <r>
      <rPr>
        <u/>
        <sz val="11"/>
        <color indexed="8"/>
        <rFont val="Calibri"/>
        <family val="2"/>
      </rPr>
      <t>must</t>
    </r>
    <r>
      <rPr>
        <sz val="11"/>
        <color indexed="8"/>
        <rFont val="Calibri"/>
        <family val="2"/>
      </rPr>
      <t xml:space="preserve"> edit the </t>
    </r>
    <r>
      <rPr>
        <b/>
        <sz val="12"/>
        <color indexed="8"/>
        <rFont val="Calibri"/>
        <family val="2"/>
      </rPr>
      <t>AgeData</t>
    </r>
    <r>
      <rPr>
        <sz val="11"/>
        <color indexed="8"/>
        <rFont val="Calibri"/>
        <family val="2"/>
      </rPr>
      <t xml:space="preserve"> worksheet which is:</t>
    </r>
  </si>
  <si>
    <t xml:space="preserve">  if Trust Fund runs out of money in</t>
  </si>
  <si>
    <t>http://time.com/money/3967821/social-security-trust-fund-2034/</t>
  </si>
  <si>
    <t>(7-22-2015 report)</t>
  </si>
  <si>
    <r>
      <t xml:space="preserve">   (The following entries are </t>
    </r>
    <r>
      <rPr>
        <b/>
        <i/>
        <u/>
        <sz val="11"/>
        <color indexed="8"/>
        <rFont val="Calibri"/>
        <family val="2"/>
      </rPr>
      <t>not used</t>
    </r>
    <r>
      <rPr>
        <b/>
        <i/>
        <sz val="11"/>
        <color indexed="8"/>
        <rFont val="Calibri"/>
        <family val="2"/>
      </rPr>
      <t xml:space="preserve"> in the spreadsheet at this time.)</t>
    </r>
  </si>
  <si>
    <t>Percent of S1 savings account yearly distributed tax-free=</t>
  </si>
  <si>
    <t>Percent of S2 savings account yearly distributed tax-free=</t>
  </si>
  <si>
    <r>
      <rPr>
        <i/>
        <sz val="11"/>
        <color theme="1"/>
        <rFont val="Calibri"/>
        <family val="2"/>
        <scheme val="minor"/>
      </rPr>
      <t>Money Mag.</t>
    </r>
    <r>
      <rPr>
        <sz val="11"/>
        <color theme="1"/>
        <rFont val="Calibri"/>
        <family val="2"/>
        <scheme val="minor"/>
      </rPr>
      <t>, What Happens If the Social Security Trust Fund Runs Out in 2034?</t>
    </r>
  </si>
  <si>
    <t>This option will probably be added in the future.</t>
  </si>
  <si>
    <t>http://www.forbes.com/sites/baldwin/2014/03/17/rmd-tables-for-iras/</t>
  </si>
  <si>
    <t>Forbes (3-17-14) RMD Tables For IRAs</t>
  </si>
  <si>
    <t>Enter the COLA or rate of return=</t>
  </si>
  <si>
    <r>
      <t xml:space="preserve">(from </t>
    </r>
    <r>
      <rPr>
        <b/>
        <i/>
        <sz val="11"/>
        <rFont val="Calibri"/>
        <family val="2"/>
      </rPr>
      <t>1. AgeData</t>
    </r>
    <r>
      <rPr>
        <i/>
        <sz val="11"/>
        <rFont val="Calibri"/>
        <family val="2"/>
      </rPr>
      <t>)</t>
    </r>
  </si>
  <si>
    <t>This is use estimates future value given an inflation COLA of a ongoing expense, withdrawal or expense.</t>
  </si>
  <si>
    <t>Future value of contribution, withdrawal or expense</t>
  </si>
  <si>
    <t>Enter Rate of Return (ROR)=</t>
  </si>
  <si>
    <t xml:space="preserve">        or investment asset by Rate Of Return</t>
  </si>
  <si>
    <t xml:space="preserve">            NOTE: the following calculators are not tied into the rest of the spreadsheet.</t>
  </si>
  <si>
    <t xml:space="preserve">    Default Inflation COLA =</t>
  </si>
  <si>
    <t xml:space="preserve">    Default (Stock, Bond RORs) =</t>
  </si>
  <si>
    <t>Enter starting depreciating value =</t>
  </si>
  <si>
    <t>Future value of investment asset</t>
  </si>
  <si>
    <t>This static calculator shows the increased value over time of (compounded interest - compounded inflation) .</t>
  </si>
  <si>
    <t>Stock</t>
  </si>
  <si>
    <t>Bond</t>
  </si>
  <si>
    <t>[ ] Keep table headers synchronized w.r.t. comments and/or notes, reference another table/worksheet  if</t>
  </si>
  <si>
    <t xml:space="preserve">      This is difficult since we are not using Excel VBA since it is not available in other spreadsheet programs such as</t>
  </si>
  <si>
    <t>http://www.k2e.com/tech-update/tips/155-protecting-specific-cells-in-an-excel-worksheet</t>
  </si>
  <si>
    <t>File:  SIPT.xls</t>
  </si>
  <si>
    <t xml:space="preserve">  (e.g., 50% or other)</t>
  </si>
  <si>
    <t xml:space="preserve"> (for states with income taxes)</t>
  </si>
  <si>
    <t xml:space="preserve"> (e.g., 50% or other)</t>
  </si>
  <si>
    <t xml:space="preserve">  (from deceased  age in AgeData)</t>
  </si>
  <si>
    <t>11-8-2015a</t>
  </si>
  <si>
    <t>SIPT-Demo-V.0.19.2-11-8-2015a.xlsx</t>
  </si>
  <si>
    <t>V.0.20.2</t>
  </si>
  <si>
    <t xml:space="preserve">income minus specific deductions. Taxable income is adjusted gross income minus allowances for </t>
  </si>
  <si>
    <t>personal exemptions and itemized deductions. For most individual tax purposes, AGI is more relevant</t>
  </si>
  <si>
    <t>than gross income. (From Wikipedia)</t>
  </si>
  <si>
    <r>
      <t xml:space="preserve">Various Bug fixes. Fixed bug in </t>
    </r>
    <r>
      <rPr>
        <b/>
        <sz val="11"/>
        <color theme="1"/>
        <rFont val="Calibri"/>
        <family val="2"/>
        <scheme val="minor"/>
      </rPr>
      <t xml:space="preserve">3. PensionData </t>
    </r>
    <r>
      <rPr>
        <sz val="11"/>
        <color theme="1"/>
        <rFont val="Calibri"/>
        <family val="2"/>
        <scheme val="minor"/>
      </rPr>
      <t xml:space="preserve">where the surviving spouse inherits a percentage of deceased </t>
    </r>
  </si>
  <si>
    <t xml:space="preserve">  S1+s2 total yearly scheduled expenses=</t>
  </si>
  <si>
    <r>
      <t xml:space="preserve">   (set in </t>
    </r>
    <r>
      <rPr>
        <b/>
        <i/>
        <sz val="9"/>
        <color indexed="8"/>
        <rFont val="Calibri"/>
        <family val="2"/>
      </rPr>
      <t>10. ExpensesData 10.1</t>
    </r>
    <r>
      <rPr>
        <i/>
        <sz val="9"/>
        <color indexed="8"/>
        <rFont val="Calibri"/>
        <family val="2"/>
      </rPr>
      <t>)</t>
    </r>
  </si>
  <si>
    <t xml:space="preserve">Long Term Capital Gains (LTCG) rate for AGI UNDER $425K/$450K= </t>
  </si>
  <si>
    <t>Long Term Capital Gains (LTCG) rate for AGI OVER $425K/$450K=</t>
  </si>
  <si>
    <t>Surviving  Spouse yearly deductions specified as % S1+S2 deductions=</t>
  </si>
  <si>
    <t>or, as yearly deductions=</t>
  </si>
  <si>
    <t>Note: this is applied to all AGI (Adjusted Gross Income). Could estimate with  state marginal tax rate.</t>
  </si>
  <si>
    <t>Enter the filing status using the pull-down selector</t>
  </si>
  <si>
    <t>spouse's pension. Clarified some of the language.</t>
  </si>
  <si>
    <t>http://www.aaii.com/journal/article/creating-and-following-a-real-financial-plan</t>
  </si>
  <si>
    <t>AAII, Creating and Following a Real Financial Plan by Carl Richards (2015)</t>
  </si>
  <si>
    <t>V.0.20.3</t>
  </si>
  <si>
    <t xml:space="preserve">Added ability to specify fixed (WF, CF) non-COLA expenses, and Savings contributions &amp; withdrawals such as a </t>
  </si>
  <si>
    <t>E</t>
  </si>
  <si>
    <t>S1 Event Type (E or FE)</t>
  </si>
  <si>
    <t>S2 Event Type (E or FE)</t>
  </si>
  <si>
    <t>S1 Event Type (C, W, FC, FW or U)</t>
  </si>
  <si>
    <t>S2 Event Type (C, W, FC, FW or U)</t>
  </si>
  <si>
    <r>
      <t>For entries not being used, set the Event Type to "</t>
    </r>
    <r>
      <rPr>
        <b/>
        <sz val="11"/>
        <color rgb="FFFF0000"/>
        <rFont val="Calibri"/>
        <family val="2"/>
      </rPr>
      <t>U</t>
    </r>
    <r>
      <rPr>
        <sz val="11"/>
        <color indexed="8"/>
        <rFont val="Calibri"/>
        <family val="2"/>
      </rPr>
      <t>". For Contributions set it to "</t>
    </r>
    <r>
      <rPr>
        <b/>
        <sz val="11"/>
        <color rgb="FFFF0000"/>
        <rFont val="Calibri"/>
        <family val="2"/>
      </rPr>
      <t>C</t>
    </r>
    <r>
      <rPr>
        <sz val="11"/>
        <color indexed="8"/>
        <rFont val="Calibri"/>
        <family val="2"/>
      </rPr>
      <t xml:space="preserve">", for Withdrawals </t>
    </r>
  </si>
  <si>
    <r>
      <t>use "</t>
    </r>
    <r>
      <rPr>
        <b/>
        <sz val="11"/>
        <color rgb="FFFF0000"/>
        <rFont val="Calibri"/>
        <family val="2"/>
      </rPr>
      <t>FW</t>
    </r>
    <r>
      <rPr>
        <sz val="11"/>
        <color indexed="8"/>
        <rFont val="Calibri"/>
        <family val="2"/>
      </rPr>
      <t>". You can also clear an event by setting  (age,reason,amount)  values to (</t>
    </r>
    <r>
      <rPr>
        <b/>
        <sz val="11"/>
        <color rgb="FFFF0000"/>
        <rFont val="Calibri"/>
        <family val="2"/>
      </rPr>
      <t>0,&lt;blank&gt;,$0</t>
    </r>
    <r>
      <rPr>
        <sz val="11"/>
        <color indexed="8"/>
        <rFont val="Calibri"/>
        <family val="2"/>
      </rPr>
      <t xml:space="preserve">).   </t>
    </r>
  </si>
  <si>
    <r>
      <t>set it to "</t>
    </r>
    <r>
      <rPr>
        <b/>
        <sz val="11"/>
        <color indexed="10"/>
        <rFont val="Calibri"/>
        <family val="2"/>
      </rPr>
      <t>W</t>
    </r>
    <r>
      <rPr>
        <sz val="11"/>
        <color indexed="8"/>
        <rFont val="Calibri"/>
        <family val="2"/>
      </rPr>
      <t>". For fixed-contributions (with no COLA) use "</t>
    </r>
    <r>
      <rPr>
        <b/>
        <sz val="11"/>
        <color rgb="FFFF0000"/>
        <rFont val="Calibri"/>
        <family val="2"/>
      </rPr>
      <t>FC</t>
    </r>
    <r>
      <rPr>
        <sz val="11"/>
        <color indexed="8"/>
        <rFont val="Calibri"/>
        <family val="2"/>
      </rPr>
      <t>". For fixed-withdrawals (with no-COLA)</t>
    </r>
  </si>
  <si>
    <r>
      <t xml:space="preserve">code </t>
    </r>
    <r>
      <rPr>
        <b/>
        <sz val="11"/>
        <color rgb="FFFF0000"/>
        <rFont val="Calibri"/>
        <family val="2"/>
      </rPr>
      <t>FE</t>
    </r>
    <r>
      <rPr>
        <sz val="11"/>
        <color indexed="8"/>
        <rFont val="Calibri"/>
        <family val="2"/>
      </rPr>
      <t xml:space="preserve"> is a fixed-expense that will not increase with time (does not use the COLA).</t>
    </r>
  </si>
  <si>
    <t>Next worksheet (3. WorkData)</t>
  </si>
  <si>
    <t xml:space="preserve">3. Work or Rental income taxed at marginal tax rate: work (less FICA &amp; Medicare withholding) </t>
  </si>
  <si>
    <t>Don't include Federal &amp; State tax deductions, Medicare or 401(k) type withholding's.</t>
  </si>
  <si>
    <t>Next worksheet (4. PensionData)</t>
  </si>
  <si>
    <t>Previous worksheet (3. WorkData)</t>
  </si>
  <si>
    <t>Next worksheet (5.SocSecData)</t>
  </si>
  <si>
    <t>4. Pension income sources data</t>
  </si>
  <si>
    <t>5. Social Security Income, Claiming and Benefits data</t>
  </si>
  <si>
    <t>Previous worksheet (4. PensionData)</t>
  </si>
  <si>
    <t>Next worksheet 6. AnnuityData)</t>
  </si>
  <si>
    <t>Previous worksheet (5. SocSecData)</t>
  </si>
  <si>
    <t xml:space="preserve">3.1 Enter Income (from Work less FICA, Medicare and 401(k) contributions; or Rental </t>
  </si>
  <si>
    <t xml:space="preserve">    3.1 Enter Income (from Work less FICA, Medicare and 401(k) contributions; or Rental Income, etc.)</t>
  </si>
  <si>
    <t xml:space="preserve">      3.2 Total taxable income from work or rentals</t>
  </si>
  <si>
    <t xml:space="preserve">   4.1 Enter  pension benefits for S1 and S2</t>
  </si>
  <si>
    <t>4.1 Enter pension benefits for S1 and S2</t>
  </si>
  <si>
    <t>4.2 Computes S1 and S2 income (either shared or sole)</t>
  </si>
  <si>
    <t>3. WorkData</t>
  </si>
  <si>
    <t>5. SocSecData</t>
  </si>
  <si>
    <t xml:space="preserve">3. Work, EITC, Rental income etc. taxed at marginal tax rate: work (less FICA &amp; Medicare withholding) </t>
  </si>
  <si>
    <t xml:space="preserve">     3.2 Total taxable income from work or rentals</t>
  </si>
  <si>
    <t xml:space="preserve">   5.1 Enter Social Security Income and Claiming data</t>
  </si>
  <si>
    <t xml:space="preserve">      5.1.1 Enter if you already are taking Social Security; then enter your current benefits</t>
  </si>
  <si>
    <r>
      <t xml:space="preserve">      5.1.2 Enter if you are </t>
    </r>
    <r>
      <rPr>
        <u/>
        <sz val="11"/>
        <rFont val="Calibri"/>
        <family val="2"/>
      </rPr>
      <t>older</t>
    </r>
    <r>
      <rPr>
        <sz val="11"/>
        <rFont val="Calibri"/>
        <family val="2"/>
      </rPr>
      <t xml:space="preserve"> than 62 and have not taken Social Security yet</t>
    </r>
  </si>
  <si>
    <r>
      <t xml:space="preserve">      5.1.3 I</t>
    </r>
    <r>
      <rPr>
        <u/>
        <sz val="11"/>
        <rFont val="Calibri"/>
        <family val="2"/>
      </rPr>
      <t>f you are 62 or younger</t>
    </r>
    <r>
      <rPr>
        <sz val="11"/>
        <rFont val="Calibri"/>
        <family val="2"/>
      </rPr>
      <t xml:space="preserve"> enter your monthly benefit at age 62</t>
    </r>
  </si>
  <si>
    <r>
      <t xml:space="preserve">           5.1.3.1 Note over approximated taxes by following % on </t>
    </r>
    <r>
      <rPr>
        <u/>
        <sz val="11"/>
        <color indexed="8"/>
        <rFont val="Calibri"/>
        <family val="2"/>
      </rPr>
      <t>all</t>
    </r>
    <r>
      <rPr>
        <sz val="11"/>
        <color indexed="8"/>
        <rFont val="Calibri"/>
        <family val="2"/>
      </rPr>
      <t xml:space="preserve">  Soc. Sec. benefits</t>
    </r>
  </si>
  <si>
    <t xml:space="preserve">           5.1.3.2 Change in Soc. Sec. payout if Soc. Sec. Trust fund runs out of money.</t>
  </si>
  <si>
    <t xml:space="preserve">       5.1.4 Social Security benefits to use in rest of computations.</t>
  </si>
  <si>
    <t xml:space="preserve">   5.3 Social Security income for S1 and S2 (shared or sole)</t>
  </si>
  <si>
    <t>V.0.21.1</t>
  </si>
  <si>
    <t>4. PensionData</t>
  </si>
  <si>
    <t xml:space="preserve">          3. WorkData, 4. PensionData, 5. SocSecData, 6. AnnuityData, 7. IRAdata, 8. RothData, 9. SavingsData, 10. ExpensesData </t>
  </si>
  <si>
    <t xml:space="preserve">3. WorkData </t>
  </si>
  <si>
    <r>
      <t xml:space="preserve">Just enter the value(s), for S1 and/or S2, in </t>
    </r>
    <r>
      <rPr>
        <b/>
        <sz val="11"/>
        <color theme="1"/>
        <rFont val="Calibri"/>
        <family val="2"/>
        <scheme val="minor"/>
      </rPr>
      <t>5. SocSecData</t>
    </r>
    <r>
      <rPr>
        <sz val="11"/>
        <color theme="1"/>
        <rFont val="Calibri"/>
        <family val="2"/>
        <scheme val="minor"/>
      </rPr>
      <t xml:space="preserve"> Section</t>
    </r>
    <r>
      <rPr>
        <b/>
        <sz val="11"/>
        <color theme="1"/>
        <rFont val="Calibri"/>
        <family val="2"/>
        <scheme val="minor"/>
      </rPr>
      <t xml:space="preserve"> 5.1.1</t>
    </r>
    <r>
      <rPr>
        <sz val="11"/>
        <color theme="1"/>
        <rFont val="Calibri"/>
        <family val="2"/>
        <scheme val="minor"/>
      </rPr>
      <t xml:space="preserve"> and ignore the computation for Section 5.2.</t>
    </r>
  </si>
  <si>
    <r>
      <rPr>
        <b/>
        <sz val="11"/>
        <color indexed="8"/>
        <rFont val="Calibri"/>
        <family val="2"/>
      </rPr>
      <t>5. SocSecData</t>
    </r>
    <r>
      <rPr>
        <sz val="11"/>
        <color indexed="8"/>
        <rFont val="Calibri"/>
        <family val="2"/>
      </rPr>
      <t xml:space="preserve"> section </t>
    </r>
    <r>
      <rPr>
        <b/>
        <sz val="11"/>
        <color indexed="8"/>
        <rFont val="Calibri"/>
        <family val="2"/>
      </rPr>
      <t>5.1</t>
    </r>
    <r>
      <rPr>
        <sz val="11"/>
        <color indexed="8"/>
        <rFont val="Calibri"/>
        <family val="2"/>
      </rPr>
      <t>).</t>
    </r>
  </si>
  <si>
    <r>
      <t xml:space="preserve">Reordered old </t>
    </r>
    <r>
      <rPr>
        <b/>
        <sz val="11"/>
        <color theme="1"/>
        <rFont val="Calibri"/>
        <family val="2"/>
        <scheme val="minor"/>
      </rPr>
      <t>3. Pension, 4. SocSec, 5. Work, 6. annuity</t>
    </r>
    <r>
      <rPr>
        <sz val="11"/>
        <color theme="1"/>
        <rFont val="Calibri"/>
        <family val="2"/>
        <scheme val="minor"/>
      </rPr>
      <t xml:space="preserve"> to </t>
    </r>
    <r>
      <rPr>
        <b/>
        <sz val="11"/>
        <color theme="1"/>
        <rFont val="Calibri"/>
        <family val="2"/>
        <scheme val="minor"/>
      </rPr>
      <t xml:space="preserve">3. Work, 4. Pension, 5. SocSec, 6.Annuity </t>
    </r>
    <r>
      <rPr>
        <sz val="11"/>
        <color theme="1"/>
        <rFont val="Calibri"/>
        <family val="2"/>
        <scheme val="minor"/>
      </rPr>
      <t>worksheets.</t>
    </r>
  </si>
  <si>
    <t xml:space="preserve">   and, as yearly deduction =</t>
  </si>
  <si>
    <r>
      <t xml:space="preserve"> </t>
    </r>
    <r>
      <rPr>
        <i/>
        <sz val="11"/>
        <color theme="1"/>
        <rFont val="Calibri"/>
        <family val="2"/>
        <scheme val="minor"/>
      </rPr>
      <t xml:space="preserve">  (probably more than 50%)</t>
    </r>
  </si>
  <si>
    <t>additions to type codes to handle fixed contributions &amp; withdrawals such as a Mortgage P+I where the COLA</t>
  </si>
  <si>
    <r>
      <t xml:space="preserve">Fixed conditional formula code in </t>
    </r>
    <r>
      <rPr>
        <b/>
        <sz val="11"/>
        <color theme="1"/>
        <rFont val="Calibri"/>
        <family val="2"/>
        <scheme val="minor"/>
      </rPr>
      <t>7.IRAdata, 8. RothData, 9. SavingsData</t>
    </r>
    <r>
      <rPr>
        <sz val="11"/>
        <color theme="1"/>
        <rFont val="Calibri"/>
        <family val="2"/>
        <scheme val="minor"/>
      </rPr>
      <t xml:space="preserve"> to handle the fixed</t>
    </r>
    <r>
      <rPr>
        <sz val="11"/>
        <color rgb="FFFF0000"/>
        <rFont val="Calibri"/>
        <family val="2"/>
        <scheme val="minor"/>
      </rPr>
      <t xml:space="preserve"> </t>
    </r>
    <r>
      <rPr>
        <b/>
        <sz val="11"/>
        <color rgb="FFFF0000"/>
        <rFont val="Calibri"/>
        <family val="2"/>
        <scheme val="minor"/>
      </rPr>
      <t>FC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rgb="FFFF0000"/>
        <rFont val="Calibri"/>
        <family val="2"/>
        <scheme val="minor"/>
      </rPr>
      <t>FW</t>
    </r>
    <r>
      <rPr>
        <sz val="11"/>
        <color rgb="FFFF0000"/>
        <rFont val="Calibri"/>
        <family val="2"/>
        <scheme val="minor"/>
      </rPr>
      <t xml:space="preserve"> </t>
    </r>
  </si>
  <si>
    <r>
      <t xml:space="preserve">does not apply. The other options </t>
    </r>
    <r>
      <rPr>
        <b/>
        <sz val="11"/>
        <color rgb="FFFF0000"/>
        <rFont val="Calibri"/>
        <family val="2"/>
        <scheme val="minor"/>
      </rPr>
      <t>U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rgb="FFFF0000"/>
        <rFont val="Calibri"/>
        <family val="2"/>
        <scheme val="minor"/>
      </rPr>
      <t xml:space="preserve">C </t>
    </r>
    <r>
      <rPr>
        <sz val="11"/>
        <color theme="1"/>
        <rFont val="Calibri"/>
        <family val="2"/>
        <scheme val="minor"/>
      </rPr>
      <t xml:space="preserve">and </t>
    </r>
    <r>
      <rPr>
        <b/>
        <sz val="11"/>
        <color rgb="FFFF0000"/>
        <rFont val="Calibri"/>
        <family val="2"/>
        <scheme val="minor"/>
      </rPr>
      <t>W</t>
    </r>
    <r>
      <rPr>
        <sz val="11"/>
        <color theme="1"/>
        <rFont val="Calibri"/>
        <family val="2"/>
        <scheme val="minor"/>
      </rPr>
      <t xml:space="preserve"> are still used as well.</t>
    </r>
  </si>
  <si>
    <t>Number of years=</t>
  </si>
  <si>
    <t>Yearly Rate of Return=</t>
  </si>
  <si>
    <t>Future Value FV=</t>
  </si>
  <si>
    <t>Present Value PV=</t>
  </si>
  <si>
    <t xml:space="preserve">  (number of periods that it was compounded)</t>
  </si>
  <si>
    <t xml:space="preserve">  (number of periods that it will be compounded)</t>
  </si>
  <si>
    <r>
      <t xml:space="preserve">(4) The Social Security COLA defaults to the CPI in </t>
    </r>
    <r>
      <rPr>
        <b/>
        <sz val="11"/>
        <color indexed="8"/>
        <rFont val="Calibri"/>
        <family val="2"/>
      </rPr>
      <t>1. AgeData</t>
    </r>
    <r>
      <rPr>
        <sz val="11"/>
        <color indexed="8"/>
        <rFont val="Calibri"/>
        <family val="2"/>
      </rPr>
      <t xml:space="preserve"> but can be overridden in </t>
    </r>
    <r>
      <rPr>
        <b/>
        <sz val="11"/>
        <color indexed="8"/>
        <rFont val="Calibri"/>
        <family val="2"/>
      </rPr>
      <t>5. SocSecData</t>
    </r>
    <r>
      <rPr>
        <sz val="11"/>
        <color indexed="8"/>
        <rFont val="Calibri"/>
        <family val="2"/>
      </rPr>
      <t>.</t>
    </r>
  </si>
  <si>
    <r>
      <t>If entries are not being used, set the (</t>
    </r>
    <r>
      <rPr>
        <i/>
        <sz val="11"/>
        <color indexed="8"/>
        <rFont val="Calibri"/>
        <family val="2"/>
      </rPr>
      <t>age,reason,amount</t>
    </r>
    <r>
      <rPr>
        <sz val="11"/>
        <color indexed="8"/>
        <rFont val="Calibri"/>
        <family val="2"/>
      </rPr>
      <t>)  values to (</t>
    </r>
    <r>
      <rPr>
        <b/>
        <i/>
        <sz val="11"/>
        <color rgb="FFFF0000"/>
        <rFont val="Calibri"/>
        <family val="2"/>
      </rPr>
      <t>0,&lt;your reason&gt;,$0</t>
    </r>
    <r>
      <rPr>
        <sz val="11"/>
        <color indexed="8"/>
        <rFont val="Calibri"/>
        <family val="2"/>
      </rPr>
      <t>).</t>
    </r>
  </si>
  <si>
    <r>
      <t xml:space="preserve">For entering your personal data, we recommend using the </t>
    </r>
    <r>
      <rPr>
        <i/>
        <sz val="11"/>
        <color indexed="8"/>
        <rFont val="Calibri"/>
        <family val="2"/>
      </rPr>
      <t>-noDemo-</t>
    </r>
    <r>
      <rPr>
        <sz val="11"/>
        <color indexed="8"/>
        <rFont val="Calibri"/>
        <family val="2"/>
      </rPr>
      <t xml:space="preserve"> or </t>
    </r>
    <r>
      <rPr>
        <i/>
        <sz val="11"/>
        <color indexed="8"/>
        <rFont val="Calibri"/>
        <family val="2"/>
      </rPr>
      <t>-noIrregularDemo-</t>
    </r>
    <r>
      <rPr>
        <sz val="11"/>
        <color indexed="8"/>
        <rFont val="Calibri"/>
        <family val="2"/>
      </rPr>
      <t xml:space="preserve"> file versions of the spreadsheet.</t>
    </r>
  </si>
  <si>
    <t>V.0.21.2</t>
  </si>
  <si>
    <t xml:space="preserve">Clean up comments on how to enter irregular personal data in the worksheets that use it. </t>
  </si>
  <si>
    <t>Note (1) deductions for the same year can be shared , but they should be entered by the ages of S1 and S2.</t>
  </si>
  <si>
    <t>Note (2) The deductions can be entered in out of order for the ages.</t>
  </si>
  <si>
    <r>
      <t xml:space="preserve">                  the </t>
    </r>
    <r>
      <rPr>
        <b/>
        <sz val="11"/>
        <color indexed="10"/>
        <rFont val="Calibri"/>
        <family val="2"/>
      </rPr>
      <t>PV deductions</t>
    </r>
    <r>
      <rPr>
        <sz val="11"/>
        <color theme="1"/>
        <rFont val="Calibri"/>
        <family val="2"/>
        <scheme val="minor"/>
      </rPr>
      <t xml:space="preserve"> to $0 to remove them from the table.</t>
    </r>
  </si>
  <si>
    <r>
      <t xml:space="preserve">Note (4) you can  enable/disable subtracting the unscheduled deductions in the </t>
    </r>
    <r>
      <rPr>
        <b/>
        <sz val="12"/>
        <color indexed="8"/>
        <rFont val="Calibri"/>
        <family val="2"/>
      </rPr>
      <t>Results</t>
    </r>
    <r>
      <rPr>
        <sz val="11"/>
        <color indexed="8"/>
        <rFont val="Calibri"/>
        <family val="2"/>
      </rPr>
      <t xml:space="preserve"> worksheet.</t>
    </r>
  </si>
  <si>
    <r>
      <t xml:space="preserve">For each entry, you must set the </t>
    </r>
    <r>
      <rPr>
        <u/>
        <sz val="11"/>
        <color indexed="8"/>
        <rFont val="Calibri"/>
        <family val="2"/>
      </rPr>
      <t>Event Type</t>
    </r>
    <r>
      <rPr>
        <sz val="11"/>
        <color indexed="8"/>
        <rFont val="Calibri"/>
        <family val="2"/>
      </rPr>
      <t>:</t>
    </r>
    <r>
      <rPr>
        <b/>
        <sz val="11"/>
        <color rgb="FFFF0000"/>
        <rFont val="Calibri"/>
        <family val="2"/>
      </rPr>
      <t xml:space="preserve"> D </t>
    </r>
    <r>
      <rPr>
        <sz val="11"/>
        <color indexed="8"/>
        <rFont val="Calibri"/>
        <family val="2"/>
      </rPr>
      <t>is for an expense that will increase (FV using the COLA), and</t>
    </r>
  </si>
  <si>
    <r>
      <t xml:space="preserve">code </t>
    </r>
    <r>
      <rPr>
        <b/>
        <sz val="11"/>
        <color rgb="FFFF0000"/>
        <rFont val="Calibri"/>
        <family val="2"/>
      </rPr>
      <t>FD</t>
    </r>
    <r>
      <rPr>
        <sz val="11"/>
        <color indexed="8"/>
        <rFont val="Calibri"/>
        <family val="2"/>
      </rPr>
      <t xml:space="preserve"> is a fixed-expense that will not increase with time (does not use the COLA).</t>
    </r>
  </si>
  <si>
    <r>
      <t>Alternatively, delete the current entries and replace them with "</t>
    </r>
    <r>
      <rPr>
        <b/>
        <sz val="11"/>
        <color rgb="FFFF0000"/>
        <rFont val="Calibri"/>
        <family val="2"/>
      </rPr>
      <t>D</t>
    </r>
    <r>
      <rPr>
        <sz val="11"/>
        <color indexed="8"/>
        <rFont val="Calibri"/>
        <family val="2"/>
      </rPr>
      <t xml:space="preserve"> </t>
    </r>
    <r>
      <rPr>
        <b/>
        <sz val="11"/>
        <color rgb="FFFF0000"/>
        <rFont val="Calibri"/>
        <family val="2"/>
      </rPr>
      <t>0 &lt;blank&gt; $0</t>
    </r>
    <r>
      <rPr>
        <sz val="11"/>
        <color indexed="8"/>
        <rFont val="Calibri"/>
        <family val="2"/>
      </rPr>
      <t>" for each entry (rows below with  demo data).</t>
    </r>
  </si>
  <si>
    <t>Deduction Number</t>
  </si>
  <si>
    <t>S1 Event Type (D or FD)</t>
  </si>
  <si>
    <t>S1 age at deduction</t>
  </si>
  <si>
    <t>S1 deduction name</t>
  </si>
  <si>
    <t>S1 deduction cost PV</t>
  </si>
  <si>
    <t>S1 deduction cost FV</t>
  </si>
  <si>
    <t>S2 Event Type (D or FD)</t>
  </si>
  <si>
    <t>S2 age at deduction</t>
  </si>
  <si>
    <t>S2 deduction name</t>
  </si>
  <si>
    <t>S2 deduction cost PV</t>
  </si>
  <si>
    <t>S2 deduction cost FV</t>
  </si>
  <si>
    <t>D</t>
  </si>
  <si>
    <t>Total S1 irregular deductions by age FV</t>
  </si>
  <si>
    <t>Total S2 irregular deductions by age FV</t>
  </si>
  <si>
    <t>Total S1 expenses</t>
  </si>
  <si>
    <t>Total S2 expenses</t>
  </si>
  <si>
    <r>
      <t xml:space="preserve">See table </t>
    </r>
    <r>
      <rPr>
        <b/>
        <sz val="11"/>
        <color indexed="8"/>
        <rFont val="Calibri"/>
        <family val="2"/>
      </rPr>
      <t>10.2.3</t>
    </r>
    <r>
      <rPr>
        <sz val="11"/>
        <color indexed="8"/>
        <rFont val="Calibri"/>
        <family val="2"/>
      </rPr>
      <t xml:space="preserve"> below for the irregular expenses for S1 and S2 sorted by age.</t>
    </r>
  </si>
  <si>
    <t xml:space="preserve">         10.2.2 Enter List of Irregular future Deductions</t>
  </si>
  <si>
    <t xml:space="preserve">         10.2.3 Computed Irregular Expenses and Deduction  of sorted by age</t>
  </si>
  <si>
    <r>
      <t xml:space="preserve">Fixed range problem for S1 expenses in old </t>
    </r>
    <r>
      <rPr>
        <b/>
        <sz val="11"/>
        <color theme="1"/>
        <rFont val="Calibri"/>
        <family val="2"/>
        <scheme val="minor"/>
      </rPr>
      <t>10. ExpensesData 10.2.2</t>
    </r>
    <r>
      <rPr>
        <sz val="11"/>
        <color theme="1"/>
        <rFont val="Calibri"/>
        <family val="2"/>
        <scheme val="minor"/>
      </rPr>
      <t xml:space="preserve"> (now </t>
    </r>
    <r>
      <rPr>
        <b/>
        <sz val="11"/>
        <color theme="1"/>
        <rFont val="Calibri"/>
        <family val="2"/>
        <scheme val="minor"/>
      </rPr>
      <t>10.2.3</t>
    </r>
    <r>
      <rPr>
        <sz val="11"/>
        <color theme="1"/>
        <rFont val="Calibri"/>
        <family val="2"/>
        <scheme val="minor"/>
      </rPr>
      <t xml:space="preserve">). </t>
    </r>
  </si>
  <si>
    <t>Total (S1+S2) irregular expenses by FV</t>
  </si>
  <si>
    <t>Total (S1+S2) irregular deductions by FV</t>
  </si>
  <si>
    <t>Use irregular Expenses and Deductions?=</t>
  </si>
  <si>
    <t>Total S1 irregular deductions</t>
  </si>
  <si>
    <t>Total S2 irregular deductions</t>
  </si>
  <si>
    <t>Total s1+S2 irregular deductions</t>
  </si>
  <si>
    <r>
      <t xml:space="preserve">from section </t>
    </r>
    <r>
      <rPr>
        <b/>
        <sz val="11"/>
        <color theme="1"/>
        <rFont val="Calibri"/>
        <family val="2"/>
        <scheme val="minor"/>
      </rPr>
      <t>10.2.1 and 10.2.2</t>
    </r>
    <r>
      <rPr>
        <sz val="11"/>
        <color theme="1"/>
        <rFont val="Calibri"/>
        <family val="2"/>
        <scheme val="minor"/>
      </rPr>
      <t xml:space="preserve"> data.</t>
    </r>
  </si>
  <si>
    <t>This table accumulates FV irregular expenses and irregular deductions by age for S1 and S2 computed</t>
  </si>
  <si>
    <t xml:space="preserve"> 10.2.3 Computed (FV) Irregular Expenses and Deductions sorted by age</t>
  </si>
  <si>
    <t>Total S1 deduct. Exp. FV</t>
  </si>
  <si>
    <t>Total S2 deduct. Exp. FV</t>
  </si>
  <si>
    <t>Total (S1+S2) deduct. Exp. FV</t>
  </si>
  <si>
    <t xml:space="preserve">         10.2.3 Computed (FV) Irregular Expenses and Deductions sorted by age</t>
  </si>
  <si>
    <t>10.2.1 Enter list of irregular Expenses paid from the Cash account specified by S1 &amp; S2 ages</t>
  </si>
  <si>
    <t>10.2.2 Enter List of Irregular future Deductions specified by S1 &amp; S2 ages</t>
  </si>
  <si>
    <t xml:space="preserve">         10.2.2 Enter List of Irregular future Deductions specified by S1 &amp; S2 ages</t>
  </si>
  <si>
    <t>Note (2) The expenses and deductions can be entered in out of order for the ages.</t>
  </si>
  <si>
    <t>10.2 Enter irregular future expenses - your "Bucket-List", and irregular future deductions</t>
  </si>
  <si>
    <t xml:space="preserve">     10.2 Enter irregular future expenses - your "Bucket-List", and irregular future deductions</t>
  </si>
  <si>
    <t xml:space="preserve">         10.2.1 Enter list of irregular Expenses paid from the Cash account specified by S1 &amp; S2 ages</t>
  </si>
  <si>
    <t>10.3 Total yearly expenses and deductions (FV)</t>
  </si>
  <si>
    <t xml:space="preserve">   10.3 Total yearly expenses and deductions (FV)</t>
  </si>
  <si>
    <t>and irregular (with or without fixed values).</t>
  </si>
  <si>
    <t xml:space="preserve">Note: (1) no irregular contributions / withdrawals / expenses  / deductions are reported here. Go to the worksheets </t>
  </si>
  <si>
    <t>that use them to view that data.</t>
  </si>
  <si>
    <t>Minimum tax for bracket amount</t>
  </si>
  <si>
    <t xml:space="preserve">   Note: when entering data in other work sheets for S1, set S2 data to $0.</t>
  </si>
  <si>
    <t xml:space="preserve">   Note: for official IRS tables, see Tax Rate Schedule Y-1.</t>
  </si>
  <si>
    <t xml:space="preserve">   Note: other filings, e.g., MFS and HH, are not currently available in the spreadsheet.</t>
  </si>
  <si>
    <r>
      <t xml:space="preserve"> SF - </t>
    </r>
    <r>
      <rPr>
        <b/>
        <u/>
        <sz val="11"/>
        <color indexed="8"/>
        <rFont val="Calibri"/>
        <family val="2"/>
      </rPr>
      <t>Single Filing</t>
    </r>
    <r>
      <rPr>
        <b/>
        <sz val="11"/>
        <color indexed="8"/>
        <rFont val="Calibri"/>
        <family val="2"/>
      </rPr>
      <t xml:space="preserve"> Status</t>
    </r>
  </si>
  <si>
    <r>
      <t xml:space="preserve"> HH - </t>
    </r>
    <r>
      <rPr>
        <b/>
        <u/>
        <sz val="11"/>
        <color indexed="8"/>
        <rFont val="Calibri"/>
        <family val="2"/>
      </rPr>
      <t>Head of Household</t>
    </r>
    <r>
      <rPr>
        <b/>
        <sz val="11"/>
        <color indexed="8"/>
        <rFont val="Calibri"/>
        <family val="2"/>
      </rPr>
      <t xml:space="preserve"> Status</t>
    </r>
  </si>
  <si>
    <t>Note: the "Total Deductions (S1+S2) " used below includes both scheduled and irregular future deductions from table</t>
  </si>
  <si>
    <r>
      <t xml:space="preserve">10. Expenses 10.3. </t>
    </r>
    <r>
      <rPr>
        <sz val="11"/>
        <color indexed="8"/>
        <rFont val="Calibri"/>
        <family val="2"/>
      </rPr>
      <t>The following standard deductions are for informational purposes. See table</t>
    </r>
    <r>
      <rPr>
        <b/>
        <sz val="11"/>
        <color indexed="8"/>
        <rFont val="Calibri"/>
        <family val="2"/>
      </rPr>
      <t xml:space="preserve"> 10. Expenses 10.3 </t>
    </r>
    <r>
      <rPr>
        <sz val="11"/>
        <color indexed="8"/>
        <rFont val="Calibri"/>
        <family val="2"/>
      </rPr>
      <t>for details.</t>
    </r>
  </si>
  <si>
    <t>Added and integrated other tax file status tables HH - head of household and MFS - married filing separately</t>
  </si>
  <si>
    <r>
      <t xml:space="preserve">in </t>
    </r>
    <r>
      <rPr>
        <b/>
        <sz val="11"/>
        <color theme="1"/>
        <rFont val="Calibri"/>
        <family val="2"/>
        <scheme val="minor"/>
      </rPr>
      <t>2. TaxData</t>
    </r>
    <r>
      <rPr>
        <sz val="11"/>
        <color theme="1"/>
        <rFont val="Calibri"/>
        <family val="2"/>
        <scheme val="minor"/>
      </rPr>
      <t xml:space="preserve"> section </t>
    </r>
    <r>
      <rPr>
        <b/>
        <sz val="11"/>
        <color theme="1"/>
        <rFont val="Calibri"/>
        <family val="2"/>
        <scheme val="minor"/>
      </rPr>
      <t>2.2</t>
    </r>
    <r>
      <rPr>
        <sz val="11"/>
        <color theme="1"/>
        <rFont val="Calibri"/>
        <family val="2"/>
        <scheme val="minor"/>
      </rPr>
      <t>.</t>
    </r>
  </si>
  <si>
    <t>from the starting age(s).</t>
  </si>
  <si>
    <r>
      <t xml:space="preserve">This plots data columns </t>
    </r>
    <r>
      <rPr>
        <b/>
        <sz val="11"/>
        <color indexed="8"/>
        <rFont val="Calibri"/>
        <family val="2"/>
      </rPr>
      <t>[J:N]</t>
    </r>
    <r>
      <rPr>
        <sz val="11"/>
        <color indexed="8"/>
        <rFont val="Calibri"/>
        <family val="2"/>
      </rPr>
      <t xml:space="preserve">  from Table </t>
    </r>
    <r>
      <rPr>
        <b/>
        <sz val="11"/>
        <color indexed="8"/>
        <rFont val="Calibri"/>
        <family val="2"/>
      </rPr>
      <t>R.1</t>
    </r>
    <r>
      <rPr>
        <sz val="11"/>
        <color indexed="8"/>
        <rFont val="Calibri"/>
        <family val="2"/>
      </rPr>
      <t xml:space="preserve"> which summaries data in the rest of the table</t>
    </r>
    <r>
      <rPr>
        <b/>
        <sz val="11"/>
        <color indexed="8"/>
        <rFont val="Calibri"/>
        <family val="2"/>
      </rPr>
      <t>s</t>
    </r>
    <r>
      <rPr>
        <sz val="11"/>
        <color indexed="8"/>
        <rFont val="Calibri"/>
        <family val="2"/>
      </rPr>
      <t xml:space="preserve"> as a function of years .</t>
    </r>
  </si>
  <si>
    <r>
      <t xml:space="preserve">This plots data columns </t>
    </r>
    <r>
      <rPr>
        <b/>
        <sz val="11"/>
        <color indexed="8"/>
        <rFont val="Calibri"/>
        <family val="2"/>
      </rPr>
      <t>[C:I]</t>
    </r>
    <r>
      <rPr>
        <sz val="11"/>
        <color indexed="8"/>
        <rFont val="Calibri"/>
        <family val="2"/>
      </rPr>
      <t xml:space="preserve">  from Table </t>
    </r>
    <r>
      <rPr>
        <b/>
        <sz val="11"/>
        <color indexed="8"/>
        <rFont val="Calibri"/>
        <family val="2"/>
      </rPr>
      <t>R.1</t>
    </r>
    <r>
      <rPr>
        <sz val="11"/>
        <color indexed="8"/>
        <rFont val="Calibri"/>
        <family val="2"/>
      </rPr>
      <t xml:space="preserve"> which summaries data in the rest of the tables as a function of years .</t>
    </r>
  </si>
  <si>
    <t>9.4.2.1  Savings account Scheduled yearly Contributions and Scheduled Withdrawals</t>
  </si>
  <si>
    <r>
      <t>Savings, as well as Expenses in worksheets:</t>
    </r>
    <r>
      <rPr>
        <b/>
        <sz val="11"/>
        <color theme="1"/>
        <rFont val="Calibri"/>
        <family val="2"/>
        <scheme val="minor"/>
      </rPr>
      <t xml:space="preserve"> 3. WorkData, 4.PensionData, 5. SocSecData, 6. AnnuityData, 7. IRAdata,</t>
    </r>
  </si>
  <si>
    <r>
      <rPr>
        <b/>
        <sz val="11"/>
        <color theme="1"/>
        <rFont val="Calibri"/>
        <family val="2"/>
        <scheme val="minor"/>
      </rPr>
      <t>8. RothData, 9. SavingsData, 10. ExpensesData</t>
    </r>
    <r>
      <rPr>
        <sz val="11"/>
        <color theme="1"/>
        <rFont val="Calibri"/>
        <family val="2"/>
        <scheme val="minor"/>
      </rPr>
      <t xml:space="preserve">. The separate COLAs are set in the corresponding data workbooks. </t>
    </r>
  </si>
  <si>
    <t>The separate rates of return are also set in the corresponding worksheets and should reflect the asset allocation</t>
  </si>
  <si>
    <t>(Stock:Bond) mix.</t>
  </si>
  <si>
    <t>Cash(y) = Income(y) + Withdrawals(y) - Contributions(y) - Expenses(y) - Taxes(y)</t>
  </si>
  <si>
    <t>V.0.21.3</t>
  </si>
  <si>
    <r>
      <t xml:space="preserve">Fixed scheduled withdrawals in </t>
    </r>
    <r>
      <rPr>
        <b/>
        <sz val="11"/>
        <color theme="1"/>
        <rFont val="Calibri"/>
        <family val="2"/>
        <scheme val="minor"/>
      </rPr>
      <t>7. IRAdat</t>
    </r>
    <r>
      <rPr>
        <sz val="11"/>
        <color theme="1"/>
        <rFont val="Calibri"/>
        <family val="2"/>
        <scheme val="minor"/>
      </rPr>
      <t>a table</t>
    </r>
    <r>
      <rPr>
        <b/>
        <sz val="11"/>
        <color theme="1"/>
        <rFont val="Calibri"/>
        <family val="2"/>
        <scheme val="minor"/>
      </rPr>
      <t xml:space="preserve"> 7.4.2.1, </t>
    </r>
    <r>
      <rPr>
        <sz val="11"/>
        <color theme="1"/>
        <rFont val="Calibri"/>
        <family val="2"/>
        <scheme val="minor"/>
      </rPr>
      <t>and</t>
    </r>
    <r>
      <rPr>
        <b/>
        <sz val="11"/>
        <color theme="1"/>
        <rFont val="Calibri"/>
        <family val="2"/>
        <scheme val="minor"/>
      </rPr>
      <t xml:space="preserve"> 8. RothData </t>
    </r>
    <r>
      <rPr>
        <sz val="11"/>
        <color theme="1"/>
        <rFont val="Calibri"/>
        <family val="2"/>
        <scheme val="minor"/>
      </rPr>
      <t>sections</t>
    </r>
    <r>
      <rPr>
        <b/>
        <sz val="11"/>
        <color theme="1"/>
        <rFont val="Calibri"/>
        <family val="2"/>
        <scheme val="minor"/>
      </rPr>
      <t xml:space="preserve"> 8.3.1 </t>
    </r>
    <r>
      <rPr>
        <sz val="11"/>
        <color theme="1"/>
        <rFont val="Calibri"/>
        <family val="2"/>
        <scheme val="minor"/>
      </rPr>
      <t xml:space="preserve">and </t>
    </r>
    <r>
      <rPr>
        <b/>
        <sz val="11"/>
        <color theme="1"/>
        <rFont val="Calibri"/>
        <family val="2"/>
        <scheme val="minor"/>
      </rPr>
      <t>table 8.4.2.1.</t>
    </r>
  </si>
  <si>
    <r>
      <t>Changed some of the demo input values in the</t>
    </r>
    <r>
      <rPr>
        <b/>
        <sz val="11"/>
        <color theme="1"/>
        <rFont val="Calibri"/>
        <family val="2"/>
        <scheme val="minor"/>
      </rPr>
      <t xml:space="preserve"> 9. SavingsData</t>
    </r>
    <r>
      <rPr>
        <sz val="11"/>
        <color theme="1"/>
        <rFont val="Calibri"/>
        <family val="2"/>
        <scheme val="minor"/>
      </rPr>
      <t xml:space="preserve"> so more realistic.</t>
    </r>
  </si>
  <si>
    <t xml:space="preserve">      OpenOffice or LibreOffice Calc, Google Sheets, etc. The downside of of not using VBA means that one could not build </t>
  </si>
  <si>
    <t>[ ] Handle the case where there is no spouse S2 data a bit better. Might force the data to $0 with conditionals with a</t>
  </si>
  <si>
    <r>
      <t xml:space="preserve">     new option in the</t>
    </r>
    <r>
      <rPr>
        <b/>
        <sz val="11"/>
        <color theme="1"/>
        <rFont val="Calibri"/>
        <family val="2"/>
        <scheme val="minor"/>
      </rPr>
      <t xml:space="preserve"> S. Setup</t>
    </r>
    <r>
      <rPr>
        <sz val="11"/>
        <color theme="1"/>
        <rFont val="Calibri"/>
        <family val="2"/>
        <scheme val="minor"/>
      </rPr>
      <t xml:space="preserve"> worksheet.</t>
    </r>
  </si>
  <si>
    <t>[ ] Possibly add the ability to do early RMD type data withdrawal (before age 70 1/2) for both IRAs and Roths so can optionally</t>
  </si>
  <si>
    <t xml:space="preserve">    implement an early withdrawal or to handle inherited-IRA and Roths. Currently approximate it (poorly) using a fixed </t>
  </si>
  <si>
    <t>[ ] It does not currently handle if (non-RMD) IRA/Roth withdrawals occur before 55 where there would be a 10% tax penalty.</t>
  </si>
  <si>
    <t xml:space="preserve"> (estimate from last years broker statement)</t>
  </si>
  <si>
    <t xml:space="preserve">Note: at this time you can not add estimated capital gain taxes for distributions for unscheduled events. </t>
  </si>
  <si>
    <r>
      <t xml:space="preserve">Clarified Instructions and descriptions in </t>
    </r>
    <r>
      <rPr>
        <b/>
        <sz val="11"/>
        <color theme="1"/>
        <rFont val="Calibri"/>
        <family val="2"/>
        <scheme val="minor"/>
      </rPr>
      <t xml:space="preserve">7. IRAdata,  8.RothData, 9. SavingsData </t>
    </r>
    <r>
      <rPr>
        <sz val="11"/>
        <color theme="1"/>
        <rFont val="Calibri"/>
        <family val="2"/>
        <scheme val="minor"/>
      </rPr>
      <t>and</t>
    </r>
    <r>
      <rPr>
        <b/>
        <sz val="11"/>
        <color theme="1"/>
        <rFont val="Calibri"/>
        <family val="2"/>
        <scheme val="minor"/>
      </rPr>
      <t xml:space="preserve"> 10. ExpensesData.</t>
    </r>
  </si>
  <si>
    <t>This is the cash-flow account where all yearly income and withdrawals are added and all expenses and Federal taxes are</t>
  </si>
  <si>
    <t xml:space="preserve">If the Adjusted S1/S2 (Income  plus Withdrawals minus Contributions, Expenses and Taxes) is &gt; $0, then it will be added to </t>
  </si>
  <si>
    <t>next years Savings accounts. Contributions are not considered income, rather they are a type of expense.</t>
  </si>
  <si>
    <t>So for each year y,</t>
  </si>
  <si>
    <t>V.0.21.4</t>
  </si>
  <si>
    <r>
      <t xml:space="preserve">This plots data columns </t>
    </r>
    <r>
      <rPr>
        <b/>
        <sz val="11"/>
        <color indexed="8"/>
        <rFont val="Calibri"/>
        <family val="2"/>
      </rPr>
      <t>[G:H]</t>
    </r>
    <r>
      <rPr>
        <sz val="11"/>
        <color indexed="8"/>
        <rFont val="Calibri"/>
        <family val="2"/>
      </rPr>
      <t xml:space="preserve">  from Table </t>
    </r>
    <r>
      <rPr>
        <b/>
        <sz val="11"/>
        <color indexed="8"/>
        <rFont val="Calibri"/>
        <family val="2"/>
      </rPr>
      <t>R.1</t>
    </r>
    <r>
      <rPr>
        <sz val="11"/>
        <color indexed="8"/>
        <rFont val="Calibri"/>
        <family val="2"/>
      </rPr>
      <t xml:space="preserve"> which summaries data in the rest of the table</t>
    </r>
    <r>
      <rPr>
        <b/>
        <sz val="11"/>
        <color indexed="8"/>
        <rFont val="Calibri"/>
        <family val="2"/>
      </rPr>
      <t>s</t>
    </r>
    <r>
      <rPr>
        <sz val="11"/>
        <color indexed="8"/>
        <rFont val="Calibri"/>
        <family val="2"/>
      </rPr>
      <t xml:space="preserve"> as a function of years .</t>
    </r>
  </si>
  <si>
    <t>http://www.amazon.com/dp/B009K7ZNDS/</t>
  </si>
  <si>
    <t>Social Security Made Simple: Social Security Retirement Benefits and Related Planning Topics Explained in 100 Pages or Less</t>
  </si>
  <si>
    <t>by Mike Piper (2015)</t>
  </si>
  <si>
    <r>
      <t xml:space="preserve">Note: Nominal returns are </t>
    </r>
    <r>
      <rPr>
        <u/>
        <sz val="11"/>
        <color indexed="8"/>
        <rFont val="Calibri"/>
        <family val="2"/>
      </rPr>
      <t>before</t>
    </r>
    <r>
      <rPr>
        <sz val="11"/>
        <color indexed="8"/>
        <rFont val="Calibri"/>
        <family val="2"/>
      </rPr>
      <t xml:space="preserve"> inflation is subtracted (real returns are </t>
    </r>
    <r>
      <rPr>
        <u/>
        <sz val="11"/>
        <color indexed="8"/>
        <rFont val="Calibri"/>
        <family val="2"/>
      </rPr>
      <t>after</t>
    </r>
    <r>
      <rPr>
        <sz val="11"/>
        <color indexed="8"/>
        <rFont val="Calibri"/>
        <family val="2"/>
      </rPr>
      <t xml:space="preserve"> inflation subtracted).</t>
    </r>
  </si>
  <si>
    <r>
      <t xml:space="preserve">Fixed bug where it was not removing assets etc. after a spouse becomes deceased even when the </t>
    </r>
    <r>
      <rPr>
        <b/>
        <sz val="11"/>
        <color theme="1"/>
        <rFont val="Calibri"/>
        <family val="2"/>
        <scheme val="minor"/>
      </rPr>
      <t xml:space="preserve">S. Setup </t>
    </r>
  </si>
  <si>
    <r>
      <rPr>
        <b/>
        <sz val="11"/>
        <color theme="1"/>
        <rFont val="Calibri"/>
        <family val="2"/>
        <scheme val="minor"/>
      </rPr>
      <t>S.3</t>
    </r>
    <r>
      <rPr>
        <sz val="11"/>
        <color theme="1"/>
        <rFont val="Calibri"/>
        <family val="2"/>
        <scheme val="minor"/>
      </rPr>
      <t xml:space="preserve"> question "</t>
    </r>
    <r>
      <rPr>
        <i/>
        <sz val="11"/>
        <color theme="1"/>
        <rFont val="Calibri"/>
        <family val="2"/>
        <scheme val="minor"/>
      </rPr>
      <t>When Spouse dies, then Keep or Remove their assets?</t>
    </r>
    <r>
      <rPr>
        <sz val="11"/>
        <color theme="1"/>
        <rFont val="Calibri"/>
        <family val="2"/>
        <scheme val="minor"/>
      </rPr>
      <t>" was set to "</t>
    </r>
    <r>
      <rPr>
        <b/>
        <sz val="11"/>
        <color theme="1"/>
        <rFont val="Calibri"/>
        <family val="2"/>
        <scheme val="minor"/>
      </rPr>
      <t>removed</t>
    </r>
    <r>
      <rPr>
        <sz val="11"/>
        <color theme="1"/>
        <rFont val="Calibri"/>
        <family val="2"/>
        <scheme val="minor"/>
      </rPr>
      <t>". The reason</t>
    </r>
  </si>
  <si>
    <r>
      <t>for "</t>
    </r>
    <r>
      <rPr>
        <b/>
        <sz val="11"/>
        <color theme="1"/>
        <rFont val="Calibri"/>
        <family val="2"/>
        <scheme val="minor"/>
      </rPr>
      <t>keep</t>
    </r>
    <r>
      <rPr>
        <sz val="11"/>
        <color theme="1"/>
        <rFont val="Calibri"/>
        <family val="2"/>
        <scheme val="minor"/>
      </rPr>
      <t>"ing assets for the deceased spouse is that they may be inherited by the remaining spouse.</t>
    </r>
  </si>
  <si>
    <r>
      <t>This was fixed in worksheets</t>
    </r>
    <r>
      <rPr>
        <b/>
        <sz val="11"/>
        <color theme="1"/>
        <rFont val="Calibri"/>
        <family val="2"/>
        <scheme val="minor"/>
      </rPr>
      <t xml:space="preserve">  2. TaxData, 7. IRAdata, 8. RothData, 9. SavingsData </t>
    </r>
    <r>
      <rPr>
        <sz val="11"/>
        <color theme="1"/>
        <rFont val="Calibri"/>
        <family val="2"/>
        <scheme val="minor"/>
      </rPr>
      <t>and</t>
    </r>
    <r>
      <rPr>
        <b/>
        <sz val="11"/>
        <color theme="1"/>
        <rFont val="Calibri"/>
        <family val="2"/>
        <scheme val="minor"/>
      </rPr>
      <t xml:space="preserve"> R. Results.</t>
    </r>
  </si>
  <si>
    <r>
      <t xml:space="preserve">This plots data columns </t>
    </r>
    <r>
      <rPr>
        <b/>
        <sz val="11"/>
        <color indexed="8"/>
        <rFont val="Calibri"/>
        <family val="2"/>
      </rPr>
      <t>[M:N]</t>
    </r>
    <r>
      <rPr>
        <sz val="11"/>
        <color indexed="8"/>
        <rFont val="Calibri"/>
        <family val="2"/>
      </rPr>
      <t xml:space="preserve">  from Table </t>
    </r>
    <r>
      <rPr>
        <b/>
        <sz val="11"/>
        <color indexed="8"/>
        <rFont val="Calibri"/>
        <family val="2"/>
      </rPr>
      <t>R.2</t>
    </r>
    <r>
      <rPr>
        <sz val="11"/>
        <color indexed="8"/>
        <rFont val="Calibri"/>
        <family val="2"/>
      </rPr>
      <t xml:space="preserve"> which summaries data in the rest of the table</t>
    </r>
    <r>
      <rPr>
        <b/>
        <sz val="11"/>
        <color indexed="8"/>
        <rFont val="Calibri"/>
        <family val="2"/>
      </rPr>
      <t>s</t>
    </r>
    <r>
      <rPr>
        <sz val="11"/>
        <color indexed="8"/>
        <rFont val="Calibri"/>
        <family val="2"/>
      </rPr>
      <t xml:space="preserve"> as a function of years .</t>
    </r>
  </si>
  <si>
    <r>
      <t xml:space="preserve">This plots data columns </t>
    </r>
    <r>
      <rPr>
        <b/>
        <sz val="11"/>
        <color indexed="8"/>
        <rFont val="Calibri"/>
        <family val="2"/>
      </rPr>
      <t>[I:N]</t>
    </r>
    <r>
      <rPr>
        <sz val="11"/>
        <color indexed="8"/>
        <rFont val="Calibri"/>
        <family val="2"/>
      </rPr>
      <t xml:space="preserve">  from Table </t>
    </r>
    <r>
      <rPr>
        <b/>
        <sz val="11"/>
        <color indexed="8"/>
        <rFont val="Calibri"/>
        <family val="2"/>
      </rPr>
      <t>R.3</t>
    </r>
    <r>
      <rPr>
        <sz val="11"/>
        <color indexed="8"/>
        <rFont val="Calibri"/>
        <family val="2"/>
      </rPr>
      <t xml:space="preserve"> which summaries data in the rest of the table</t>
    </r>
    <r>
      <rPr>
        <b/>
        <sz val="11"/>
        <color indexed="8"/>
        <rFont val="Calibri"/>
        <family val="2"/>
      </rPr>
      <t>s</t>
    </r>
    <r>
      <rPr>
        <sz val="11"/>
        <color indexed="8"/>
        <rFont val="Calibri"/>
        <family val="2"/>
      </rPr>
      <t xml:space="preserve"> as a function of years .</t>
    </r>
  </si>
  <si>
    <t>S1 tax-free Roth value FV</t>
  </si>
  <si>
    <t>S2 tax-free Roth value FV</t>
  </si>
  <si>
    <r>
      <t xml:space="preserve">This plots data columns </t>
    </r>
    <r>
      <rPr>
        <b/>
        <sz val="11"/>
        <color indexed="8"/>
        <rFont val="Calibri"/>
        <family val="2"/>
      </rPr>
      <t>[C:D,G:H]</t>
    </r>
    <r>
      <rPr>
        <sz val="11"/>
        <color indexed="8"/>
        <rFont val="Calibri"/>
        <family val="2"/>
      </rPr>
      <t xml:space="preserve">  from Table </t>
    </r>
    <r>
      <rPr>
        <b/>
        <sz val="11"/>
        <color indexed="8"/>
        <rFont val="Calibri"/>
        <family val="2"/>
      </rPr>
      <t>R.3</t>
    </r>
    <r>
      <rPr>
        <sz val="11"/>
        <color indexed="8"/>
        <rFont val="Calibri"/>
        <family val="2"/>
      </rPr>
      <t xml:space="preserve"> which summaries data in the rest of the table</t>
    </r>
    <r>
      <rPr>
        <b/>
        <sz val="11"/>
        <color indexed="8"/>
        <rFont val="Calibri"/>
        <family val="2"/>
      </rPr>
      <t>s</t>
    </r>
    <r>
      <rPr>
        <sz val="11"/>
        <color indexed="8"/>
        <rFont val="Calibri"/>
        <family val="2"/>
      </rPr>
      <t xml:space="preserve"> as a function of years .</t>
    </r>
  </si>
  <si>
    <t>Total S1+S2 Pension, SocSec, Work , Annuity income FV</t>
  </si>
  <si>
    <t>Total S1+S2 Work, Annuity income FV</t>
  </si>
  <si>
    <t>S1 short term gains Savings FV</t>
  </si>
  <si>
    <t>S2 short term gains Savings FV</t>
  </si>
  <si>
    <t>S1 long term gains Savings FV</t>
  </si>
  <si>
    <t>S2 long term gains Savings FV</t>
  </si>
  <si>
    <t>R.5.0.1 Graph over time table R.5 columns [C:D] (S1, S2 Savings)</t>
  </si>
  <si>
    <r>
      <t xml:space="preserve">This plots data columns </t>
    </r>
    <r>
      <rPr>
        <b/>
        <sz val="11"/>
        <color indexed="8"/>
        <rFont val="Calibri"/>
        <family val="2"/>
      </rPr>
      <t>[C:D]</t>
    </r>
    <r>
      <rPr>
        <sz val="11"/>
        <color indexed="8"/>
        <rFont val="Calibri"/>
        <family val="2"/>
      </rPr>
      <t xml:space="preserve">  from Table </t>
    </r>
    <r>
      <rPr>
        <b/>
        <sz val="11"/>
        <color indexed="8"/>
        <rFont val="Calibri"/>
        <family val="2"/>
      </rPr>
      <t>R.5</t>
    </r>
    <r>
      <rPr>
        <sz val="11"/>
        <color indexed="8"/>
        <rFont val="Calibri"/>
        <family val="2"/>
      </rPr>
      <t xml:space="preserve"> which summaries data in the rest of the table</t>
    </r>
    <r>
      <rPr>
        <b/>
        <sz val="11"/>
        <color indexed="8"/>
        <rFont val="Calibri"/>
        <family val="2"/>
      </rPr>
      <t>s</t>
    </r>
    <r>
      <rPr>
        <sz val="11"/>
        <color indexed="8"/>
        <rFont val="Calibri"/>
        <family val="2"/>
      </rPr>
      <t xml:space="preserve"> as a function of years .</t>
    </r>
  </si>
  <si>
    <r>
      <t xml:space="preserve">This plots data columns </t>
    </r>
    <r>
      <rPr>
        <b/>
        <sz val="11"/>
        <color indexed="8"/>
        <rFont val="Calibri"/>
        <family val="2"/>
      </rPr>
      <t>[E:F,I:L]</t>
    </r>
    <r>
      <rPr>
        <sz val="11"/>
        <color indexed="8"/>
        <rFont val="Calibri"/>
        <family val="2"/>
      </rPr>
      <t xml:space="preserve">  from Table </t>
    </r>
    <r>
      <rPr>
        <b/>
        <sz val="11"/>
        <color indexed="8"/>
        <rFont val="Calibri"/>
        <family val="2"/>
      </rPr>
      <t>R.4</t>
    </r>
    <r>
      <rPr>
        <sz val="11"/>
        <color indexed="8"/>
        <rFont val="Calibri"/>
        <family val="2"/>
      </rPr>
      <t xml:space="preserve"> which summaries data in the rest of the table</t>
    </r>
    <r>
      <rPr>
        <b/>
        <sz val="11"/>
        <color indexed="8"/>
        <rFont val="Calibri"/>
        <family val="2"/>
      </rPr>
      <t>s</t>
    </r>
    <r>
      <rPr>
        <sz val="11"/>
        <color indexed="8"/>
        <rFont val="Calibri"/>
        <family val="2"/>
      </rPr>
      <t xml:space="preserve"> as a function of years .</t>
    </r>
  </si>
  <si>
    <r>
      <t xml:space="preserve">This plots data columns </t>
    </r>
    <r>
      <rPr>
        <b/>
        <sz val="11"/>
        <color indexed="8"/>
        <rFont val="Calibri"/>
        <family val="2"/>
      </rPr>
      <t>[E:J]</t>
    </r>
    <r>
      <rPr>
        <sz val="11"/>
        <color indexed="8"/>
        <rFont val="Calibri"/>
        <family val="2"/>
      </rPr>
      <t xml:space="preserve">  from Table </t>
    </r>
    <r>
      <rPr>
        <b/>
        <sz val="11"/>
        <color indexed="8"/>
        <rFont val="Calibri"/>
        <family val="2"/>
      </rPr>
      <t>R.5</t>
    </r>
    <r>
      <rPr>
        <sz val="11"/>
        <color indexed="8"/>
        <rFont val="Calibri"/>
        <family val="2"/>
      </rPr>
      <t xml:space="preserve"> which summaries data in the rest of the table</t>
    </r>
    <r>
      <rPr>
        <b/>
        <sz val="11"/>
        <color indexed="8"/>
        <rFont val="Calibri"/>
        <family val="2"/>
      </rPr>
      <t>s</t>
    </r>
    <r>
      <rPr>
        <sz val="11"/>
        <color indexed="8"/>
        <rFont val="Calibri"/>
        <family val="2"/>
      </rPr>
      <t xml:space="preserve"> as a function of years .</t>
    </r>
  </si>
  <si>
    <t>R.5.0.2 Graph over time table R.5 columns [E:J] (S1, S2 Savings Long, Short, Tax-free gains)</t>
  </si>
  <si>
    <t>S1 irreg. Contrib -Withdrawn Savings FV</t>
  </si>
  <si>
    <t>S2 irreg. Contrib -Withdrawn Savings FV</t>
  </si>
  <si>
    <t>R.5.0.3 Graph over time table R.5 columns [K:N] (Irregular, Scheduled Contributions-Withdrawals)</t>
  </si>
  <si>
    <t>R.5.1.1 Graph over time table R.5.1 columns [C:K] (Scheduled Contributions)</t>
  </si>
  <si>
    <r>
      <t xml:space="preserve">This plots data columns </t>
    </r>
    <r>
      <rPr>
        <b/>
        <sz val="11"/>
        <color indexed="8"/>
        <rFont val="Calibri"/>
        <family val="2"/>
      </rPr>
      <t>[C:K]</t>
    </r>
    <r>
      <rPr>
        <sz val="11"/>
        <color indexed="8"/>
        <rFont val="Calibri"/>
        <family val="2"/>
      </rPr>
      <t xml:space="preserve">  from Table </t>
    </r>
    <r>
      <rPr>
        <b/>
        <sz val="11"/>
        <color indexed="8"/>
        <rFont val="Calibri"/>
        <family val="2"/>
      </rPr>
      <t>R.5.1</t>
    </r>
    <r>
      <rPr>
        <sz val="11"/>
        <color indexed="8"/>
        <rFont val="Calibri"/>
        <family val="2"/>
      </rPr>
      <t xml:space="preserve"> which summaries data in the rest of the table</t>
    </r>
    <r>
      <rPr>
        <b/>
        <sz val="11"/>
        <color indexed="8"/>
        <rFont val="Calibri"/>
        <family val="2"/>
      </rPr>
      <t>s</t>
    </r>
    <r>
      <rPr>
        <sz val="11"/>
        <color indexed="8"/>
        <rFont val="Calibri"/>
        <family val="2"/>
      </rPr>
      <t xml:space="preserve"> as a function of years .</t>
    </r>
  </si>
  <si>
    <t xml:space="preserve">       R.5.1.1 Graph over time table R.5.1 columns [C:K] (Scheduled Contributions)</t>
  </si>
  <si>
    <t xml:space="preserve">       R.5.1.2 Graph over time table R.5.1 columns [L:M] (S1, S2, S1+S2 total withdrawal rates)</t>
  </si>
  <si>
    <t xml:space="preserve">       R.5.0.1 Graph over time table R.5 columns [C:D] (S1, S2 Savings)</t>
  </si>
  <si>
    <t xml:space="preserve">       R.5.0.2 Graph over time table R.5 columns [E:J] (S1, S2 Savings Long, Short, Tax-free gains)</t>
  </si>
  <si>
    <t xml:space="preserve">       R.5.0.3 Graph over time table R.5 columns [K:N] (Irregular, Scheduled Contributions-Withdrawals)</t>
  </si>
  <si>
    <t xml:space="preserve">      R.4.0.2 Graph over time table R.4 columns [E:F,I:L] (S1, S2 Contributions - Withdrawals IRAs, Roths)</t>
  </si>
  <si>
    <t xml:space="preserve">      R.4.0.1 Graph over time table R.4 columns [C:D,G:H] (S1, S2 values of IRAs and Roths)</t>
  </si>
  <si>
    <t xml:space="preserve">      R.3.0.1 Graph over time table R.3 columns [I:N] (Work+Annuities, Pension+SocSec+Work+Annuity)</t>
  </si>
  <si>
    <t xml:space="preserve">     R.2.0.1 Graph over time of table R.2 columns [M:N] (Soc.Sec + Pension)</t>
  </si>
  <si>
    <t xml:space="preserve">     R.1.0.1 Graph over time of table R.1 columns [C:I]  (Total Income, Expenses, Taxes, Cash)</t>
  </si>
  <si>
    <t xml:space="preserve">     R.1.0.2 Graph over time of table R.1 columns [J:N] (Net worth IRA, Roth, Savings)</t>
  </si>
  <si>
    <t xml:space="preserve">     R.1.0.3 Graph over time of table R.1 columns [G:H] (Marginal and Average tax rates)</t>
  </si>
  <si>
    <t>R.1.0.1 Graph over time of table R.1 columns [C:I]  (Total Income, Expenses, Taxes, Cash)</t>
  </si>
  <si>
    <t>R.1.0.2 Graph over time of table R.1 columns [J:N] (Net worth IRA, Roth, Savings)</t>
  </si>
  <si>
    <t>R.1.0.3 Graph over time of table R.1 columns [G:H] (Marginal and Average tax rates)</t>
  </si>
  <si>
    <t>R.2.0.1 Graph over time of table R.2 columns [M:N] (Soc.Sec + Pension)</t>
  </si>
  <si>
    <t>R.3.0.1 Graph over time table R.3 columns [I:N] (Work+Annuities, Pension+SocSec+Work+Annuity)</t>
  </si>
  <si>
    <t>R.4.0.1 Graph over time table R.4 columns [C:D,G:H] (S1, S2 values of IRAs and Roths)</t>
  </si>
  <si>
    <t>R.4.0.2 Graph over time table R.4 columns [E:F,I:L] (S1, S2 Contributions-Withdrawals IRAs, Roths)</t>
  </si>
  <si>
    <t>R.6.0.1 Graph over time table R.6 columns [C:N] (S1, S2, S1+S2 total taxable&amp;non-taxable income)</t>
  </si>
  <si>
    <t xml:space="preserve">       R.6.0.1 Graph over time table R.6 columns [C:N] (S1, S2, S1+S2 total taxable&amp;non-taxable income)</t>
  </si>
  <si>
    <r>
      <t xml:space="preserve">This plots data columns </t>
    </r>
    <r>
      <rPr>
        <b/>
        <sz val="11"/>
        <color indexed="8"/>
        <rFont val="Calibri"/>
        <family val="2"/>
      </rPr>
      <t>[C:I]</t>
    </r>
    <r>
      <rPr>
        <sz val="11"/>
        <color indexed="8"/>
        <rFont val="Calibri"/>
        <family val="2"/>
      </rPr>
      <t xml:space="preserve">  from Table </t>
    </r>
    <r>
      <rPr>
        <b/>
        <sz val="11"/>
        <color indexed="8"/>
        <rFont val="Calibri"/>
        <family val="2"/>
      </rPr>
      <t>R.7</t>
    </r>
    <r>
      <rPr>
        <sz val="11"/>
        <color indexed="8"/>
        <rFont val="Calibri"/>
        <family val="2"/>
      </rPr>
      <t xml:space="preserve"> which summaries data in the rest of the table</t>
    </r>
    <r>
      <rPr>
        <b/>
        <sz val="11"/>
        <color indexed="8"/>
        <rFont val="Calibri"/>
        <family val="2"/>
      </rPr>
      <t>s</t>
    </r>
    <r>
      <rPr>
        <sz val="11"/>
        <color indexed="8"/>
        <rFont val="Calibri"/>
        <family val="2"/>
      </rPr>
      <t xml:space="preserve"> as a function of years .</t>
    </r>
  </si>
  <si>
    <t>R.7.0.1 Graph over time table R.7 columns [C:I] (S1,S2,S1+S2 scheduled, irregular, total expenses)</t>
  </si>
  <si>
    <r>
      <t xml:space="preserve">This plots data columns </t>
    </r>
    <r>
      <rPr>
        <b/>
        <sz val="11"/>
        <color indexed="8"/>
        <rFont val="Calibri"/>
        <family val="2"/>
      </rPr>
      <t>[C:K]</t>
    </r>
    <r>
      <rPr>
        <sz val="11"/>
        <color indexed="8"/>
        <rFont val="Calibri"/>
        <family val="2"/>
      </rPr>
      <t xml:space="preserve">  from Table </t>
    </r>
    <r>
      <rPr>
        <b/>
        <sz val="11"/>
        <color indexed="8"/>
        <rFont val="Calibri"/>
        <family val="2"/>
      </rPr>
      <t>R.6</t>
    </r>
    <r>
      <rPr>
        <sz val="11"/>
        <color indexed="8"/>
        <rFont val="Calibri"/>
        <family val="2"/>
      </rPr>
      <t xml:space="preserve"> which summaries data in the rest of the table</t>
    </r>
    <r>
      <rPr>
        <b/>
        <sz val="11"/>
        <color indexed="8"/>
        <rFont val="Calibri"/>
        <family val="2"/>
      </rPr>
      <t>s</t>
    </r>
    <r>
      <rPr>
        <sz val="11"/>
        <color indexed="8"/>
        <rFont val="Calibri"/>
        <family val="2"/>
      </rPr>
      <t xml:space="preserve"> as a function of years .</t>
    </r>
  </si>
  <si>
    <t xml:space="preserve">       R.7.0.1 Graph over time table R.7 columns [C:I] (S1,S2,S1+S2 scheduled, irregular, total expenses)</t>
  </si>
  <si>
    <r>
      <t xml:space="preserve">Added a graphs for all of the tables </t>
    </r>
    <r>
      <rPr>
        <b/>
        <sz val="11"/>
        <color theme="1"/>
        <rFont val="Calibri"/>
        <family val="2"/>
        <scheme val="minor"/>
      </rPr>
      <t>R.1</t>
    </r>
    <r>
      <rPr>
        <sz val="11"/>
        <color theme="1"/>
        <rFont val="Calibri"/>
        <family val="2"/>
        <scheme val="minor"/>
      </rPr>
      <t xml:space="preserve"> through </t>
    </r>
    <r>
      <rPr>
        <b/>
        <sz val="11"/>
        <color theme="1"/>
        <rFont val="Calibri"/>
        <family val="2"/>
        <scheme val="minor"/>
      </rPr>
      <t>R.7</t>
    </r>
    <r>
      <rPr>
        <sz val="11"/>
        <color theme="1"/>
        <rFont val="Calibri"/>
        <family val="2"/>
        <scheme val="minor"/>
      </rPr>
      <t xml:space="preserve"> in the</t>
    </r>
    <r>
      <rPr>
        <b/>
        <sz val="11"/>
        <color theme="1"/>
        <rFont val="Calibri"/>
        <family val="2"/>
        <scheme val="minor"/>
      </rPr>
      <t xml:space="preserve"> R. Results</t>
    </r>
    <r>
      <rPr>
        <sz val="11"/>
        <color theme="1"/>
        <rFont val="Calibri"/>
        <family val="2"/>
        <scheme val="minor"/>
      </rPr>
      <t xml:space="preserve"> worksheet.</t>
    </r>
  </si>
  <si>
    <t>You can specify different expected long term CPI (Consumer Price Index estimate of inflation) values and see how that affects</t>
  </si>
  <si>
    <t>S1 start job age</t>
  </si>
  <si>
    <t>S1 end job age</t>
  </si>
  <si>
    <t>Job Income</t>
  </si>
  <si>
    <t>Job income COLA</t>
  </si>
  <si>
    <t>S2 end job age</t>
  </si>
  <si>
    <t>S2 start job age</t>
  </si>
  <si>
    <t>Job Nbr</t>
  </si>
  <si>
    <t>S1 job 1 income</t>
  </si>
  <si>
    <t>S1 job 2 income</t>
  </si>
  <si>
    <t>S1 job 3 income</t>
  </si>
  <si>
    <t>S2 job 1 income</t>
  </si>
  <si>
    <t>S2 job 2 income</t>
  </si>
  <si>
    <r>
      <t xml:space="preserve">Note: add up all sources of </t>
    </r>
    <r>
      <rPr>
        <u/>
        <sz val="12"/>
        <color indexed="8"/>
        <rFont val="Calibri"/>
        <family val="2"/>
        <scheme val="minor"/>
      </rPr>
      <t>taxable income</t>
    </r>
    <r>
      <rPr>
        <sz val="12"/>
        <color indexed="8"/>
        <rFont val="Calibri"/>
        <family val="2"/>
        <scheme val="minor"/>
      </rPr>
      <t xml:space="preserve"> such as yearly work, rental etc. income, Earned Income Tax Credits. </t>
    </r>
  </si>
  <si>
    <t>The work adjustment is an optional tax adjustment subtracted (added if negative) to income. Normally is $0.</t>
  </si>
  <si>
    <t>S1 total taxable work income</t>
  </si>
  <si>
    <t>3.2  Work Income over time from multiple jobs, rentals, etc</t>
  </si>
  <si>
    <t xml:space="preserve">This table converts and sums the different jobs with different wages and colas specified in table 3.1 into a </t>
  </si>
  <si>
    <t>single income stream. The work tax-adjustment is subtracted from each job income and is not COLA adjusted.</t>
  </si>
  <si>
    <t>As noted above, this is normally $0.</t>
  </si>
  <si>
    <t>V.0.22.1</t>
  </si>
  <si>
    <t>RS.9 Excel resources</t>
  </si>
  <si>
    <t>RS.8 Retirement glide-path resources and calculators</t>
  </si>
  <si>
    <t>http://www.morningstar.com/Cover/videoCenter.aspx?id=693698</t>
  </si>
  <si>
    <t>http://www.transamericacenter.org/tools-and-resources/retirement-calculators?gclid=CL6zyNHIwskCFYQfHwodfp8CBg</t>
  </si>
  <si>
    <t>Transamerica, Retirement Outlook Estimator (calculator)</t>
  </si>
  <si>
    <t>https://investor.vanguard.com/investing/investment-calculator</t>
  </si>
  <si>
    <t>Set your retirement saving goals</t>
  </si>
  <si>
    <t>Plan for a long retirement</t>
  </si>
  <si>
    <t>Complete a retirement expenses worksheet</t>
  </si>
  <si>
    <t>Approximate how much you can withdraw in retirement</t>
  </si>
  <si>
    <t>Estimate the income you’ll get from your funds</t>
  </si>
  <si>
    <t>See how investment costs affect retirement spending</t>
  </si>
  <si>
    <t>Determine your required minimum distribution (RMD)</t>
  </si>
  <si>
    <t>Calculate when you could retire</t>
  </si>
  <si>
    <t>includes:</t>
  </si>
  <si>
    <t>Retirement Glide Path: Is Comfort Key? By Christine Benz 5-9-2015 (video and transcript)</t>
  </si>
  <si>
    <t>Forbes retirement calculators</t>
  </si>
  <si>
    <t>http://www.forbes.com/sites/janetnovack/2013/01/09/these-calculators-can-raise-your-odds-of-retiring-well/</t>
  </si>
  <si>
    <t>AARP Retirement Calculator</t>
  </si>
  <si>
    <t>Calculating how much to save</t>
  </si>
  <si>
    <t>Fidelity Income Strategy Evaluator</t>
  </si>
  <si>
    <t>You need to have Fidelity account or register for free one.</t>
  </si>
  <si>
    <t>Vanguard Investment calculators &amp; tools (list of calculators). No login required.</t>
  </si>
  <si>
    <t>AARP Social Security Benefits Calculator</t>
  </si>
  <si>
    <t>Social Security Quick Calculator</t>
  </si>
  <si>
    <t>Living To 100 Life Expectancy Calculator</t>
  </si>
  <si>
    <t>College savings planner</t>
  </si>
  <si>
    <t>FinAID.org College Cost Projector</t>
  </si>
  <si>
    <t>Glide Path</t>
  </si>
  <si>
    <t>http://www.investopedia.com/terms/g/glide-path.asp</t>
  </si>
  <si>
    <t>https://personal.vanguard.com/us/insights/video/1856-TDNEP02</t>
  </si>
  <si>
    <t>Vanguard - The target-date glide path: How does it work? (video and transcript)</t>
  </si>
  <si>
    <t>Investopia definition of 'glide-path' (in terms of asset allocation)</t>
  </si>
  <si>
    <t>http://www.schwab.com/public/schwab/investing/retirement_and_planning/saving_for_retirement/retirement_calculator</t>
  </si>
  <si>
    <t>Schwab retirement calculators</t>
  </si>
  <si>
    <t xml:space="preserve">      Your expected retirement age:</t>
  </si>
  <si>
    <t xml:space="preserve">      Current value of savings portfolio:</t>
  </si>
  <si>
    <t>Savings portfolio value</t>
  </si>
  <si>
    <t>Savings contribution</t>
  </si>
  <si>
    <t xml:space="preserve">      Increase in annual contributions to savings portfolio:</t>
  </si>
  <si>
    <t xml:space="preserve">      Post-retirement annual rate of return on portfolio:</t>
  </si>
  <si>
    <t xml:space="preserve">      Pre-retirement annual rate of return on portfolio:</t>
  </si>
  <si>
    <t xml:space="preserve">      Expected annual income Cost Of Living Adjustment:</t>
  </si>
  <si>
    <t>Gross Annual Income</t>
  </si>
  <si>
    <t>Retired Annual  Expenses</t>
  </si>
  <si>
    <r>
      <t xml:space="preserve">1. Enter  your data in the </t>
    </r>
    <r>
      <rPr>
        <b/>
        <sz val="11"/>
        <color rgb="FFFF0000"/>
        <rFont val="Calibri"/>
        <family val="2"/>
        <scheme val="minor"/>
      </rPr>
      <t>Red</t>
    </r>
    <r>
      <rPr>
        <b/>
        <sz val="11"/>
        <color theme="1"/>
        <rFont val="Calibri"/>
        <family val="2"/>
        <scheme val="minor"/>
      </rPr>
      <t xml:space="preserve"> cells below.</t>
    </r>
  </si>
  <si>
    <t>Values for savings and expenses over time</t>
  </si>
  <si>
    <t>http://www.smart401k.com/Content/retail/resource-center/strategy/calculating-your-replacement-ratio</t>
  </si>
  <si>
    <t>Smart-401(k), Calculating Your Replacement Ratio</t>
  </si>
  <si>
    <t>1. Description of the SIPT Spreadsheet</t>
  </si>
  <si>
    <t xml:space="preserve">SimpleCalc </t>
  </si>
  <si>
    <t xml:space="preserve">Child provider leaves and returns to workforce or works part time; a person retires, then works half-time, etc. </t>
  </si>
  <si>
    <t xml:space="preserve">A new worksheet </t>
  </si>
  <si>
    <t xml:space="preserve">was added just after the Introduction worksheet to illustrate </t>
  </si>
  <si>
    <t>planning situations, but may help provide the motivation to investigate this type of planning using</t>
  </si>
  <si>
    <r>
      <t xml:space="preserve">better models like the SIPT. A new set of </t>
    </r>
    <r>
      <rPr>
        <b/>
        <sz val="11"/>
        <color theme="1"/>
        <rFont val="Calibri"/>
        <family val="2"/>
        <scheme val="minor"/>
      </rPr>
      <t>RS. Resources</t>
    </r>
    <r>
      <rPr>
        <sz val="11"/>
        <color theme="1"/>
        <rFont val="Calibri"/>
        <family val="2"/>
        <scheme val="minor"/>
      </rPr>
      <t xml:space="preserve"> links was inserted at </t>
    </r>
    <r>
      <rPr>
        <b/>
        <sz val="11"/>
        <color theme="1"/>
        <rFont val="Calibri"/>
        <family val="2"/>
        <scheme val="minor"/>
      </rPr>
      <t>RS.8 Retirement glide-path</t>
    </r>
  </si>
  <si>
    <t>resources and calculators.</t>
  </si>
  <si>
    <t>2. Additional parameters you can adjust or use defaults)</t>
  </si>
  <si>
    <t>S1 ends work (retires)  at age =</t>
  </si>
  <si>
    <t>S2 ends work (retires)  at age =</t>
  </si>
  <si>
    <t>Scheduled expenses when retired as percentage of when working =</t>
  </si>
  <si>
    <t>S1 yearly expenses after retire at age=</t>
  </si>
  <si>
    <t>,  is =</t>
  </si>
  <si>
    <t>S2 yearly expenses after retire at age=</t>
  </si>
  <si>
    <t xml:space="preserve">   Total (S1+S2) yearly expenses after retire =</t>
  </si>
  <si>
    <t xml:space="preserve">  (typically 70% to 100%, but varies)</t>
  </si>
  <si>
    <t>,  after retirement=</t>
  </si>
  <si>
    <t xml:space="preserve">  at age=</t>
  </si>
  <si>
    <t>Use percentage of this when retired =</t>
  </si>
  <si>
    <t>S1 yearly before retire expenses =</t>
  </si>
  <si>
    <t>S2 yearly before retire expenses =</t>
  </si>
  <si>
    <t xml:space="preserve">   Total (S1+S2) yearly expenses before retire =</t>
  </si>
  <si>
    <t xml:space="preserve"> RS. Resources</t>
  </si>
  <si>
    <t>V.0.22.2</t>
  </si>
  <si>
    <r>
      <t>Added ability to specify retired scheduled expenses as percentage of that when working in</t>
    </r>
    <r>
      <rPr>
        <b/>
        <sz val="11"/>
        <color theme="1"/>
        <rFont val="Calibri"/>
        <family val="2"/>
        <scheme val="minor"/>
      </rPr>
      <t xml:space="preserve"> RS. ExpensesData.</t>
    </r>
  </si>
  <si>
    <r>
      <t xml:space="preserve">Added calculation to compute retirement ages in </t>
    </r>
    <r>
      <rPr>
        <b/>
        <sz val="11"/>
        <color theme="1"/>
        <rFont val="Calibri"/>
        <family val="2"/>
        <scheme val="minor"/>
      </rPr>
      <t xml:space="preserve">3. WorkData </t>
    </r>
    <r>
      <rPr>
        <sz val="11"/>
        <color theme="1"/>
        <rFont val="Calibri"/>
        <family val="2"/>
        <scheme val="minor"/>
      </rPr>
      <t>as the end date if the last job specified.</t>
    </r>
  </si>
  <si>
    <t>V.0.22.3</t>
  </si>
  <si>
    <r>
      <t xml:space="preserve">Fixed bug in </t>
    </r>
    <r>
      <rPr>
        <b/>
        <sz val="11"/>
        <color theme="1"/>
        <rFont val="Calibri"/>
        <family val="2"/>
        <scheme val="minor"/>
      </rPr>
      <t>10. ExpensesData</t>
    </r>
    <r>
      <rPr>
        <sz val="11"/>
        <color theme="1"/>
        <rFont val="Calibri"/>
        <family val="2"/>
        <scheme val="minor"/>
      </rPr>
      <t xml:space="preserve"> table </t>
    </r>
    <r>
      <rPr>
        <b/>
        <sz val="11"/>
        <color theme="1"/>
        <rFont val="Calibri"/>
        <family val="2"/>
        <scheme val="minor"/>
      </rPr>
      <t>10.2.3</t>
    </r>
    <r>
      <rPr>
        <sz val="11"/>
        <color theme="1"/>
        <rFont val="Calibri"/>
        <family val="2"/>
        <scheme val="minor"/>
      </rPr>
      <t xml:space="preserve"> when added irregular deductions.</t>
    </r>
  </si>
  <si>
    <t xml:space="preserve">Both tax-deferred IRAs and Roth IRAs can be accessed at 59 1/2 without a tax penalty. This spreadsheet does not currently </t>
  </si>
  <si>
    <t>behave.</t>
  </si>
  <si>
    <r>
      <t xml:space="preserve">     </t>
    </r>
    <r>
      <rPr>
        <b/>
        <sz val="11"/>
        <color indexed="8"/>
        <rFont val="Calibri"/>
        <family val="2"/>
      </rPr>
      <t>SimpleCalc</t>
    </r>
    <r>
      <rPr>
        <sz val="11"/>
        <color indexed="8"/>
        <rFont val="Calibri"/>
        <family val="2"/>
      </rPr>
      <t xml:space="preserve"> worksheet:</t>
    </r>
  </si>
  <si>
    <t>SimpleCalc</t>
  </si>
  <si>
    <r>
      <t xml:space="preserve">worksheet. Expenses and taxes are "removed" or subtracted from the </t>
    </r>
    <r>
      <rPr>
        <b/>
        <sz val="11"/>
        <color indexed="8"/>
        <rFont val="Calibri"/>
        <family val="2"/>
      </rPr>
      <t>11. CashData</t>
    </r>
    <r>
      <rPr>
        <sz val="11"/>
        <color theme="1"/>
        <rFont val="Calibri"/>
        <family val="2"/>
        <scheme val="minor"/>
      </rPr>
      <t xml:space="preserve"> worksheet. The resulting excess (or</t>
    </r>
  </si>
  <si>
    <r>
      <t xml:space="preserve">shortfall) is calculated and added or (removed) from the taxable savings in </t>
    </r>
    <r>
      <rPr>
        <b/>
        <sz val="11"/>
        <color theme="1"/>
        <rFont val="Calibri"/>
        <family val="2"/>
        <scheme val="minor"/>
      </rPr>
      <t>9. SavingsData</t>
    </r>
    <r>
      <rPr>
        <sz val="11"/>
        <color theme="1"/>
        <rFont val="Calibri"/>
        <family val="2"/>
        <scheme val="minor"/>
      </rPr>
      <t>. Here is an example to help clarify</t>
    </r>
  </si>
  <si>
    <t xml:space="preserve">the difference between scheduled and unscheduled events. For example, you might schedule yearly withdrawals from the </t>
  </si>
  <si>
    <t>previous year are added to the current year for each of the respective accounts (whether the balance is + or -).</t>
  </si>
  <si>
    <r>
      <t xml:space="preserve">selecting </t>
    </r>
    <r>
      <rPr>
        <b/>
        <sz val="11"/>
        <color rgb="FFFF0000"/>
        <rFont val="Calibri"/>
        <family val="2"/>
        <scheme val="minor"/>
      </rPr>
      <t>"yes"</t>
    </r>
    <r>
      <rPr>
        <sz val="11"/>
        <color theme="1"/>
        <rFont val="Calibri"/>
        <family val="2"/>
        <scheme val="minor"/>
      </rPr>
      <t xml:space="preserve"> or </t>
    </r>
    <r>
      <rPr>
        <b/>
        <sz val="11"/>
        <color rgb="FFFF0000"/>
        <rFont val="Calibri"/>
        <family val="2"/>
        <scheme val="minor"/>
      </rPr>
      <t>"no"</t>
    </r>
    <r>
      <rPr>
        <sz val="11"/>
        <color theme="1"/>
        <rFont val="Calibri"/>
        <family val="2"/>
        <scheme val="minor"/>
      </rPr>
      <t>.</t>
    </r>
  </si>
  <si>
    <r>
      <t xml:space="preserve">on </t>
    </r>
    <r>
      <rPr>
        <i/>
        <u/>
        <sz val="11"/>
        <color theme="1"/>
        <rFont val="Calibri"/>
        <family val="2"/>
        <scheme val="minor"/>
      </rPr>
      <t>Unprotect worksheet</t>
    </r>
    <r>
      <rPr>
        <sz val="11"/>
        <color theme="1"/>
        <rFont val="Calibri"/>
        <family val="2"/>
        <scheme val="minor"/>
      </rPr>
      <t xml:space="preserve">. For more details on protecting/unprotecting worksheets, see </t>
    </r>
    <r>
      <rPr>
        <b/>
        <sz val="11"/>
        <color theme="1"/>
        <rFont val="Calibri"/>
        <family val="2"/>
        <scheme val="minor"/>
      </rPr>
      <t>RS. Resources RS.9 Excel resources.</t>
    </r>
  </si>
  <si>
    <t>this additional money is added to the Cash-flow, the expenses will be covered and the Cash-flow will not show a negative</t>
  </si>
  <si>
    <t>the account will run out of money and will show a negative balance. This last error checking will warn you in case</t>
  </si>
  <si>
    <r>
      <t>If a particular data worksheet does not apply to one of the spouses S1 or S2, or there is no spouse S2, then just enter</t>
    </r>
    <r>
      <rPr>
        <b/>
        <sz val="11"/>
        <color rgb="FFFF0000"/>
        <rFont val="Calibri"/>
        <family val="2"/>
      </rPr>
      <t xml:space="preserve"> $0 </t>
    </r>
    <r>
      <rPr>
        <sz val="11"/>
        <color indexed="8"/>
        <rFont val="Calibri"/>
        <family val="2"/>
      </rPr>
      <t>for any</t>
    </r>
  </si>
  <si>
    <r>
      <t>the various data sources. Although by not using that worksheet specified in</t>
    </r>
    <r>
      <rPr>
        <b/>
        <sz val="11"/>
        <color indexed="8"/>
        <rFont val="Calibri"/>
        <family val="2"/>
      </rPr>
      <t xml:space="preserve"> S. Setup </t>
    </r>
    <r>
      <rPr>
        <sz val="11"/>
        <color indexed="8"/>
        <rFont val="Calibri"/>
        <family val="2"/>
      </rPr>
      <t xml:space="preserve">section </t>
    </r>
    <r>
      <rPr>
        <b/>
        <sz val="11"/>
        <color indexed="8"/>
        <rFont val="Calibri"/>
        <family val="2"/>
      </rPr>
      <t>S.1</t>
    </r>
    <r>
      <rPr>
        <sz val="11"/>
        <color indexed="8"/>
        <rFont val="Calibri"/>
        <family val="2"/>
      </rPr>
      <t>, it will also ignore that data.</t>
    </r>
  </si>
  <si>
    <t>As you enter the data into the various worksheets, the spreadsheet will automatically recompute the other worksheets that use</t>
  </si>
  <si>
    <r>
      <t xml:space="preserve">You can model the income stream in various ways using temporary changes in the </t>
    </r>
    <r>
      <rPr>
        <b/>
        <sz val="11"/>
        <color indexed="8"/>
        <rFont val="Calibri"/>
        <family val="2"/>
      </rPr>
      <t>S. Setup</t>
    </r>
    <r>
      <rPr>
        <sz val="11"/>
        <color indexed="8"/>
        <rFont val="Calibri"/>
        <family val="2"/>
      </rPr>
      <t xml:space="preserve"> configuration you might make. For </t>
    </r>
  </si>
  <si>
    <t>example you could leave out various income sources such as stopping work, adding an annuity, adding a Roth IRA, etc. You could</t>
  </si>
  <si>
    <t>also try using different years for claiming Social Security, working longer, taking withdrawals from the IRAs or savings at</t>
  </si>
  <si>
    <t>which you enter your personal data, those that you may have to edit when the IRS rule or data changes, a cash-flow table where</t>
  </si>
  <si>
    <r>
      <t xml:space="preserve">income and expenses are tallied, and finally the </t>
    </r>
    <r>
      <rPr>
        <b/>
        <sz val="11"/>
        <color indexed="8"/>
        <rFont val="Calibri"/>
        <family val="2"/>
      </rPr>
      <t>R. Results</t>
    </r>
    <r>
      <rPr>
        <sz val="11"/>
        <color theme="1"/>
        <rFont val="Calibri"/>
        <family val="2"/>
        <scheme val="minor"/>
      </rPr>
      <t xml:space="preserve"> worksheet where results are summarized. It may be useful to look</t>
    </r>
  </si>
  <si>
    <r>
      <t xml:space="preserve">It also allows you specify the tax-free deduction as a percentage in </t>
    </r>
    <r>
      <rPr>
        <b/>
        <sz val="11"/>
        <color indexed="8"/>
        <rFont val="Calibri"/>
        <family val="2"/>
      </rPr>
      <t>9. SavingsData</t>
    </r>
    <r>
      <rPr>
        <sz val="11"/>
        <color indexed="8"/>
        <rFont val="Calibri"/>
        <family val="2"/>
      </rPr>
      <t xml:space="preserve"> section </t>
    </r>
    <r>
      <rPr>
        <b/>
        <sz val="11"/>
        <color indexed="8"/>
        <rFont val="Calibri"/>
        <family val="2"/>
      </rPr>
      <t xml:space="preserve">9.2 </t>
    </r>
    <r>
      <rPr>
        <sz val="11"/>
        <color indexed="8"/>
        <rFont val="Calibri"/>
        <family val="2"/>
      </rPr>
      <t xml:space="preserve">so that muni bond income </t>
    </r>
  </si>
  <si>
    <t>could be approximated.</t>
  </si>
  <si>
    <t>Next SIPT worksheet (Assumptions)</t>
  </si>
  <si>
    <r>
      <t xml:space="preserve">Extensive edit of description in the </t>
    </r>
    <r>
      <rPr>
        <b/>
        <sz val="11"/>
        <color theme="1"/>
        <rFont val="Calibri"/>
        <family val="2"/>
        <scheme val="minor"/>
      </rPr>
      <t>Introduction.</t>
    </r>
    <r>
      <rPr>
        <sz val="11"/>
        <color theme="1"/>
        <rFont val="Calibri"/>
        <family val="2"/>
        <scheme val="minor"/>
      </rPr>
      <t xml:space="preserve"> </t>
    </r>
  </si>
  <si>
    <t>Elementary glide-path calculator (SimpleCalc)</t>
  </si>
  <si>
    <t>Work start s3</t>
  </si>
  <si>
    <t>Work end s3</t>
  </si>
  <si>
    <t>Total Net Worth of S1+S2 IRAs and taxable savings accounts PV</t>
  </si>
  <si>
    <r>
      <t xml:space="preserve">      Your current age (same as retired if </t>
    </r>
    <r>
      <rPr>
        <i/>
        <u/>
        <sz val="10"/>
        <color theme="1"/>
        <rFont val="Calibri"/>
        <family val="2"/>
        <scheme val="minor"/>
      </rPr>
      <t>already</t>
    </r>
    <r>
      <rPr>
        <sz val="10"/>
        <color theme="1"/>
        <rFont val="Calibri"/>
        <family val="2"/>
        <scheme val="minor"/>
      </rPr>
      <t xml:space="preserve"> retired):</t>
    </r>
  </si>
  <si>
    <t xml:space="preserve">      Current gross annual income (GAI):</t>
  </si>
  <si>
    <t xml:space="preserve">      Percent of GAI needed in retirement when retire:</t>
  </si>
  <si>
    <t>V.0.22.4</t>
  </si>
  <si>
    <r>
      <t xml:space="preserve">Enhanced </t>
    </r>
    <r>
      <rPr>
        <b/>
        <sz val="11"/>
        <color theme="1"/>
        <rFont val="Calibri"/>
        <family val="2"/>
        <scheme val="minor"/>
      </rPr>
      <t>SimpleCalc</t>
    </r>
    <r>
      <rPr>
        <sz val="11"/>
        <color theme="1"/>
        <rFont val="Calibri"/>
        <family val="2"/>
        <scheme val="minor"/>
      </rPr>
      <t xml:space="preserve"> to do special calculation for when the current age is the retirement age when already in </t>
    </r>
  </si>
  <si>
    <t>retirement.</t>
  </si>
  <si>
    <t>Appendix A. List of all worksheets describing their tables and sections</t>
  </si>
  <si>
    <t>Articles, literature, web sites</t>
  </si>
  <si>
    <t>List of outstanding issues and Revision  list</t>
  </si>
  <si>
    <t>List of all worksheets tables &amp; section</t>
  </si>
  <si>
    <t xml:space="preserve">Click on the each of the red entries below  and a popup selector like </t>
  </si>
  <si>
    <t xml:space="preserve">will appear. </t>
  </si>
  <si>
    <t>Then select one of the entries.</t>
  </si>
  <si>
    <t xml:space="preserve">           will appear. </t>
  </si>
  <si>
    <t xml:space="preserve">     will appear. </t>
  </si>
  <si>
    <t>Previous worksheet (SimpleCalc)</t>
  </si>
  <si>
    <t xml:space="preserve">Click on the red entry below and a popup selector like </t>
  </si>
  <si>
    <r>
      <t xml:space="preserve">      5.1.3 Otherwise, </t>
    </r>
    <r>
      <rPr>
        <u/>
        <sz val="11"/>
        <rFont val="Calibri"/>
        <family val="2"/>
      </rPr>
      <t>if you are age 62 or younger</t>
    </r>
    <r>
      <rPr>
        <sz val="11"/>
        <rFont val="Calibri"/>
        <family val="2"/>
      </rPr>
      <t xml:space="preserve"> enter your monthly benefit at age 62</t>
    </r>
  </si>
  <si>
    <r>
      <t xml:space="preserve">           5.1.3.1 Note approximated taxes by following % on </t>
    </r>
    <r>
      <rPr>
        <u/>
        <sz val="11"/>
        <color indexed="8"/>
        <rFont val="Calibri"/>
        <family val="2"/>
      </rPr>
      <t>all</t>
    </r>
    <r>
      <rPr>
        <sz val="11"/>
        <color indexed="8"/>
        <rFont val="Calibri"/>
        <family val="2"/>
      </rPr>
      <t xml:space="preserve">  Soc. Sec. benefits over the IRS minimum</t>
    </r>
  </si>
  <si>
    <t xml:space="preserve">        5.1.4 Social Security benefits to use in rest of computations.</t>
  </si>
  <si>
    <r>
      <t>the benefits in section 5</t>
    </r>
    <r>
      <rPr>
        <b/>
        <sz val="11"/>
        <color indexed="8"/>
        <rFont val="Calibri"/>
        <family val="2"/>
      </rPr>
      <t>.1.1</t>
    </r>
    <r>
      <rPr>
        <sz val="11"/>
        <color indexed="8"/>
        <rFont val="Calibri"/>
        <family val="2"/>
      </rPr>
      <t xml:space="preserve">. Finally, the 3rd case is in section </t>
    </r>
    <r>
      <rPr>
        <b/>
        <sz val="11"/>
        <color indexed="8"/>
        <rFont val="Calibri"/>
        <family val="2"/>
      </rPr>
      <t xml:space="preserve">5.1.3 </t>
    </r>
    <r>
      <rPr>
        <sz val="11"/>
        <color indexed="8"/>
        <rFont val="Calibri"/>
        <family val="2"/>
      </rPr>
      <t>for people below 62 who will not have taken</t>
    </r>
  </si>
  <si>
    <r>
      <t xml:space="preserve">data from the SSA Web site). There are other entries possible in section </t>
    </r>
    <r>
      <rPr>
        <b/>
        <sz val="11"/>
        <color indexed="8"/>
        <rFont val="Calibri"/>
        <family val="2"/>
      </rPr>
      <t>5.1.3</t>
    </r>
    <r>
      <rPr>
        <sz val="11"/>
        <color indexed="8"/>
        <rFont val="Calibri"/>
        <family val="2"/>
      </rPr>
      <t xml:space="preserve">, but the defaults are </t>
    </r>
  </si>
  <si>
    <r>
      <t>is the CPI (which you can override). The value of the Social Security benefit used in this spreadsheet is listed in</t>
    </r>
    <r>
      <rPr>
        <b/>
        <sz val="11"/>
        <color indexed="8"/>
        <rFont val="Calibri"/>
        <family val="2"/>
      </rPr>
      <t xml:space="preserve"> 5.1.4.</t>
    </r>
  </si>
  <si>
    <t>Share all Soc. Sec. benefits (in this spreadsheet) 50%:50%?=</t>
  </si>
  <si>
    <r>
      <t>Current S1 Soc.Sec. monthly benefit if</t>
    </r>
    <r>
      <rPr>
        <b/>
        <u val="singleAccounting"/>
        <sz val="11"/>
        <rFont val="Calibri"/>
        <family val="2"/>
      </rPr>
      <t xml:space="preserve"> already</t>
    </r>
    <r>
      <rPr>
        <b/>
        <sz val="11"/>
        <rFont val="Calibri"/>
        <family val="2"/>
      </rPr>
      <t xml:space="preserve"> started= </t>
    </r>
  </si>
  <si>
    <t>5.1 Enter Social Security Income and Claiming data</t>
  </si>
  <si>
    <r>
      <t>5.1.3 I</t>
    </r>
    <r>
      <rPr>
        <b/>
        <u/>
        <sz val="14"/>
        <rFont val="Calibri"/>
        <family val="2"/>
      </rPr>
      <t>f you are age 62 or younger;</t>
    </r>
    <r>
      <rPr>
        <b/>
        <sz val="14"/>
        <rFont val="Calibri"/>
        <family val="2"/>
      </rPr>
      <t xml:space="preserve"> enter your monthly benefit at age 62</t>
    </r>
  </si>
  <si>
    <r>
      <t xml:space="preserve">5.1.3.1 Note approximated taxes by following % on </t>
    </r>
    <r>
      <rPr>
        <b/>
        <u/>
        <sz val="14"/>
        <color indexed="8"/>
        <rFont val="Calibri"/>
        <family val="2"/>
      </rPr>
      <t>all</t>
    </r>
    <r>
      <rPr>
        <b/>
        <sz val="14"/>
        <color indexed="8"/>
        <rFont val="Calibri"/>
        <family val="2"/>
      </rPr>
      <t xml:space="preserve"> Soc. Sec. benefits over IRS minimum</t>
    </r>
  </si>
  <si>
    <r>
      <t xml:space="preserve">5.1.3.2 Change in Soc. Sec. payout if Soc. Sec. Trust fund runs out of money </t>
    </r>
    <r>
      <rPr>
        <b/>
        <vertAlign val="superscript"/>
        <sz val="14"/>
        <color theme="1"/>
        <rFont val="Calibri"/>
        <family val="2"/>
        <scheme val="minor"/>
      </rPr>
      <t>**</t>
    </r>
    <r>
      <rPr>
        <b/>
        <sz val="14"/>
        <color theme="1"/>
        <rFont val="Calibri"/>
        <family val="2"/>
        <scheme val="minor"/>
      </rPr>
      <t>.</t>
    </r>
  </si>
  <si>
    <t>5.1.4 Social Security benefits to use in rest of computations.</t>
  </si>
  <si>
    <t xml:space="preserve">5.2. Computed Social Security Benefits showing benefits for each year of delay </t>
  </si>
  <si>
    <t>5.3 Social Security income for S1 and S2 (shared or sole)</t>
  </si>
  <si>
    <t>V.0.23.1</t>
  </si>
  <si>
    <t>S1 tax deferred value</t>
  </si>
  <si>
    <t>S2 tax deferred value</t>
  </si>
  <si>
    <t>no-RMD</t>
  </si>
  <si>
    <t>N.A.</t>
  </si>
  <si>
    <t>See IRS rules on withdrawing from IRAs</t>
  </si>
  <si>
    <r>
      <t xml:space="preserve">S1 Estimated future </t>
    </r>
    <r>
      <rPr>
        <b/>
        <u/>
        <sz val="11"/>
        <color indexed="8"/>
        <rFont val="Calibri"/>
        <family val="2"/>
      </rPr>
      <t>Stock</t>
    </r>
    <r>
      <rPr>
        <b/>
        <sz val="11"/>
        <color indexed="8"/>
        <rFont val="Calibri"/>
        <family val="2"/>
      </rPr>
      <t xml:space="preserve"> ROR (Rs)=</t>
    </r>
  </si>
  <si>
    <r>
      <t xml:space="preserve">S2 Estimated future </t>
    </r>
    <r>
      <rPr>
        <b/>
        <u/>
        <sz val="11"/>
        <color indexed="8"/>
        <rFont val="Calibri"/>
        <family val="2"/>
      </rPr>
      <t>Bond</t>
    </r>
    <r>
      <rPr>
        <b/>
        <sz val="11"/>
        <color indexed="8"/>
        <rFont val="Calibri"/>
        <family val="2"/>
      </rPr>
      <t xml:space="preserve"> ROR (Rb)=</t>
    </r>
  </si>
  <si>
    <t>401(k)-Roth</t>
  </si>
  <si>
    <t>std-RMD</t>
  </si>
  <si>
    <t>S2</t>
  </si>
  <si>
    <t>The term policy will have an end date while the whole-life  can use the deceased date. If the tax-free policy pays</t>
  </si>
  <si>
    <t>1.4 Optional life insurance policies</t>
  </si>
  <si>
    <t xml:space="preserve">    1.4 Optional life insurance policies</t>
  </si>
  <si>
    <t>S1+S2 cash flow (income + withdrawals - contributions - expenses - taxes) FV</t>
  </si>
  <si>
    <t>S1 life insur. Payout</t>
  </si>
  <si>
    <t>S2 life insur. Payout</t>
  </si>
  <si>
    <r>
      <t xml:space="preserve">off at death, then the value can be retained by the other spouse if listed as the owner. If </t>
    </r>
    <r>
      <rPr>
        <b/>
        <sz val="11"/>
        <color rgb="FFFF0000"/>
        <rFont val="Calibri"/>
        <family val="2"/>
      </rPr>
      <t>Other,</t>
    </r>
    <r>
      <rPr>
        <sz val="11"/>
        <color indexed="8"/>
        <rFont val="Calibri"/>
        <family val="2"/>
      </rPr>
      <t xml:space="preserve"> then not used.</t>
    </r>
  </si>
  <si>
    <r>
      <t>Savings S1 and S2 accounts unless the accounts are "</t>
    </r>
    <r>
      <rPr>
        <b/>
        <sz val="11"/>
        <color indexed="8"/>
        <rFont val="Calibri"/>
        <family val="2"/>
      </rPr>
      <t>removed</t>
    </r>
    <r>
      <rPr>
        <sz val="11"/>
        <color indexed="8"/>
        <rFont val="Calibri"/>
        <family val="2"/>
      </rPr>
      <t xml:space="preserve">" on death (set in </t>
    </r>
    <r>
      <rPr>
        <b/>
        <sz val="11"/>
        <color indexed="8"/>
        <rFont val="Calibri"/>
        <family val="2"/>
      </rPr>
      <t xml:space="preserve">S.Setup </t>
    </r>
    <r>
      <rPr>
        <sz val="11"/>
        <color indexed="8"/>
        <rFont val="Calibri"/>
        <family val="2"/>
      </rPr>
      <t xml:space="preserve">section </t>
    </r>
    <r>
      <rPr>
        <b/>
        <sz val="11"/>
        <color indexed="8"/>
        <rFont val="Calibri"/>
        <family val="2"/>
      </rPr>
      <t>S.3</t>
    </r>
    <r>
      <rPr>
        <sz val="11"/>
        <color indexed="8"/>
        <rFont val="Calibri"/>
        <family val="2"/>
      </rPr>
      <t>) or the</t>
    </r>
  </si>
  <si>
    <r>
      <t xml:space="preserve">Note that  insurance payouts to the </t>
    </r>
    <r>
      <rPr>
        <b/>
        <sz val="11"/>
        <color rgb="FFFF0000"/>
        <rFont val="Calibri"/>
        <family val="2"/>
      </rPr>
      <t>S1</t>
    </r>
    <r>
      <rPr>
        <sz val="11"/>
        <color indexed="8"/>
        <rFont val="Calibri"/>
        <family val="2"/>
      </rPr>
      <t xml:space="preserve"> and </t>
    </r>
    <r>
      <rPr>
        <b/>
        <sz val="11"/>
        <color rgb="FFFF0000"/>
        <rFont val="Calibri"/>
        <family val="2"/>
      </rPr>
      <t>S2</t>
    </r>
    <r>
      <rPr>
        <sz val="11"/>
        <color indexed="8"/>
        <rFont val="Calibri"/>
        <family val="2"/>
      </rPr>
      <t xml:space="preserve">  (and cash-flow reconciliation at the end of each year) are into the</t>
    </r>
  </si>
  <si>
    <r>
      <t xml:space="preserve">Note: Only update the following </t>
    </r>
    <r>
      <rPr>
        <b/>
        <sz val="11"/>
        <color theme="9" tint="-0.249977111117893"/>
        <rFont val="Calibri"/>
        <family val="2"/>
      </rPr>
      <t>ORANGE</t>
    </r>
    <r>
      <rPr>
        <sz val="11"/>
        <color indexed="8"/>
        <rFont val="Calibri"/>
        <family val="2"/>
      </rPr>
      <t xml:space="preserve"> entries for future years when the U.S.</t>
    </r>
  </si>
  <si>
    <t>S1</t>
  </si>
  <si>
    <t>S1 life insur. Payout (S1 to S1) FV</t>
  </si>
  <si>
    <t>S1 life insur. Payout (S2 to S1) FV</t>
  </si>
  <si>
    <t>S1 life insur. Payout FV</t>
  </si>
  <si>
    <t>S2 life insur. Payout FV</t>
  </si>
  <si>
    <t>1.4.1 Payouts on life insurance policies</t>
  </si>
  <si>
    <t>S2 payout to Other</t>
  </si>
  <si>
    <t>S1 payout to Other</t>
  </si>
  <si>
    <r>
      <t xml:space="preserve">This shows the insurance payouts when S1 and S2 are deceased if the payee is </t>
    </r>
    <r>
      <rPr>
        <b/>
        <sz val="11"/>
        <color rgb="FFFF0000"/>
        <rFont val="Calibri"/>
        <family val="2"/>
      </rPr>
      <t>S1</t>
    </r>
    <r>
      <rPr>
        <sz val="11"/>
        <color indexed="8"/>
        <rFont val="Calibri"/>
        <family val="2"/>
      </rPr>
      <t xml:space="preserve"> or</t>
    </r>
    <r>
      <rPr>
        <b/>
        <sz val="11"/>
        <color rgb="FFFF0000"/>
        <rFont val="Calibri"/>
        <family val="2"/>
      </rPr>
      <t xml:space="preserve"> S2</t>
    </r>
    <r>
      <rPr>
        <sz val="11"/>
        <color indexed="8"/>
        <rFont val="Calibri"/>
        <family val="2"/>
      </rPr>
      <t xml:space="preserve">. If </t>
    </r>
    <r>
      <rPr>
        <b/>
        <sz val="11"/>
        <color rgb="FFFF0000"/>
        <rFont val="Calibri"/>
        <family val="2"/>
      </rPr>
      <t>Other</t>
    </r>
    <r>
      <rPr>
        <b/>
        <sz val="11"/>
        <rFont val="Calibri"/>
        <family val="2"/>
      </rPr>
      <t>,</t>
    </r>
    <r>
      <rPr>
        <sz val="11"/>
        <color indexed="8"/>
        <rFont val="Calibri"/>
        <family val="2"/>
      </rPr>
      <t xml:space="preserve"> it is assumed </t>
    </r>
  </si>
  <si>
    <r>
      <t>that the payout is ignored. These S1, S2 payouts are  added to savings in</t>
    </r>
    <r>
      <rPr>
        <b/>
        <sz val="11"/>
        <color indexed="8"/>
        <rFont val="Calibri"/>
        <family val="2"/>
      </rPr>
      <t xml:space="preserve"> 9. SavingsData</t>
    </r>
    <r>
      <rPr>
        <sz val="11"/>
        <color indexed="8"/>
        <rFont val="Calibri"/>
        <family val="2"/>
      </rPr>
      <t xml:space="preserve"> table </t>
    </r>
    <r>
      <rPr>
        <b/>
        <sz val="11"/>
        <color indexed="8"/>
        <rFont val="Calibri"/>
        <family val="2"/>
      </rPr>
      <t>9.4.3</t>
    </r>
    <r>
      <rPr>
        <sz val="11"/>
        <color indexed="8"/>
        <rFont val="Calibri"/>
        <family val="2"/>
      </rPr>
      <t>.</t>
    </r>
  </si>
  <si>
    <r>
      <t xml:space="preserve">Added a term-insurance policy for S1 and S2 in </t>
    </r>
    <r>
      <rPr>
        <b/>
        <sz val="11"/>
        <color theme="1"/>
        <rFont val="Calibri"/>
        <family val="2"/>
        <scheme val="minor"/>
      </rPr>
      <t xml:space="preserve">1. AgeData table 1.4.1 </t>
    </r>
    <r>
      <rPr>
        <sz val="11"/>
        <color theme="1"/>
        <rFont val="Calibri"/>
        <family val="2"/>
        <scheme val="minor"/>
      </rPr>
      <t xml:space="preserve">with they payouts if any paid into </t>
    </r>
  </si>
  <si>
    <t xml:space="preserve">Savings(y+1) = Savings(y) + Rsavings(y) + Csavings(y)  - Wsavings(y) + ExcessCash(y) </t>
  </si>
  <si>
    <t>Rsavings(y) = RtaxFree(y) + Rstcg(y) + Rltcg(y) + InsurancePayout(y)</t>
  </si>
  <si>
    <t>It is used to credit or debit cash from the CashData sheet each year.</t>
  </si>
  <si>
    <t>muni bonds (or funds or ETFs). The "Other" is cash and checking accounts.</t>
  </si>
  <si>
    <r>
      <t xml:space="preserve">ROR that </t>
    </r>
    <r>
      <rPr>
        <u/>
        <sz val="11"/>
        <color indexed="8"/>
        <rFont val="Calibri"/>
        <family val="2"/>
      </rPr>
      <t>you</t>
    </r>
    <r>
      <rPr>
        <sz val="11"/>
        <color indexed="8"/>
        <rFont val="Calibri"/>
        <family val="2"/>
      </rPr>
      <t xml:space="preserve"> entered in the </t>
    </r>
    <r>
      <rPr>
        <b/>
        <sz val="11"/>
        <color indexed="8"/>
        <rFont val="Calibri"/>
        <family val="2"/>
      </rPr>
      <t>1. AgeData</t>
    </r>
    <r>
      <rPr>
        <sz val="11"/>
        <color indexed="8"/>
        <rFont val="Calibri"/>
        <family val="2"/>
      </rPr>
      <t xml:space="preserve"> worksheet (shown in blue just below). </t>
    </r>
  </si>
  <si>
    <t>www.aaii.com/journal/article/the-individual-investors-guide-to-personal-tax-planning-2015</t>
  </si>
  <si>
    <t>The Individual Investor’s Guide to Personal Tax Planning 2015</t>
  </si>
  <si>
    <t xml:space="preserve">   5.2 Computed Social Security Benefits showing benefits for each year of delay in claiming benefits</t>
  </si>
  <si>
    <t xml:space="preserve">   5.2 Computed Social Security Benefits showing benefits for each year if delay claiming benefits</t>
  </si>
  <si>
    <r>
      <t>STCG are taxed at the marginal tax rate while LTCG and DIV are taxed at a lower rate (see</t>
    </r>
    <r>
      <rPr>
        <b/>
        <sz val="11"/>
        <color indexed="8"/>
        <rFont val="Calibri"/>
        <family val="2"/>
      </rPr>
      <t xml:space="preserve"> 2. TaxData</t>
    </r>
    <r>
      <rPr>
        <sz val="11"/>
        <color indexed="8"/>
        <rFont val="Calibri"/>
        <family val="2"/>
      </rPr>
      <t>) for now.</t>
    </r>
  </si>
  <si>
    <r>
      <t xml:space="preserve">Any tax-free insurance payout is also added to the savings in the year it occurred and is computed in </t>
    </r>
    <r>
      <rPr>
        <b/>
        <sz val="11"/>
        <color indexed="8"/>
        <rFont val="Calibri"/>
        <family val="2"/>
      </rPr>
      <t>1. AgeData</t>
    </r>
  </si>
  <si>
    <r>
      <t xml:space="preserve">         </t>
    </r>
    <r>
      <rPr>
        <b/>
        <sz val="11"/>
        <color indexed="8"/>
        <rFont val="Calibri"/>
        <family val="2"/>
      </rPr>
      <t>5. WorkData</t>
    </r>
    <r>
      <rPr>
        <sz val="11"/>
        <color indexed="8"/>
        <rFont val="Calibri"/>
        <family val="2"/>
      </rPr>
      <t xml:space="preserve"> worksheet. Note that once you are taking Medicare the part B etc. that you are for are considered a </t>
    </r>
  </si>
  <si>
    <t xml:space="preserve">         scheduled expense.</t>
  </si>
  <si>
    <r>
      <t xml:space="preserve">   </t>
    </r>
    <r>
      <rPr>
        <b/>
        <sz val="11"/>
        <color theme="1"/>
        <rFont val="Calibri"/>
        <family val="2"/>
        <scheme val="minor"/>
      </rPr>
      <t xml:space="preserve"> a) </t>
    </r>
    <r>
      <rPr>
        <sz val="11"/>
        <color theme="1"/>
        <rFont val="Calibri"/>
        <family val="2"/>
        <scheme val="minor"/>
      </rPr>
      <t>full demo data</t>
    </r>
  </si>
  <si>
    <t>You MAY edit this worksheet. If you have no savings and contributions, set values to $0.</t>
  </si>
  <si>
    <t>sorted by age, and life insurance payouts</t>
  </si>
  <si>
    <t xml:space="preserve">           9.4.2.1 Savings account Scheduled Contributions and Scheduled Withdrawals sorted by age, and insurance payouts</t>
  </si>
  <si>
    <t>9.5 Value of Savings, Savings Capital Gains &amp; Dividends, and Tax-Free Dividends</t>
  </si>
  <si>
    <t xml:space="preserve">          9.4.2.1 Savings account Scheduled Contributions &amp; Withdrawals sorted by age, insurance payouts</t>
  </si>
  <si>
    <t xml:space="preserve">      9.5 Value of Savings, Savings Capital Gains &amp; Dividends, and Tax-Free Dividends</t>
  </si>
  <si>
    <t>How life insurance payouts are handled</t>
  </si>
  <si>
    <t>V.0.24.1</t>
  </si>
  <si>
    <t>bonds, CDs, money markets, cash, etc.</t>
  </si>
  <si>
    <t>The default ROR is estimated as (Ps*Rs + Pb*Rb)/(Ps+Pb) with Ps (your % stocks) and Pb (your % bonds).</t>
  </si>
  <si>
    <t>S1 Type of IRA</t>
  </si>
  <si>
    <t>S2 Type of IRA</t>
  </si>
  <si>
    <t>Enter your data in the red cells in the following table for your type(s) of IRAs. Ignore any cells with a gray background.</t>
  </si>
  <si>
    <t>Percent of income saved while working</t>
  </si>
  <si>
    <t>Enter your data in the red cells in the following table for your jobs. Ignore any cells with a gray background</t>
  </si>
  <si>
    <t>There are many simple retirement glide path calculators and some of them are listed in the</t>
  </si>
  <si>
    <t>You run out of savings at age</t>
  </si>
  <si>
    <t>The value of your savings at retirement</t>
  </si>
  <si>
    <t>Enter your data in the red cells in the following pension section. Ignore any cells with a gray background.</t>
  </si>
  <si>
    <t>S1 amount contribute each year</t>
  </si>
  <si>
    <t>S2 amount contribute each year</t>
  </si>
  <si>
    <t>S1 percent yearly increase</t>
  </si>
  <si>
    <t>S1 age start contributing</t>
  </si>
  <si>
    <t>S1 age end contributing</t>
  </si>
  <si>
    <t>S2 age end contributing</t>
  </si>
  <si>
    <t>S2 age start contributing</t>
  </si>
  <si>
    <t>S2 percent yearly increase</t>
  </si>
  <si>
    <t>S1 age start withdrawing</t>
  </si>
  <si>
    <t>S1 age end withdrawing</t>
  </si>
  <si>
    <t>S1 age checks</t>
  </si>
  <si>
    <t>S2 age checks</t>
  </si>
  <si>
    <t xml:space="preserve"> Note: IRS FAQ on IRA rules:</t>
  </si>
  <si>
    <t>S1 percent amount withdraw each year</t>
  </si>
  <si>
    <t>S2 percent amount withdraw each year</t>
  </si>
  <si>
    <t>S2 age start withdrawing</t>
  </si>
  <si>
    <t>S2 age end withdrawing</t>
  </si>
  <si>
    <r>
      <t xml:space="preserve">Added the ability to enter up to 3 jobs per spouse in Table-GUI for the </t>
    </r>
    <r>
      <rPr>
        <b/>
        <sz val="11"/>
        <color theme="1"/>
        <rFont val="Calibri"/>
        <family val="2"/>
        <scheme val="minor"/>
      </rPr>
      <t xml:space="preserve">3. WorkData </t>
    </r>
    <r>
      <rPr>
        <sz val="11"/>
        <color theme="1"/>
        <rFont val="Calibri"/>
        <family val="2"/>
        <scheme val="minor"/>
      </rPr>
      <t xml:space="preserve">worksheet section </t>
    </r>
    <r>
      <rPr>
        <b/>
        <sz val="11"/>
        <color theme="1"/>
        <rFont val="Calibri"/>
        <family val="2"/>
        <scheme val="minor"/>
      </rPr>
      <t>3.1</t>
    </r>
    <r>
      <rPr>
        <sz val="11"/>
        <color theme="1"/>
        <rFont val="Calibri"/>
        <family val="2"/>
        <scheme val="minor"/>
      </rPr>
      <t xml:space="preserve"> with</t>
    </r>
  </si>
  <si>
    <t>separate COLAs that can be simultaneous or sequential with gaps in time between them if desired. For example,</t>
  </si>
  <si>
    <t>Table-GUI</t>
  </si>
  <si>
    <t>S1 Value of Roth</t>
  </si>
  <si>
    <t>S2 value of Roth</t>
  </si>
  <si>
    <t>S1 Value of 401(k)-Roth</t>
  </si>
  <si>
    <t>S2 Value of 401(k)-Roth</t>
  </si>
  <si>
    <t>http://www.schwab.com/public/schwab/investing/retirement_and_planning/understanding_iras/inherited_ira/withdrawal_rules</t>
  </si>
  <si>
    <t xml:space="preserve">a) For the inherited-IRA 5-year RMD rule, we approximate the 5 year rule by taking 1/5, 1/4, 1/3, 1/2 and 1/1 the </t>
  </si>
  <si>
    <t>b) For the inherited-IRA lifetime RMD rule, "Distributions are spread over the beneficiary's single life expectancy "</t>
  </si>
  <si>
    <t>Schwab website details the rules for handling inherited IRAs and Roths:</t>
  </si>
  <si>
    <t>inherited-5yr</t>
  </si>
  <si>
    <t>inherited-Life</t>
  </si>
  <si>
    <t>Note: See the following web site details the rules for handling inherited IRAs and Roths:</t>
  </si>
  <si>
    <t>S1 Roth Scheduled Withdrawal</t>
  </si>
  <si>
    <t>S2 Roth Scheduled Withdrawal</t>
  </si>
  <si>
    <t>S1 IRA 401(k) RMD Dist. Period</t>
  </si>
  <si>
    <t>S2 IRA 401(k) RMD Dist. Period</t>
  </si>
  <si>
    <t>RMD as %  to withdraw is 1/Distribution Period</t>
  </si>
  <si>
    <t>(used as the default in the RMD calculations)</t>
  </si>
  <si>
    <r>
      <t xml:space="preserve">12.1 </t>
    </r>
    <r>
      <rPr>
        <b/>
        <u val="singleAccounting"/>
        <sz val="12"/>
        <color indexed="8"/>
        <rFont val="Calibri"/>
        <family val="2"/>
      </rPr>
      <t>Uniform Lifetime Table</t>
    </r>
    <r>
      <rPr>
        <b/>
        <sz val="12"/>
        <color indexed="8"/>
        <rFont val="Calibri"/>
        <family val="2"/>
      </rPr>
      <t xml:space="preserve">  for age 70 RMDs</t>
    </r>
  </si>
  <si>
    <t>RMD calculations)</t>
  </si>
  <si>
    <t>https://www.irs.gov/publications/p590b/</t>
  </si>
  <si>
    <r>
      <t xml:space="preserve">3. The </t>
    </r>
    <r>
      <rPr>
        <u/>
        <sz val="11"/>
        <color indexed="8"/>
        <rFont val="Calibri"/>
        <family val="2"/>
      </rPr>
      <t>Single Life Expectancy Table</t>
    </r>
    <r>
      <rPr>
        <sz val="11"/>
        <color indexed="8"/>
        <rFont val="Calibri"/>
        <family val="2"/>
      </rPr>
      <t xml:space="preserve"> is used by a beneficiary of an account. (This is Table </t>
    </r>
    <r>
      <rPr>
        <b/>
        <sz val="11"/>
        <color indexed="8"/>
        <rFont val="Calibri"/>
        <family val="2"/>
      </rPr>
      <t xml:space="preserve">12.2 </t>
    </r>
    <r>
      <rPr>
        <sz val="11"/>
        <color indexed="8"/>
        <rFont val="Calibri"/>
        <family val="2"/>
      </rPr>
      <t>below)</t>
    </r>
  </si>
  <si>
    <r>
      <t xml:space="preserve">1. The </t>
    </r>
    <r>
      <rPr>
        <u/>
        <sz val="11"/>
        <color indexed="8"/>
        <rFont val="Calibri"/>
        <family val="2"/>
      </rPr>
      <t>Joint and Last Survivor Table</t>
    </r>
    <r>
      <rPr>
        <sz val="11"/>
        <color indexed="8"/>
        <rFont val="Calibri"/>
        <family val="2"/>
      </rPr>
      <t xml:space="preserve"> is used by an account owner whose sole beneficiary of the account is his or her </t>
    </r>
  </si>
  <si>
    <t xml:space="preserve">    spouse and is more than 10 years younger than the account owner; This table in not handled by the SIPT spreadsheet.</t>
  </si>
  <si>
    <r>
      <t xml:space="preserve">2. The </t>
    </r>
    <r>
      <rPr>
        <u/>
        <sz val="11"/>
        <color indexed="8"/>
        <rFont val="Calibri"/>
        <family val="2"/>
      </rPr>
      <t>Uniform Lifetime Table</t>
    </r>
    <r>
      <rPr>
        <sz val="11"/>
        <color indexed="8"/>
        <rFont val="Calibri"/>
        <family val="2"/>
      </rPr>
      <t xml:space="preserve"> is used by account owners whose spouse is not the sole beneficiary or whose spouse is</t>
    </r>
  </si>
  <si>
    <t>beneficiaries (used as default for inherited-Life</t>
  </si>
  <si>
    <r>
      <t xml:space="preserve">12.2 </t>
    </r>
    <r>
      <rPr>
        <b/>
        <u val="singleAccounting"/>
        <sz val="12"/>
        <color indexed="8"/>
        <rFont val="Calibri"/>
        <family val="2"/>
      </rPr>
      <t>Single Lifetime Table</t>
    </r>
    <r>
      <rPr>
        <b/>
        <sz val="12"/>
        <color indexed="8"/>
        <rFont val="Calibri"/>
        <family val="2"/>
      </rPr>
      <t xml:space="preserve">  for any age RMDs</t>
    </r>
  </si>
  <si>
    <r>
      <t>Computed from tables</t>
    </r>
    <r>
      <rPr>
        <b/>
        <sz val="11"/>
        <color theme="1"/>
        <rFont val="Calibri"/>
        <family val="2"/>
        <scheme val="minor"/>
      </rPr>
      <t xml:space="preserve"> 8.1.1</t>
    </r>
    <r>
      <rPr>
        <sz val="11"/>
        <color theme="1"/>
        <rFont val="Calibri"/>
        <family val="2"/>
        <scheme val="minor"/>
      </rPr>
      <t xml:space="preserve"> and</t>
    </r>
    <r>
      <rPr>
        <b/>
        <sz val="11"/>
        <color theme="1"/>
        <rFont val="Calibri"/>
        <family val="2"/>
        <scheme val="minor"/>
      </rPr>
      <t xml:space="preserve"> 8.1.2</t>
    </r>
    <r>
      <rPr>
        <sz val="11"/>
        <color theme="1"/>
        <rFont val="Calibri"/>
        <family val="2"/>
        <scheme val="minor"/>
      </rPr>
      <t>.</t>
    </r>
  </si>
  <si>
    <t>Using scheduled Roth Contributions and Withdrawals:</t>
  </si>
  <si>
    <r>
      <t xml:space="preserve">    not more than 10 years younger. (This is Table </t>
    </r>
    <r>
      <rPr>
        <b/>
        <sz val="11"/>
        <color indexed="8"/>
        <rFont val="Calibri"/>
        <family val="2"/>
      </rPr>
      <t xml:space="preserve">12.1 </t>
    </r>
    <r>
      <rPr>
        <sz val="11"/>
        <color indexed="8"/>
        <rFont val="Calibri"/>
        <family val="2"/>
      </rPr>
      <t>below).</t>
    </r>
  </si>
  <si>
    <t>5-year</t>
  </si>
  <si>
    <t>Lifetime</t>
  </si>
  <si>
    <t xml:space="preserve">      the savings are at the time of retirement. Of course, projecting that far in the future is mostly meaningless.</t>
  </si>
  <si>
    <t>[ ] Maybe extend the number of years in all tables from 37 to 40, or possibly 45 since people in their 20s can't see what</t>
  </si>
  <si>
    <t>Roth</t>
  </si>
  <si>
    <t>S1 Value of inherited-5yr Roth</t>
  </si>
  <si>
    <t>S2 Value of inherited-5yr Roth</t>
  </si>
  <si>
    <t>S1 value of inherited-Life Roth</t>
  </si>
  <si>
    <t>S2 value of inherited-Life Roth</t>
  </si>
  <si>
    <t>S1 Roth Type</t>
  </si>
  <si>
    <t>S2 Roth Type</t>
  </si>
  <si>
    <r>
      <t>Withdrawals  set it to "</t>
    </r>
    <r>
      <rPr>
        <b/>
        <sz val="11"/>
        <color indexed="10"/>
        <rFont val="Calibri"/>
        <family val="2"/>
      </rPr>
      <t>W</t>
    </r>
    <r>
      <rPr>
        <sz val="11"/>
        <color indexed="8"/>
        <rFont val="Calibri"/>
        <family val="2"/>
      </rPr>
      <t xml:space="preserve">". You can also clear an event by setting  (age,reason,amount)  values to (0,-,$0).  (Use capital </t>
    </r>
  </si>
  <si>
    <r>
      <t>See table</t>
    </r>
    <r>
      <rPr>
        <b/>
        <sz val="11"/>
        <color indexed="8"/>
        <rFont val="Calibri"/>
        <family val="2"/>
      </rPr>
      <t xml:space="preserve"> 8.4.2</t>
    </r>
    <r>
      <rPr>
        <sz val="11"/>
        <color indexed="8"/>
        <rFont val="Calibri"/>
        <family val="2"/>
      </rPr>
      <t xml:space="preserve"> below for the irregular contributions and withdrawals  for S1 and S2 sorted by age.</t>
    </r>
  </si>
  <si>
    <r>
      <rPr>
        <b/>
        <sz val="11"/>
        <color indexed="10"/>
        <rFont val="Calibri"/>
        <family val="2"/>
      </rPr>
      <t>U, W, C, FC, FW</t>
    </r>
    <r>
      <rPr>
        <sz val="11"/>
        <color indexed="8"/>
        <rFont val="Calibri"/>
        <family val="2"/>
      </rPr>
      <t xml:space="preserve">). The FC and FW types specify fixed values which are not COLA adjusted. </t>
    </r>
  </si>
  <si>
    <r>
      <t xml:space="preserve">For each nonzero entries not being used, set the </t>
    </r>
    <r>
      <rPr>
        <u/>
        <sz val="11"/>
        <color indexed="8"/>
        <rFont val="Calibri"/>
        <family val="2"/>
      </rPr>
      <t>Event Type</t>
    </r>
    <r>
      <rPr>
        <sz val="11"/>
        <color indexed="8"/>
        <rFont val="Calibri"/>
        <family val="2"/>
      </rPr>
      <t xml:space="preserve"> selector to "</t>
    </r>
    <r>
      <rPr>
        <b/>
        <sz val="11"/>
        <color indexed="10"/>
        <rFont val="Calibri"/>
        <family val="2"/>
      </rPr>
      <t>U</t>
    </r>
    <r>
      <rPr>
        <sz val="11"/>
        <color indexed="8"/>
        <rFont val="Calibri"/>
        <family val="2"/>
      </rPr>
      <t>". For Contributions set it to "</t>
    </r>
    <r>
      <rPr>
        <b/>
        <sz val="11"/>
        <color indexed="10"/>
        <rFont val="Calibri"/>
        <family val="2"/>
      </rPr>
      <t>C</t>
    </r>
    <r>
      <rPr>
        <sz val="11"/>
        <color indexed="8"/>
        <rFont val="Calibri"/>
        <family val="2"/>
      </rPr>
      <t xml:space="preserve">" and for </t>
    </r>
  </si>
  <si>
    <r>
      <t xml:space="preserve">The </t>
    </r>
    <r>
      <rPr>
        <u/>
        <sz val="11"/>
        <color indexed="8"/>
        <rFont val="Calibri"/>
        <family val="2"/>
      </rPr>
      <t>event type</t>
    </r>
    <r>
      <rPr>
        <sz val="11"/>
        <color indexed="8"/>
        <rFont val="Calibri"/>
        <family val="2"/>
      </rPr>
      <t xml:space="preserve"> selector options are:</t>
    </r>
  </si>
  <si>
    <r>
      <t xml:space="preserve">The </t>
    </r>
    <r>
      <rPr>
        <u/>
        <sz val="11"/>
        <color indexed="8"/>
        <rFont val="Calibri"/>
        <family val="2"/>
      </rPr>
      <t>Roth type</t>
    </r>
    <r>
      <rPr>
        <sz val="11"/>
        <color indexed="8"/>
        <rFont val="Calibri"/>
        <family val="2"/>
      </rPr>
      <t xml:space="preserve"> selector options are:</t>
    </r>
  </si>
  <si>
    <r>
      <t xml:space="preserve">Note that you can not contribute to inherited Roths, so do not use Roth types </t>
    </r>
    <r>
      <rPr>
        <b/>
        <sz val="11"/>
        <color rgb="FFFF0000"/>
        <rFont val="Calibri"/>
        <family val="2"/>
      </rPr>
      <t>C, FC</t>
    </r>
  </si>
  <si>
    <t>The contributions are adjusted by the specified COLAs.</t>
  </si>
  <si>
    <t>containing  demo data).</t>
  </si>
  <si>
    <r>
      <t>Also select the</t>
    </r>
    <r>
      <rPr>
        <u/>
        <sz val="11"/>
        <color indexed="8"/>
        <rFont val="Calibri"/>
        <family val="2"/>
      </rPr>
      <t xml:space="preserve"> Roth type</t>
    </r>
    <r>
      <rPr>
        <sz val="11"/>
        <color indexed="8"/>
        <rFont val="Calibri"/>
        <family val="2"/>
      </rPr>
      <t xml:space="preserve"> selector to either </t>
    </r>
    <r>
      <rPr>
        <b/>
        <sz val="11"/>
        <color rgb="FFFF0000"/>
        <rFont val="Calibri"/>
        <family val="2"/>
      </rPr>
      <t xml:space="preserve">Roth, inter-5yr, inter-Life, </t>
    </r>
    <r>
      <rPr>
        <sz val="11"/>
        <rFont val="Calibri"/>
        <family val="2"/>
      </rPr>
      <t xml:space="preserve">or </t>
    </r>
    <r>
      <rPr>
        <b/>
        <sz val="11"/>
        <color rgb="FFFF0000"/>
        <rFont val="Calibri"/>
        <family val="2"/>
      </rPr>
      <t>401(k)-Roth</t>
    </r>
    <r>
      <rPr>
        <sz val="11"/>
        <color indexed="8"/>
        <rFont val="Calibri"/>
        <family val="2"/>
      </rPr>
      <t>.</t>
    </r>
  </si>
  <si>
    <t xml:space="preserve"> S2 age Contrib. Roth</t>
  </si>
  <si>
    <t xml:space="preserve"> S1 age Withdraw Roth</t>
  </si>
  <si>
    <t xml:space="preserve"> S2 age Withdraw Roth</t>
  </si>
  <si>
    <t>S1 amount FV at Withdraw Roth</t>
  </si>
  <si>
    <t>S1 amount FV Contrib Roth</t>
  </si>
  <si>
    <t xml:space="preserve"> S1 age Contrib Roth</t>
  </si>
  <si>
    <t>S2 amount FV Contrib Roth</t>
  </si>
  <si>
    <t>S2 amount FV Withdraw Roth</t>
  </si>
  <si>
    <t xml:space="preserve"> S1 age Withdraw inher-5Yr</t>
  </si>
  <si>
    <t>S1 amount FV at Withdraw inher-5Yr</t>
  </si>
  <si>
    <t xml:space="preserve"> S2 age Withdraw inher-5Yr</t>
  </si>
  <si>
    <t>S2 amount FV Withdraw inher-5Yr</t>
  </si>
  <si>
    <t>S1 amount FV at Withdraw inherit-Life</t>
  </si>
  <si>
    <t xml:space="preserve"> S2 age Withdraw inherit-Life</t>
  </si>
  <si>
    <t>S2 amount FV Withdraw inherit-Life</t>
  </si>
  <si>
    <t xml:space="preserve"> S1 age Contrib 401(k) Roth</t>
  </si>
  <si>
    <t>S1 amount FV Contrib 401(k) Roth</t>
  </si>
  <si>
    <t xml:space="preserve"> S1 age Withdraw 401(k) Roth</t>
  </si>
  <si>
    <t>S1 amount FV at Withdraw 401(k) Roth</t>
  </si>
  <si>
    <t xml:space="preserve"> S2 age Contrib 401(k) Roth</t>
  </si>
  <si>
    <t>S2 amount FV Contrib 401(k) Roth</t>
  </si>
  <si>
    <t xml:space="preserve"> S2 age Withdraw 401(k) Roth</t>
  </si>
  <si>
    <t>S2 amount FV Withdraw 401(k) Roth</t>
  </si>
  <si>
    <t>S1 initial value</t>
  </si>
  <si>
    <t>S2 initial value</t>
  </si>
  <si>
    <t>S1 Estimated Rate Of Return</t>
  </si>
  <si>
    <t>S1 Your Percent Stocks</t>
  </si>
  <si>
    <t>S1 Your Percent Bonds</t>
  </si>
  <si>
    <t xml:space="preserve">S1 RMD schedule </t>
  </si>
  <si>
    <r>
      <t xml:space="preserve">For </t>
    </r>
    <r>
      <rPr>
        <b/>
        <u/>
        <sz val="11"/>
        <color theme="1"/>
        <rFont val="Calibri"/>
        <family val="2"/>
        <scheme val="minor"/>
      </rPr>
      <t>each</t>
    </r>
    <r>
      <rPr>
        <sz val="11"/>
        <color theme="1"/>
        <rFont val="Calibri"/>
        <family val="2"/>
        <scheme val="minor"/>
      </rPr>
      <t xml:space="preserve"> S1 and S2 account: </t>
    </r>
  </si>
  <si>
    <t>RMDs only for inherited and 401(k)  Roths</t>
  </si>
  <si>
    <t>This includes W and WF events for year t-1 for account i</t>
  </si>
  <si>
    <r>
      <t xml:space="preserve">The </t>
    </r>
    <r>
      <rPr>
        <u/>
        <sz val="11"/>
        <color indexed="8"/>
        <rFont val="Calibri"/>
        <family val="2"/>
      </rPr>
      <t>Single Life Expectancy Table</t>
    </r>
    <r>
      <rPr>
        <sz val="11"/>
        <color indexed="8"/>
        <rFont val="Calibri"/>
        <family val="2"/>
      </rPr>
      <t xml:space="preserve"> is used by a beneficiary of an account is</t>
    </r>
    <r>
      <rPr>
        <b/>
        <sz val="11"/>
        <color indexed="8"/>
        <rFont val="Calibri"/>
        <family val="2"/>
      </rPr>
      <t xml:space="preserve"> 12. RMDtable</t>
    </r>
    <r>
      <rPr>
        <sz val="11"/>
        <color indexed="8"/>
        <rFont val="Calibri"/>
        <family val="2"/>
      </rPr>
      <t xml:space="preserve"> table </t>
    </r>
    <r>
      <rPr>
        <b/>
        <sz val="11"/>
        <color indexed="8"/>
        <rFont val="Calibri"/>
        <family val="2"/>
      </rPr>
      <t xml:space="preserve">12.2 </t>
    </r>
    <r>
      <rPr>
        <sz val="11"/>
        <color indexed="8"/>
        <rFont val="Calibri"/>
        <family val="2"/>
      </rPr>
      <t>below)</t>
    </r>
  </si>
  <si>
    <r>
      <rPr>
        <b/>
        <sz val="11"/>
        <color theme="1"/>
        <rFont val="Calibri"/>
        <family val="2"/>
        <scheme val="minor"/>
      </rPr>
      <t xml:space="preserve">Csch(t,i) </t>
    </r>
    <r>
      <rPr>
        <sz val="11"/>
        <color theme="1"/>
        <rFont val="Calibri"/>
        <family val="2"/>
        <scheme val="minor"/>
      </rPr>
      <t>is value(t-1,i)*Pcontrib(i)</t>
    </r>
  </si>
  <si>
    <r>
      <rPr>
        <b/>
        <sz val="11"/>
        <color theme="1"/>
        <rFont val="Calibri"/>
        <family val="2"/>
        <scheme val="minor"/>
      </rPr>
      <t xml:space="preserve">Cirr(t,i) </t>
    </r>
    <r>
      <rPr>
        <sz val="11"/>
        <color theme="1"/>
        <rFont val="Calibri"/>
        <family val="2"/>
        <scheme val="minor"/>
      </rPr>
      <t>is sumValues(t-1,i)</t>
    </r>
  </si>
  <si>
    <r>
      <rPr>
        <b/>
        <sz val="11"/>
        <color theme="1"/>
        <rFont val="Calibri"/>
        <family val="2"/>
        <scheme val="minor"/>
      </rPr>
      <t xml:space="preserve">Wsch(t,i) </t>
    </r>
    <r>
      <rPr>
        <sz val="11"/>
        <color theme="1"/>
        <rFont val="Calibri"/>
        <family val="2"/>
        <scheme val="minor"/>
      </rPr>
      <t>is value(t-1,i)*Pcontrib(i)</t>
    </r>
  </si>
  <si>
    <r>
      <rPr>
        <b/>
        <sz val="11"/>
        <color theme="1"/>
        <rFont val="Calibri"/>
        <family val="2"/>
        <scheme val="minor"/>
      </rPr>
      <t>Wirr(t,i)</t>
    </r>
    <r>
      <rPr>
        <sz val="11"/>
        <color theme="1"/>
        <rFont val="Calibri"/>
        <family val="2"/>
        <scheme val="minor"/>
      </rPr>
      <t xml:space="preserve"> is sumValues(t-1,i)</t>
    </r>
  </si>
  <si>
    <r>
      <rPr>
        <b/>
        <sz val="11"/>
        <color theme="1"/>
        <rFont val="Calibri"/>
        <family val="2"/>
        <scheme val="minor"/>
      </rPr>
      <t xml:space="preserve">Wrmd(t,i) </t>
    </r>
    <r>
      <rPr>
        <sz val="11"/>
        <color theme="1"/>
        <rFont val="Calibri"/>
        <family val="2"/>
        <scheme val="minor"/>
      </rPr>
      <t>is value(t-1,i)*RMD(t-1,i)</t>
    </r>
  </si>
  <si>
    <r>
      <rPr>
        <b/>
        <sz val="11"/>
        <color theme="1"/>
        <rFont val="Calibri"/>
        <family val="2"/>
        <scheme val="minor"/>
      </rPr>
      <t xml:space="preserve">value(t+1) </t>
    </r>
    <r>
      <rPr>
        <sz val="11"/>
        <color theme="1"/>
        <rFont val="Calibri"/>
        <family val="2"/>
        <scheme val="minor"/>
      </rPr>
      <t>= Value(t)*(1+ROR) + Csch(t) + Cirr(t) - Wsch(t) - Wirr(t) - Wrmd(t)</t>
    </r>
  </si>
  <si>
    <t>S1 Roth no RMD</t>
  </si>
  <si>
    <t>S2 Roth no RMD</t>
  </si>
  <si>
    <t>S1 inherited-5yr  Roth Scheduled Withdrawal</t>
  </si>
  <si>
    <t>S2 inherited-5yr Roth Scheduled Withdrawal</t>
  </si>
  <si>
    <t>S1 inherited-Life Roth Scheduled Withdrawal</t>
  </si>
  <si>
    <t>S2 inherited-Life Roth Scheduled Withdrawal</t>
  </si>
  <si>
    <t>S1 401(k)-Roth Scheduled Withdrawal</t>
  </si>
  <si>
    <t>S2 401(k)-Roth Scheduled Withdrawal</t>
  </si>
  <si>
    <t>8.4.2 Calculated Roth IRA Irregular Contributions sorted by age: Cirr(t)</t>
  </si>
  <si>
    <t>© P. Lemkin 2012-2016</t>
  </si>
  <si>
    <t>ages are the current and deceased ages defined above. This can be used to approximate life insurance. It is</t>
  </si>
  <si>
    <r>
      <t xml:space="preserve">assumed the policies have no cash value. A joint-life policy is equalivalent to selecting </t>
    </r>
    <r>
      <rPr>
        <b/>
        <sz val="11"/>
        <color rgb="FFFF0000"/>
        <rFont val="Calibri"/>
        <family val="2"/>
      </rPr>
      <t>Other</t>
    </r>
    <r>
      <rPr>
        <sz val="11"/>
        <color indexed="8"/>
        <rFont val="Calibri"/>
        <family val="2"/>
      </rPr>
      <t xml:space="preserve">  for both S1 and S2.</t>
    </r>
  </si>
  <si>
    <t xml:space="preserve">age 70 1/2 Required Minimum Distribution table (std-RMD). The inherited-Lifetime Roth uses a different table that </t>
  </si>
  <si>
    <t xml:space="preserve">depends on the age you receive the inherited Roth. The inherited-5-year Roth takes it out over 5 years. You can </t>
  </si>
  <si>
    <t>contribute to a Roth and 401(k) Roth but not to inherited-Roths. You can do additional withdrawals from all types of</t>
  </si>
  <si>
    <t>8.2 Planned Irregular Contributions and Withdrawals for the Roth IRA account</t>
  </si>
  <si>
    <t>8.2.1 Enter Irregular Contributions and Withdrawals events for Roth IRA accounts</t>
  </si>
  <si>
    <t>S1 Total Roths Value</t>
  </si>
  <si>
    <t>S2 Total Roths Value</t>
  </si>
  <si>
    <r>
      <t xml:space="preserve">Note: you </t>
    </r>
    <r>
      <rPr>
        <b/>
        <sz val="11"/>
        <color indexed="8"/>
        <rFont val="Calibri"/>
        <family val="2"/>
      </rPr>
      <t>can not</t>
    </r>
    <r>
      <rPr>
        <sz val="11"/>
        <color indexed="8"/>
        <rFont val="Calibri"/>
        <family val="2"/>
      </rPr>
      <t xml:space="preserve"> contribute additional funds to inherited-IRAs that you are the beneficiary.</t>
    </r>
  </si>
  <si>
    <t>S1 Roth Sched. Contrib</t>
  </si>
  <si>
    <t>S2 Roth Sched. Contrib</t>
  </si>
  <si>
    <t>S1 401(k)-Roth  Sched. Contrib</t>
  </si>
  <si>
    <t>S2 401(k)-Roth Sched. Contrib</t>
  </si>
  <si>
    <t>Tot S1 ALL Roths  Sched. Contrib FV</t>
  </si>
  <si>
    <t>Tot S2 ALL Roths  Sched. Contrib FV</t>
  </si>
  <si>
    <t>S1 Total Sched. Withdraw</t>
  </si>
  <si>
    <t>S1 age Withdraw inherit-Life</t>
  </si>
  <si>
    <t>Irregular Roth withdrawals</t>
  </si>
  <si>
    <t>8.4.1 Compute Scheduled Contributions to Roth and 401(k)-Roth accounts: Csch(t)</t>
  </si>
  <si>
    <t>8.5.1  Computed Scheduled Withdrawals from all types of Roths accounts: Wsch(t)</t>
  </si>
  <si>
    <t>8.6.3 Inherited-Life</t>
  </si>
  <si>
    <t>8.5.2  Computed Irregular Withdrawals from all types of Roths accounts: Wirr(t)</t>
  </si>
  <si>
    <t>S1 Total Irregular Withdraw</t>
  </si>
  <si>
    <t>S1 Roth Irregular Withdraw</t>
  </si>
  <si>
    <t>S2 Roth Irregular Withdraw</t>
  </si>
  <si>
    <t>S1 inherited-5yr  Roth Irregular Withdraw</t>
  </si>
  <si>
    <t>S1 inherited-Life Roth Irregular Withdraw</t>
  </si>
  <si>
    <t>S2 inherited-5yr Roth Irregular Withdraw</t>
  </si>
  <si>
    <t>S2 inherited-Life Roth Irregular Withdraw</t>
  </si>
  <si>
    <t>S1 401(k)-Roth Irregular Withdrawal</t>
  </si>
  <si>
    <t>S2 401(k)-Roth Irregular Withdraw</t>
  </si>
  <si>
    <t>8.5.3  Computed  RMD Withdrawals from all types of Roths accounts: Wrmd(t)</t>
  </si>
  <si>
    <t>Scheduled contributions of Roth type i</t>
  </si>
  <si>
    <t>This includes C &amp; CF irregular contribution events for year t-1 for Roth type i</t>
  </si>
  <si>
    <t>S1 inherited-5yr  Roth RMD</t>
  </si>
  <si>
    <t>S2 inherited-5yr Roth RMD</t>
  </si>
  <si>
    <t>S1 inherited-Life Roth RMD</t>
  </si>
  <si>
    <t>S2 inherited-Life Roth RMD</t>
  </si>
  <si>
    <t xml:space="preserve">S1 401(k)-Roth RMD </t>
  </si>
  <si>
    <t>S2 401(k)-Roth RMD</t>
  </si>
  <si>
    <t>S1 irregular Contribute to Roth FV</t>
  </si>
  <si>
    <t>S2 irregular Contribute to Roth FV</t>
  </si>
  <si>
    <t>S1 irregular Contribute to 401(k)-Roth FV</t>
  </si>
  <si>
    <t>S2 irregular Contribute to 401(k)-Roth FV</t>
  </si>
  <si>
    <t>Total S1 Irregular Contribute to all Roths</t>
  </si>
  <si>
    <t>Total S2 Irregular Contribute to all Roths</t>
  </si>
  <si>
    <t>This computes the scheduled and irregular contributions for the Roth and 401(k)-Roth.</t>
  </si>
  <si>
    <t>8.4. Compute  Contributions to Roth and 401(k)-Roth accounts: Csch(t) and Cirr(t)</t>
  </si>
  <si>
    <t>The three types of withdrawals (scheduled, irregular, and RMD) are computed below in separate tables. Each of these</t>
  </si>
  <si>
    <t>8.5  Computed Withdrawals (Scheduled, Irregular, RMD)  for all types of Roths accounts: Wsch(t)</t>
  </si>
  <si>
    <t>can have withdrawals from the 4 different types of Roth accounts (Roth, inherited-Lifetime and 401(k) Roth type i.)</t>
  </si>
  <si>
    <t>Table 8.5.1</t>
  </si>
  <si>
    <t>Table 8.5.2</t>
  </si>
  <si>
    <t>Table 8.5.3</t>
  </si>
  <si>
    <t>This includes all types of Roths (i). The scheduled contribution is a percentage Pcontrib(i) of the previous year (t-1) value.</t>
  </si>
  <si>
    <t>Note: this includes all types of Roth types (i).</t>
  </si>
  <si>
    <r>
      <t xml:space="preserve">in Table </t>
    </r>
    <r>
      <rPr>
        <b/>
        <sz val="11"/>
        <color theme="1"/>
        <rFont val="Calibri"/>
        <family val="2"/>
        <scheme val="minor"/>
      </rPr>
      <t xml:space="preserve">8.2 </t>
    </r>
    <r>
      <rPr>
        <sz val="11"/>
        <color theme="1"/>
        <rFont val="Calibri"/>
        <family val="2"/>
        <scheme val="minor"/>
      </rPr>
      <t>above. The  sumValues(t-1,i) is the sum of withdrawals for any Roth type I in year t-1.</t>
    </r>
  </si>
  <si>
    <t xml:space="preserve">There are no RMD withdrawals for a regular Roth account. It does include RMDs for ( inherited-5 year, inherited-Lifetime </t>
  </si>
  <si>
    <t xml:space="preserve">     schedules 5 years starting at the year it is inherited. Other withdrawal are allowed.</t>
  </si>
  <si>
    <r>
      <t xml:space="preserve">     is not implemented at this point and use </t>
    </r>
    <r>
      <rPr>
        <b/>
        <sz val="11"/>
        <color theme="1"/>
        <rFont val="Calibri"/>
        <family val="2"/>
        <scheme val="minor"/>
      </rPr>
      <t>12. RMDtable</t>
    </r>
    <r>
      <rPr>
        <sz val="11"/>
        <color theme="1"/>
        <rFont val="Calibri"/>
        <family val="2"/>
        <scheme val="minor"/>
      </rPr>
      <t xml:space="preserve"> table</t>
    </r>
    <r>
      <rPr>
        <b/>
        <sz val="11"/>
        <color theme="1"/>
        <rFont val="Calibri"/>
        <family val="2"/>
        <scheme val="minor"/>
      </rPr>
      <t xml:space="preserve"> 12.2.</t>
    </r>
  </si>
  <si>
    <r>
      <t>table</t>
    </r>
    <r>
      <rPr>
        <b/>
        <sz val="11"/>
        <color indexed="8"/>
        <rFont val="Calibri"/>
        <family val="2"/>
      </rPr>
      <t xml:space="preserve"> 8.6.1 </t>
    </r>
    <r>
      <rPr>
        <sz val="11"/>
        <color indexed="8"/>
        <rFont val="Calibri"/>
        <family val="2"/>
      </rPr>
      <t>through</t>
    </r>
    <r>
      <rPr>
        <b/>
        <sz val="11"/>
        <color indexed="8"/>
        <rFont val="Calibri"/>
        <family val="2"/>
      </rPr>
      <t xml:space="preserve"> 8.6.4 </t>
    </r>
    <r>
      <rPr>
        <sz val="11"/>
        <color indexed="8"/>
        <rFont val="Calibri"/>
        <family val="2"/>
      </rPr>
      <t>below.</t>
    </r>
  </si>
  <si>
    <t>and Withdrawals for the Roth accounts</t>
  </si>
  <si>
    <t>8.6 Table used for intermediate computations separating out the Irregular Contributions</t>
  </si>
  <si>
    <t>8.6.1 Irregular Roth contributions and withdrawals</t>
  </si>
  <si>
    <t>8.6.4 Irregular 401(k)-Roth contributions and withdrawals</t>
  </si>
  <si>
    <r>
      <t>and</t>
    </r>
    <r>
      <rPr>
        <b/>
        <sz val="11"/>
        <color indexed="8"/>
        <rFont val="Calibri"/>
        <family val="2"/>
      </rPr>
      <t xml:space="preserve"> 8.5.2 (Wirr).</t>
    </r>
  </si>
  <si>
    <r>
      <t>Each account has a separate ROR specified in table</t>
    </r>
    <r>
      <rPr>
        <b/>
        <sz val="10"/>
        <color theme="1"/>
        <rFont val="Calibri"/>
        <family val="2"/>
        <scheme val="minor"/>
      </rPr>
      <t xml:space="preserve"> 8.1</t>
    </r>
  </si>
  <si>
    <t>This includes all types of Roths i</t>
  </si>
  <si>
    <t>t is a year,</t>
  </si>
  <si>
    <r>
      <rPr>
        <b/>
        <sz val="11"/>
        <color theme="1"/>
        <rFont val="Calibri"/>
        <family val="2"/>
        <scheme val="minor"/>
      </rPr>
      <t>ROR(i)</t>
    </r>
    <r>
      <rPr>
        <sz val="11"/>
        <color theme="1"/>
        <rFont val="Calibri"/>
        <family val="2"/>
        <scheme val="minor"/>
      </rPr>
      <t xml:space="preserve"> is the </t>
    </r>
    <r>
      <rPr>
        <u/>
        <sz val="11"/>
        <color theme="1"/>
        <rFont val="Calibri"/>
        <family val="2"/>
        <scheme val="minor"/>
      </rPr>
      <t>Rate of Return</t>
    </r>
    <r>
      <rPr>
        <sz val="11"/>
        <color theme="1"/>
        <rFont val="Calibri"/>
        <family val="2"/>
        <scheme val="minor"/>
      </rPr>
      <t xml:space="preserve"> for Roth type i</t>
    </r>
  </si>
  <si>
    <t>The future value (FV) is computed and is used by other worksheets.</t>
  </si>
  <si>
    <t>8.1 Enter total values of Tax-deferred Roth Retirement accounts: IRAs, inherited, 401(k)s</t>
  </si>
  <si>
    <t>8. Roth IRA, Inherited Roths, and Roth 401(k) tax-free retirement accounts</t>
  </si>
  <si>
    <t xml:space="preserve">    8.1 Enter total values of Tax-deferred Roth Retirement accounts: IRAs, inherited, 401(k)s</t>
  </si>
  <si>
    <t xml:space="preserve">    8.2 Planned Irregular Contributions and Withdrawals for the Roth IRA account</t>
  </si>
  <si>
    <t xml:space="preserve">         8.1.2 Enter scheduled contributions and withdrawals for each Roth type accounts</t>
  </si>
  <si>
    <t xml:space="preserve">    8.4. Compute  Contributions to Roth and 401(k)-Roth accounts: Csch(t) and Cirr(t)</t>
  </si>
  <si>
    <t xml:space="preserve">         8.4.1 Compute Scheduled Contributions to Roth and 401(k)-Roth accounts: Csch(t)</t>
  </si>
  <si>
    <t xml:space="preserve">         8.4.2 Calculated Roth IRA Irregular Contributions sorted by age: Cirr(t)</t>
  </si>
  <si>
    <t xml:space="preserve">    8.5  Computed Withdrawals (Scheduled, Irregular, RMD)  for all types of Roths accounts: Wsch(t)</t>
  </si>
  <si>
    <t xml:space="preserve">         8.5.2  Computed Irregular Withdrawals from all types of Roths accounts: Wirr(t)</t>
  </si>
  <si>
    <t xml:space="preserve">         8.5.1  Computed Scheduled Withdrawals from all types of Roths accounts: Wsch(t)</t>
  </si>
  <si>
    <t xml:space="preserve">         8.5.3  Computed  RMD Withdrawals from all types of Roths accounts: Wrmd(t)</t>
  </si>
  <si>
    <t>8.6.2 Inherited-5Yr Roth</t>
  </si>
  <si>
    <t>irregular withdrawals</t>
  </si>
  <si>
    <t xml:space="preserve">         8.6.1 Irregular Roth contributions and withdrawals</t>
  </si>
  <si>
    <t xml:space="preserve">         8.6.2 Inherited-5Yr Roth irregular withdrawals</t>
  </si>
  <si>
    <t xml:space="preserve">         8.6.3 Inherited-Life Irregular Roth withdrawals</t>
  </si>
  <si>
    <t xml:space="preserve">         8.6.4 Irregular 401(k)-Roth contributions and withdrawals</t>
  </si>
  <si>
    <t xml:space="preserve">    8.6 Intermediate computations separating out Irregular Contributions &amp; Withdrawals for Roth accounts</t>
  </si>
  <si>
    <t>8.3  Summary of yearly values and total values of all Roth accounts for S1 and S2</t>
  </si>
  <si>
    <t xml:space="preserve">    8.3  Summary of yearly values and total values of all Roth accounts for S1 and S2</t>
  </si>
  <si>
    <t>S2 Total Sched. Withdraw</t>
  </si>
  <si>
    <t>8.3.1  Summary of total Contributions, Withdrawals, (Contributions - Withdrawals) for S1 and S2</t>
  </si>
  <si>
    <r>
      <t xml:space="preserve">This summary of total Contributions, Withdrawals, (Contributions - Withdrawals) is used in the </t>
    </r>
    <r>
      <rPr>
        <b/>
        <sz val="11"/>
        <rFont val="Calibri"/>
        <family val="2"/>
        <scheme val="minor"/>
      </rPr>
      <t>R. Result</t>
    </r>
    <r>
      <rPr>
        <sz val="11"/>
        <rFont val="Calibri"/>
        <family val="2"/>
        <scheme val="minor"/>
      </rPr>
      <t>s table</t>
    </r>
    <r>
      <rPr>
        <b/>
        <sz val="11"/>
        <rFont val="Calibri"/>
        <family val="2"/>
        <scheme val="minor"/>
      </rPr>
      <t xml:space="preserve"> R.4</t>
    </r>
    <r>
      <rPr>
        <sz val="11"/>
        <rFont val="Calibri"/>
        <family val="2"/>
        <scheme val="minor"/>
      </rPr>
      <t>.</t>
    </r>
  </si>
  <si>
    <t>S1 total Contributions all Roths</t>
  </si>
  <si>
    <t>S2 total Contributions all Roths</t>
  </si>
  <si>
    <t>S1 total Withdrawals all Roths</t>
  </si>
  <si>
    <t>S2 total Withdrawals all Roths</t>
  </si>
  <si>
    <t>S1 total (contributions - withdrawals) all Roths</t>
  </si>
  <si>
    <t>S2  total (contributions - withdrawals) all Roths</t>
  </si>
  <si>
    <t>S1 Pct (C-W) / Value</t>
  </si>
  <si>
    <t>S2 Pct (C-W) / Value</t>
  </si>
  <si>
    <t xml:space="preserve">IRA </t>
  </si>
  <si>
    <t>Inherited-IRA 5yr</t>
  </si>
  <si>
    <t>Inherited-IRA Life</t>
  </si>
  <si>
    <t xml:space="preserve">Roth </t>
  </si>
  <si>
    <t>Inherit-Roth 5yr</t>
  </si>
  <si>
    <t>Inherit-Roth Life</t>
  </si>
  <si>
    <t>Roth Inherited-Lifetime S2</t>
  </si>
  <si>
    <t>Roth Inherited-Lifetime S1</t>
  </si>
  <si>
    <t>Roth Inherited-5yr S1</t>
  </si>
  <si>
    <t>Roth 401(k) S1</t>
  </si>
  <si>
    <t>Roth Inherited-5yr S2</t>
  </si>
  <si>
    <t>R.1.1 Summaries (S1+S2) of Income, Expenses, Taxes, total values of all Investment Accounts</t>
  </si>
  <si>
    <t>This table summaries the Net worth of S1, S2 and S1+S2 where Net Worth is defined as the sum of the IRAs, Roths and Savings.</t>
  </si>
  <si>
    <t>Total S1+S2 Net worth (IRA+Roth+Savings) FV</t>
  </si>
  <si>
    <t>Total S1 Net worth (IRA+Roth+Savings) FV</t>
  </si>
  <si>
    <t>Total S2 Net worth (IRA+Roth+Savings) FV</t>
  </si>
  <si>
    <t>R.1 Summaries S1, S2 and S1+S2  Total Net Worth (IRAs+Roths+Savings)</t>
  </si>
  <si>
    <t xml:space="preserve">  R.1.1 Summaries (S1+S2) of Income, Expenses, Taxes, total values of all Investment Accounts</t>
  </si>
  <si>
    <t>AAII, The Mathematics of Retirement Portfolios, by Craig Israelsen, January 2016</t>
  </si>
  <si>
    <t>http://www.aaii.com/journal/article/the-mathematics-of-retirement-portfolios</t>
  </si>
  <si>
    <t>7.1.2 Enter scheduled contributions and withdrawals for each taxable IRA type accounts</t>
  </si>
  <si>
    <t>Using scheduled IRA (Contributions and Withdrawals):</t>
  </si>
  <si>
    <t>nonStd-RMD</t>
  </si>
  <si>
    <t>7.1  Enter total values of Tax-deferred Retirement accounts: IRAs, 401(k)s, 403(b), 457(b), etc.</t>
  </si>
  <si>
    <t xml:space="preserve">   7.1  Enter total values of Tax-deferred Retirement accounts: IRAs, 401(k)s, 403(b), 457(b), etc.</t>
  </si>
  <si>
    <t xml:space="preserve">      7.1.2 Enter scheduled contributions and withdrawals for each taxable IRA type accounts</t>
  </si>
  <si>
    <t>at age 70 although the rule for 70 1/2 means it could be 70 or 71 for different people.</t>
  </si>
  <si>
    <t>the rule for 70 1/2 means it could be 70 or 71 for different people.</t>
  </si>
  <si>
    <t xml:space="preserve">7.2 Irregular Contributions and Withdrawals for the IRA to accounts </t>
  </si>
  <si>
    <t>S1 IRA Type</t>
  </si>
  <si>
    <t>S2 IRA Type</t>
  </si>
  <si>
    <t>7.2.1 Enter list of Irregular Contributions and Withdrawals from the S1 and S2</t>
  </si>
  <si>
    <t>Tax-deferred IRAs</t>
  </si>
  <si>
    <r>
      <t>See table</t>
    </r>
    <r>
      <rPr>
        <b/>
        <sz val="11"/>
        <color indexed="8"/>
        <rFont val="Calibri"/>
        <family val="2"/>
      </rPr>
      <t>7.4.2</t>
    </r>
    <r>
      <rPr>
        <sz val="11"/>
        <color indexed="8"/>
        <rFont val="Calibri"/>
        <family val="2"/>
      </rPr>
      <t xml:space="preserve"> below for the irregular contributions and withdrawals  for S1 and S2 sorted by age.</t>
    </r>
  </si>
  <si>
    <t>7.3  Summary of yearly values and total values of all IRA accounts for S1 and S2</t>
  </si>
  <si>
    <t>S2 value of IRA</t>
  </si>
  <si>
    <t>S1 Value of IRA</t>
  </si>
  <si>
    <r>
      <rPr>
        <b/>
        <sz val="11"/>
        <color theme="1"/>
        <rFont val="Calibri"/>
        <family val="2"/>
        <scheme val="minor"/>
      </rPr>
      <t>ROR(i)</t>
    </r>
    <r>
      <rPr>
        <sz val="11"/>
        <color theme="1"/>
        <rFont val="Calibri"/>
        <family val="2"/>
        <scheme val="minor"/>
      </rPr>
      <t xml:space="preserve"> is the </t>
    </r>
    <r>
      <rPr>
        <u/>
        <sz val="11"/>
        <color theme="1"/>
        <rFont val="Calibri"/>
        <family val="2"/>
        <scheme val="minor"/>
      </rPr>
      <t>Rate of Return</t>
    </r>
    <r>
      <rPr>
        <sz val="11"/>
        <color theme="1"/>
        <rFont val="Calibri"/>
        <family val="2"/>
        <scheme val="minor"/>
      </rPr>
      <t xml:space="preserve"> for IRA type i</t>
    </r>
  </si>
  <si>
    <r>
      <t>Each account has a separate ROR specified in table</t>
    </r>
    <r>
      <rPr>
        <b/>
        <sz val="10"/>
        <color theme="1"/>
        <rFont val="Calibri"/>
        <family val="2"/>
        <scheme val="minor"/>
      </rPr>
      <t xml:space="preserve"> 7.1</t>
    </r>
  </si>
  <si>
    <t>This includes C &amp; CF irregular contribution events for year t-1 for IRA type i</t>
  </si>
  <si>
    <t>RMDs only for IRA and inherited IRAs</t>
  </si>
  <si>
    <t>S1 Value of inherited-5yr IRA</t>
  </si>
  <si>
    <t>S2 Value of inherited-5yr IRA</t>
  </si>
  <si>
    <t>S1 value of inherited-Life IRA</t>
  </si>
  <si>
    <t>S2 value of inherited-Life IRA</t>
  </si>
  <si>
    <t>S1 Value of non-deduct. IRA</t>
  </si>
  <si>
    <t>S2 Value of non-deduct. IRA</t>
  </si>
  <si>
    <t>S1 Total IRAs Value</t>
  </si>
  <si>
    <t>S2 Total IRAs Value</t>
  </si>
  <si>
    <t>S1 Total IRA Value</t>
  </si>
  <si>
    <t>S2 Total IRA Value</t>
  </si>
  <si>
    <t>S2 total Contributions all IRAs</t>
  </si>
  <si>
    <t>S1 total Withdrawals all IRAs</t>
  </si>
  <si>
    <t>S2 total Withdrawals all IRAs</t>
  </si>
  <si>
    <t>S1 total (contributions - withdrawals) all IRAs</t>
  </si>
  <si>
    <t>S2  total (contributions - withdrawals) all IRAs</t>
  </si>
  <si>
    <t>S1 Pct (C-W) / IRAs Value</t>
  </si>
  <si>
    <t>S2 Pct (C-W) / IRAs Value</t>
  </si>
  <si>
    <t>Scheduled contributions of IRA type i</t>
  </si>
  <si>
    <r>
      <t>Computed from tables</t>
    </r>
    <r>
      <rPr>
        <b/>
        <sz val="11"/>
        <color theme="1"/>
        <rFont val="Calibri"/>
        <family val="2"/>
        <scheme val="minor"/>
      </rPr>
      <t xml:space="preserve"> 7.1.1</t>
    </r>
    <r>
      <rPr>
        <sz val="11"/>
        <color theme="1"/>
        <rFont val="Calibri"/>
        <family val="2"/>
        <scheme val="minor"/>
      </rPr>
      <t xml:space="preserve"> and</t>
    </r>
    <r>
      <rPr>
        <b/>
        <sz val="11"/>
        <color theme="1"/>
        <rFont val="Calibri"/>
        <family val="2"/>
        <scheme val="minor"/>
      </rPr>
      <t xml:space="preserve"> 7.1.2</t>
    </r>
    <r>
      <rPr>
        <sz val="11"/>
        <color theme="1"/>
        <rFont val="Calibri"/>
        <family val="2"/>
        <scheme val="minor"/>
      </rPr>
      <t>.</t>
    </r>
  </si>
  <si>
    <t>S1 IRA Sched. Contrib</t>
  </si>
  <si>
    <t>S2 IRA Sched. Contrib</t>
  </si>
  <si>
    <t>S1 non-deduct. IRA  Sched. Contrib</t>
  </si>
  <si>
    <t>S2 non-deduct. IRA  Sched. Contrib</t>
  </si>
  <si>
    <t>Tot S2 ALL IRAs  Sched. Contrib FV</t>
  </si>
  <si>
    <t>Tot S1 ALL IRAs  Sched. Contrib FV</t>
  </si>
  <si>
    <r>
      <t>table</t>
    </r>
    <r>
      <rPr>
        <b/>
        <sz val="11"/>
        <color indexed="8"/>
        <rFont val="Calibri"/>
        <family val="2"/>
      </rPr>
      <t xml:space="preserve"> 7.6.1 </t>
    </r>
    <r>
      <rPr>
        <sz val="11"/>
        <color indexed="8"/>
        <rFont val="Calibri"/>
        <family val="2"/>
      </rPr>
      <t>through</t>
    </r>
    <r>
      <rPr>
        <b/>
        <sz val="11"/>
        <color indexed="8"/>
        <rFont val="Calibri"/>
        <family val="2"/>
      </rPr>
      <t xml:space="preserve"> 7.6.4 </t>
    </r>
    <r>
      <rPr>
        <sz val="11"/>
        <color indexed="8"/>
        <rFont val="Calibri"/>
        <family val="2"/>
      </rPr>
      <t>below.</t>
    </r>
  </si>
  <si>
    <t>7.4.2 Calculated IRAs Irregular Contributions sorted by age: Cirr(t)</t>
  </si>
  <si>
    <t>S1 irregular Contribute to IRA FV</t>
  </si>
  <si>
    <t>S2 irregular Contribute to IRA FV</t>
  </si>
  <si>
    <t>S1 irregular Contribute to non-deduct. IRA FV</t>
  </si>
  <si>
    <t>S2 irregular Contribute to non-deduct. IRA FV</t>
  </si>
  <si>
    <t>Total S1 Irregular Contribute to all IRAs</t>
  </si>
  <si>
    <t>Total S2 Irregular Contribute to all IRAs</t>
  </si>
  <si>
    <t>7.5  Computed Withdrawals (Scheduled, Irregular, RMD)  for all types of IRAs accounts: Wsch(t)</t>
  </si>
  <si>
    <t>Table 7.5.1</t>
  </si>
  <si>
    <t>Table 7.5.2</t>
  </si>
  <si>
    <t>Table 7.5.3</t>
  </si>
  <si>
    <t>7.5.1  Computed Scheduled Withdrawals from all types of IRAs accounts: Wsch(t)</t>
  </si>
  <si>
    <t>This includes all types of IRAs (i). The scheduled contribution is a percentage Pcontrib(i) of the previous year (t-1) value.</t>
  </si>
  <si>
    <t>S1 IRA Scheduled Withdrawal</t>
  </si>
  <si>
    <t>S2 IRA Scheduled Withdrawal</t>
  </si>
  <si>
    <t>S1 inherited-5yr IRA Scheduled Withdrawal</t>
  </si>
  <si>
    <t>S2  inherited-5yr IRA Scheduled Withdrawal</t>
  </si>
  <si>
    <t>S1 inherited-Life IRA Scheduled Withdrawal</t>
  </si>
  <si>
    <t>S2 inherited-Life IRA Scheduled Withdrawal</t>
  </si>
  <si>
    <t>S1 non-deduct. IRA Scheduled Withdrawal</t>
  </si>
  <si>
    <t>S2  non-deduct. IRA Scheduled Withdrawal</t>
  </si>
  <si>
    <t>S1 Total IRAs Sched. Withdraw</t>
  </si>
  <si>
    <t>S2 Total IRAs Sched. Withdraw</t>
  </si>
  <si>
    <t>7.5.2  Computed Irregular Withdrawals from all types of IRAs accounts: Wirr(t)</t>
  </si>
  <si>
    <r>
      <t xml:space="preserve">in Table </t>
    </r>
    <r>
      <rPr>
        <b/>
        <sz val="11"/>
        <color theme="1"/>
        <rFont val="Calibri"/>
        <family val="2"/>
        <scheme val="minor"/>
      </rPr>
      <t xml:space="preserve">7.2 </t>
    </r>
    <r>
      <rPr>
        <sz val="11"/>
        <color theme="1"/>
        <rFont val="Calibri"/>
        <family val="2"/>
        <scheme val="minor"/>
      </rPr>
      <t>above. The  sumValues(t-1,i) is the sum of withdrawals for any IRA type I in year t-1.</t>
    </r>
  </si>
  <si>
    <t>S1 IRA Irregular Withdraw</t>
  </si>
  <si>
    <t>S2 IRA Irregular Withdraw</t>
  </si>
  <si>
    <t>S1 inherited-5yr IRA Irregular Withdraw</t>
  </si>
  <si>
    <t>S2 inherited-5yr IRA Irregular Withdraw</t>
  </si>
  <si>
    <t>S1 inherited-Life IRA Irregular Withdraw</t>
  </si>
  <si>
    <t>S2 inherited-Life IRA Irregular Withdraw</t>
  </si>
  <si>
    <t>S1 non-deduct. IRA Irregular Withdrawal</t>
  </si>
  <si>
    <t>S2 non-deduct. IRA Irregular Withdrawal</t>
  </si>
  <si>
    <t>S1 Total IRA Irregular Withdraw</t>
  </si>
  <si>
    <t>7.5.3  Computed  RMD Withdrawals from all types of IRAs accounts: Wrmd(t)</t>
  </si>
  <si>
    <t xml:space="preserve">There are no RMD withdrawals for a regular IRA account. It does include RMDs for ( inherited-5 year, inherited-Lifetime </t>
  </si>
  <si>
    <t>S1 inherited-5yr  IRA RMD</t>
  </si>
  <si>
    <t>S2 inherited-5yr IRA RMD</t>
  </si>
  <si>
    <t>S1 inherited-Life IRA RMD</t>
  </si>
  <si>
    <t>S2 inherited-Life IRA RMD</t>
  </si>
  <si>
    <t>7.6 Table used for intermediate computations separating out the Irregular Contributions</t>
  </si>
  <si>
    <t>7.6.1 Irregular IRA contributions and withdrawals</t>
  </si>
  <si>
    <r>
      <t>and</t>
    </r>
    <r>
      <rPr>
        <b/>
        <sz val="11"/>
        <color indexed="8"/>
        <rFont val="Calibri"/>
        <family val="2"/>
      </rPr>
      <t xml:space="preserve"> 7.5.2 (Wirr).</t>
    </r>
  </si>
  <si>
    <t>and Withdrawals for the IRA accounts</t>
  </si>
  <si>
    <t xml:space="preserve"> S1 age Contrib IRA</t>
  </si>
  <si>
    <t xml:space="preserve"> S1 age Withdraw IRA</t>
  </si>
  <si>
    <t>S1 amount FV at Withdraw IRA</t>
  </si>
  <si>
    <t xml:space="preserve"> S2 age Contrib. IRA</t>
  </si>
  <si>
    <t>S2 amount FV Contrib IRA</t>
  </si>
  <si>
    <t xml:space="preserve"> S2 age Withdraw IRA</t>
  </si>
  <si>
    <t>S2 amount FV Withdraw IRA</t>
  </si>
  <si>
    <t>S1 amount FV Contrib IRA</t>
  </si>
  <si>
    <t>7.6.3 Inherited-Life</t>
  </si>
  <si>
    <t xml:space="preserve"> S2 age Withdraw non-deduct IRA</t>
  </si>
  <si>
    <t>S2 amount FV Withdraw non-deduct IRA</t>
  </si>
  <si>
    <t>Irregular IRA withdrawals</t>
  </si>
  <si>
    <t>7.6.4 Irregular non-deduct IRA contributions and withdrawals</t>
  </si>
  <si>
    <t xml:space="preserve"> S1 age Contrib non-deduct. IRA</t>
  </si>
  <si>
    <t>S1 amount FV Contrib non-deduct. IRA</t>
  </si>
  <si>
    <t xml:space="preserve"> S1 age Withdraw non-deduct. IRA</t>
  </si>
  <si>
    <t>S1 amount FV at Withdraw non-deduct. IRA</t>
  </si>
  <si>
    <t xml:space="preserve"> S2 age Contrib non-deduct. IRA</t>
  </si>
  <si>
    <t>S2 amount FV Contrib non-deduct. IRA</t>
  </si>
  <si>
    <t>S2 RMD schedule</t>
  </si>
  <si>
    <t>S1 Tax free amount</t>
  </si>
  <si>
    <t>S2 Tax free amount</t>
  </si>
  <si>
    <t>S2 Estimated Rate Of Return</t>
  </si>
  <si>
    <t>S2 Percent Stocks</t>
  </si>
  <si>
    <t>S2 Percent Bonds</t>
  </si>
  <si>
    <t>S2 Your Percent Stocks</t>
  </si>
  <si>
    <t>S2 Your Percent Bonds</t>
  </si>
  <si>
    <t>7.3.1  Summary of total Contributions, Withdrawals, (Contributions - Withdrawals) for S1 and S2</t>
  </si>
  <si>
    <t>7.6.2 Inherited-5Yr IRA</t>
  </si>
  <si>
    <t>How long will my retirement savings last?</t>
  </si>
  <si>
    <t>Dinkeytown.net calculator "How long will my retirement savings last?"</t>
  </si>
  <si>
    <t>http://www.dinkytown.net/java/RetirementDistribution3.html</t>
  </si>
  <si>
    <r>
      <t xml:space="preserve">Book, </t>
    </r>
    <r>
      <rPr>
        <i/>
        <sz val="11"/>
        <color theme="1"/>
        <rFont val="Calibri"/>
        <family val="2"/>
        <scheme val="minor"/>
      </rPr>
      <t>How to Retire with Enough Money: And How to Know What Enough Is</t>
    </r>
    <r>
      <rPr>
        <sz val="11"/>
        <color theme="1"/>
        <rFont val="Calibri"/>
        <family val="2"/>
        <scheme val="minor"/>
      </rPr>
      <t>, by T.Ghilarducci (2016)</t>
    </r>
  </si>
  <si>
    <t>http://www.amazon.com/How-Retire-Enough-Money-Know-ebook/dp/B00U0OBRTE/ref=tmm_kin_swatch_0</t>
  </si>
  <si>
    <r>
      <t>Roth from</t>
    </r>
    <r>
      <rPr>
        <b/>
        <sz val="11"/>
        <color theme="1"/>
        <rFont val="Calibri"/>
        <family val="2"/>
        <scheme val="minor"/>
      </rPr>
      <t xml:space="preserve"> 8.6.1</t>
    </r>
    <r>
      <rPr>
        <sz val="11"/>
        <color theme="1"/>
        <rFont val="Calibri"/>
        <family val="2"/>
        <scheme val="minor"/>
      </rPr>
      <t>, inherited-5yr from</t>
    </r>
    <r>
      <rPr>
        <b/>
        <sz val="11"/>
        <color theme="1"/>
        <rFont val="Calibri"/>
        <family val="2"/>
        <scheme val="minor"/>
      </rPr>
      <t xml:space="preserve"> 8.6.2</t>
    </r>
  </si>
  <si>
    <r>
      <t xml:space="preserve">inher-Life from </t>
    </r>
    <r>
      <rPr>
        <b/>
        <sz val="11"/>
        <color theme="1"/>
        <rFont val="Calibri"/>
        <family val="2"/>
        <scheme val="minor"/>
      </rPr>
      <t>8.6.3</t>
    </r>
    <r>
      <rPr>
        <sz val="11"/>
        <color theme="1"/>
        <rFont val="Calibri"/>
        <family val="2"/>
        <scheme val="minor"/>
      </rPr>
      <t>, 401(k)-Roth from</t>
    </r>
    <r>
      <rPr>
        <b/>
        <sz val="11"/>
        <color theme="1"/>
        <rFont val="Calibri"/>
        <family val="2"/>
        <scheme val="minor"/>
      </rPr>
      <t xml:space="preserve"> 8.6.4</t>
    </r>
  </si>
  <si>
    <t>S1 total Contributions all IRAs</t>
  </si>
  <si>
    <t>Using irregular IRA (Contributions and Withdrawals):</t>
  </si>
  <si>
    <t>scheduled events by specifying a COLA. If there is no increase, enter 0.00%. Then enter the starting and ending ages for the</t>
  </si>
  <si>
    <t xml:space="preserve">    7.2 Planned Irregular Contributions and Withdrawals for the IRA IRA account</t>
  </si>
  <si>
    <t xml:space="preserve">    7.3  Summary of yearly values and total values of all IRA accounts for S1 and S2</t>
  </si>
  <si>
    <t xml:space="preserve">    7.4. Compute  Contributions to IRA and 401(k)-IRA accounts: Csch(t) and Cirr(t)</t>
  </si>
  <si>
    <t xml:space="preserve">         7.4.1 Compute Scheduled Contributions to IRA and 401(k)-IRA accounts: Csch(t)</t>
  </si>
  <si>
    <t xml:space="preserve">         7.4.2 Calculated IRA IRA Irregular Contributions sorted by age: Cirr(t)</t>
  </si>
  <si>
    <t xml:space="preserve">    7.5  Computed Withdrawals (Scheduled, Irregular, RMD)  for all types of IRAs accounts: Wsch(t)</t>
  </si>
  <si>
    <t xml:space="preserve">         7.5.1  Computed Scheduled Withdrawals from all types of IRAs accounts: Wsch(t)</t>
  </si>
  <si>
    <t xml:space="preserve">         7.5.2  Computed Irregular Withdrawals from all types of IRAs accounts: Wirr(t)</t>
  </si>
  <si>
    <t xml:space="preserve">         7.5.3  Computed  RMD Withdrawals from all types of IRAs accounts: Wrmd(t)</t>
  </si>
  <si>
    <t xml:space="preserve">    7.6 Intermediate computations separating out Irregular Contributions &amp; Withdrawals for IRA accounts</t>
  </si>
  <si>
    <t xml:space="preserve">         7.6.1 Irregular IRA contributions and withdrawals</t>
  </si>
  <si>
    <t xml:space="preserve">         7.6.2 Inherited-5Yr IRA irregular withdrawals</t>
  </si>
  <si>
    <t xml:space="preserve">         7.6.3 Inherited-Life Irregular IRA withdrawals</t>
  </si>
  <si>
    <t xml:space="preserve">         7.6.4 Non-deductible-IRA contributions and withdrawals</t>
  </si>
  <si>
    <t>S1 age starts RMD 70/71</t>
  </si>
  <si>
    <t>S2 age starts RMD 70/71</t>
  </si>
  <si>
    <r>
      <t xml:space="preserve">Note that you can not contribute to inherited IRAs so do not use IRAs types </t>
    </r>
    <r>
      <rPr>
        <b/>
        <sz val="11"/>
        <color rgb="FFFF0000"/>
        <rFont val="Calibri"/>
        <family val="2"/>
      </rPr>
      <t>C, FC</t>
    </r>
  </si>
  <si>
    <r>
      <t xml:space="preserve">The </t>
    </r>
    <r>
      <rPr>
        <u/>
        <sz val="11"/>
        <color indexed="8"/>
        <rFont val="Calibri"/>
        <family val="2"/>
      </rPr>
      <t>IRA type</t>
    </r>
    <r>
      <rPr>
        <sz val="11"/>
        <color indexed="8"/>
        <rFont val="Calibri"/>
        <family val="2"/>
      </rPr>
      <t xml:space="preserve"> selector options are:</t>
    </r>
  </si>
  <si>
    <t>IRA S!</t>
  </si>
  <si>
    <t>IRAS2</t>
  </si>
  <si>
    <t>S1+S2  withdrawal rate for all investment accounts FV</t>
  </si>
  <si>
    <t>R.5.3  Total Stock:Bond Percentages and Asset Allocation of all accounts (IRA, Roth, Savings)</t>
  </si>
  <si>
    <t xml:space="preserve">   R.5.2 Withdrawals from investment accounts (IRA, Roth, Savings) and withdrawal rates</t>
  </si>
  <si>
    <t xml:space="preserve">       R.5.1.2 Graph over time table R.5.2 columns [C:K] (withdrawals)</t>
  </si>
  <si>
    <t xml:space="preserve">       R.5.1.2 Graph over time table R.5.w columns [L:M] (S1, S2, S1+S2 total withdrawal rates)</t>
  </si>
  <si>
    <t xml:space="preserve">       R.5.1.2 Graph over time table R.5.1 columns [L:M] (S1, S2, S1+S2 total contribution rates)</t>
  </si>
  <si>
    <t>R.5.2 Withdrawals from investment accounts (IRA, Roth, Savings)</t>
  </si>
  <si>
    <t>S1 IRA (401(k) etc.) withdrawals FV</t>
  </si>
  <si>
    <t>S2 IRA (401(k) etc.) withdrawals FV</t>
  </si>
  <si>
    <r>
      <t xml:space="preserve">This computes the total withdrawals for Wira(y), Wroth(y) and Wsavings(y). See table </t>
    </r>
    <r>
      <rPr>
        <b/>
        <sz val="11"/>
        <color indexed="8"/>
        <rFont val="Calibri"/>
        <family val="2"/>
      </rPr>
      <t xml:space="preserve">R.3 </t>
    </r>
    <r>
      <rPr>
        <sz val="11"/>
        <color indexed="8"/>
        <rFont val="Calibri"/>
        <family val="2"/>
      </rPr>
      <t>above for Withdrawal computations.</t>
    </r>
  </si>
  <si>
    <t>S1 contribution rate for all investment accounts FV</t>
  </si>
  <si>
    <t>S1+S2  contribution rate for all investment accounts FV</t>
  </si>
  <si>
    <t>R.5.1.2 Graph over time table R.5.1 columns [L:M] (S1, S2, S1+S2 total contribution rates)</t>
  </si>
  <si>
    <t>S2 Roth withdrawals FV</t>
  </si>
  <si>
    <t>S1 Roth withdrawals FV</t>
  </si>
  <si>
    <t>S1 Savings Withdrawals FV</t>
  </si>
  <si>
    <t>S2 Savings Withdrawals FV</t>
  </si>
  <si>
    <t>Total S1 investment withdrawals FV</t>
  </si>
  <si>
    <t>Total S2 investment withdrawals FV</t>
  </si>
  <si>
    <t>Total S1+S2 for all investment withdrawals FV</t>
  </si>
  <si>
    <t>S1 Total (schedule + irregular) Contributions FV</t>
  </si>
  <si>
    <t>S2 Total (schedule + irregular) Contributions FV</t>
  </si>
  <si>
    <t>S1 Total (schedule + irregular) Withdrawals FV</t>
  </si>
  <si>
    <t>S2 Total (schedule + irregular) Withdrawals FV</t>
  </si>
  <si>
    <t xml:space="preserve">Ctot(t) = Csch(t) + Cirr(t) </t>
  </si>
  <si>
    <t xml:space="preserve">Wtot(t) = Wsch(t) + Wirr(t) </t>
  </si>
  <si>
    <t>9.6 Summary Table for Total Scheduled + Irregular) for Contributions and Withdrawals</t>
  </si>
  <si>
    <t>S1+S2 Total (schedule + irregular) Contributions FV</t>
  </si>
  <si>
    <t>S1+S2 Total (schedule + irregular) Withdrawals FV</t>
  </si>
  <si>
    <t>S1  total (Contr. -With.) / Val. %</t>
  </si>
  <si>
    <t>S2  total (Contr. -With.) / Val. %</t>
  </si>
  <si>
    <t>S1+S2 total (Contr. -With.) / Val. %</t>
  </si>
  <si>
    <t>Percent (Contributions(t) - Withdrawals(t))/Value(t)</t>
  </si>
  <si>
    <t>It computes the following</t>
  </si>
  <si>
    <t>for total withdrawals at year t</t>
  </si>
  <si>
    <t>for total contributions at year t</t>
  </si>
  <si>
    <t xml:space="preserve">      9.6 Summary Table for Total Scheduled + Irregular) for Contributions and Withdrawals</t>
  </si>
  <si>
    <r>
      <t>This table is derived from tables</t>
    </r>
    <r>
      <rPr>
        <b/>
        <sz val="11"/>
        <color indexed="8"/>
        <rFont val="Calibri"/>
        <family val="2"/>
      </rPr>
      <t xml:space="preserve"> 9.4.2 </t>
    </r>
    <r>
      <rPr>
        <sz val="11"/>
        <color indexed="8"/>
        <rFont val="Calibri"/>
        <family val="2"/>
      </rPr>
      <t xml:space="preserve">(scheduled) and </t>
    </r>
    <r>
      <rPr>
        <b/>
        <sz val="11"/>
        <color indexed="8"/>
        <rFont val="Calibri"/>
        <family val="2"/>
      </rPr>
      <t xml:space="preserve">9.4.2 </t>
    </r>
    <r>
      <rPr>
        <sz val="11"/>
        <color indexed="8"/>
        <rFont val="Calibri"/>
        <family val="2"/>
      </rPr>
      <t>(irregular), and</t>
    </r>
    <r>
      <rPr>
        <b/>
        <sz val="11"/>
        <color indexed="8"/>
        <rFont val="Calibri"/>
        <family val="2"/>
      </rPr>
      <t xml:space="preserve"> 9.5</t>
    </r>
    <r>
      <rPr>
        <sz val="11"/>
        <color indexed="8"/>
        <rFont val="Calibri"/>
        <family val="2"/>
      </rPr>
      <t xml:space="preserve"> for total value for Savings.</t>
    </r>
  </si>
  <si>
    <t>(i.e., withdrawal rate if negative)</t>
  </si>
  <si>
    <r>
      <t xml:space="preserve">Non-retirement taxable investment accounts are entered in the taxable </t>
    </r>
    <r>
      <rPr>
        <b/>
        <sz val="11"/>
        <color indexed="8"/>
        <rFont val="Calibri"/>
        <family val="2"/>
      </rPr>
      <t>9. SavingsData</t>
    </r>
    <r>
      <rPr>
        <sz val="11"/>
        <color indexed="8"/>
        <rFont val="Calibri"/>
        <family val="2"/>
      </rPr>
      <t xml:space="preserve"> account. If each spouse S1 and S2</t>
    </r>
  </si>
  <si>
    <t xml:space="preserve">has multiple accounts (e.g., IRA plus 401(k) plus 403(b) plus 457(b)), then use the totals of each of their accounts for each </t>
  </si>
  <si>
    <t xml:space="preserve">If you have more scheduled events then you must enter them as Irregular Contributions and/or Withdrawals. </t>
  </si>
  <si>
    <r>
      <t xml:space="preserve">This worksheet computes additional tables that are used in the </t>
    </r>
    <r>
      <rPr>
        <b/>
        <sz val="11"/>
        <color indexed="8"/>
        <rFont val="Calibri"/>
        <family val="2"/>
      </rPr>
      <t>R. Results</t>
    </r>
    <r>
      <rPr>
        <sz val="11"/>
        <color indexed="8"/>
        <rFont val="Calibri"/>
        <family val="2"/>
      </rPr>
      <t xml:space="preserve"> worksheet.</t>
    </r>
  </si>
  <si>
    <r>
      <t>Also select the</t>
    </r>
    <r>
      <rPr>
        <u/>
        <sz val="11"/>
        <color indexed="8"/>
        <rFont val="Calibri"/>
        <family val="2"/>
      </rPr>
      <t xml:space="preserve"> IRA type</t>
    </r>
    <r>
      <rPr>
        <sz val="11"/>
        <color indexed="8"/>
        <rFont val="Calibri"/>
        <family val="2"/>
      </rPr>
      <t xml:space="preserve"> selector to either </t>
    </r>
    <r>
      <rPr>
        <b/>
        <sz val="11"/>
        <color rgb="FFFF0000"/>
        <rFont val="Calibri"/>
        <family val="2"/>
      </rPr>
      <t>IRA</t>
    </r>
    <r>
      <rPr>
        <sz val="11"/>
        <rFont val="Calibri"/>
        <family val="2"/>
      </rPr>
      <t xml:space="preserve">, </t>
    </r>
    <r>
      <rPr>
        <b/>
        <sz val="11"/>
        <color rgb="FFFF0000"/>
        <rFont val="Calibri"/>
        <family val="2"/>
      </rPr>
      <t>inter-5yr</t>
    </r>
    <r>
      <rPr>
        <sz val="11"/>
        <rFont val="Calibri"/>
        <family val="2"/>
      </rPr>
      <t>,</t>
    </r>
    <r>
      <rPr>
        <b/>
        <sz val="11"/>
        <color rgb="FFFF0000"/>
        <rFont val="Calibri"/>
        <family val="2"/>
      </rPr>
      <t xml:space="preserve"> inter-Life</t>
    </r>
    <r>
      <rPr>
        <sz val="11"/>
        <color rgb="FFFF0000"/>
        <rFont val="Calibri"/>
        <family val="2"/>
      </rPr>
      <t>,</t>
    </r>
    <r>
      <rPr>
        <b/>
        <sz val="11"/>
        <color rgb="FFFF0000"/>
        <rFont val="Calibri"/>
        <family val="2"/>
      </rPr>
      <t xml:space="preserve"> </t>
    </r>
    <r>
      <rPr>
        <sz val="11"/>
        <rFont val="Calibri"/>
        <family val="2"/>
      </rPr>
      <t xml:space="preserve">or </t>
    </r>
    <r>
      <rPr>
        <b/>
        <sz val="11"/>
        <color rgb="FFFF0000"/>
        <rFont val="Calibri"/>
        <family val="2"/>
      </rPr>
      <t>non-deduct.</t>
    </r>
  </si>
  <si>
    <t xml:space="preserve">N.A. </t>
  </si>
  <si>
    <t>inherited-IRA 5 year RMD</t>
  </si>
  <si>
    <t>inherited-IRA 5yr RMD</t>
  </si>
  <si>
    <t>Names of Variables set by the user</t>
  </si>
  <si>
    <t>inherited-IRA Life RMD</t>
  </si>
  <si>
    <t>8.1.1</t>
  </si>
  <si>
    <t>7.1.1</t>
  </si>
  <si>
    <t>7.1.2</t>
  </si>
  <si>
    <t>8.1.2</t>
  </si>
  <si>
    <t>Note: (2) variables that are defined but not yet used in the various worksheets are not included here. When they are</t>
  </si>
  <si>
    <t>Notes on the data from the following tables derived from other worksheets:</t>
  </si>
  <si>
    <r>
      <t xml:space="preserve">data in the </t>
    </r>
    <r>
      <rPr>
        <b/>
        <u/>
        <sz val="14"/>
        <color indexed="8"/>
        <rFont val="Calibri"/>
        <family val="2"/>
      </rPr>
      <t>1. AgeData</t>
    </r>
    <r>
      <rPr>
        <b/>
        <sz val="14"/>
        <color indexed="8"/>
        <rFont val="Calibri"/>
        <family val="2"/>
      </rPr>
      <t xml:space="preserve"> and </t>
    </r>
    <r>
      <rPr>
        <b/>
        <u/>
        <sz val="14"/>
        <color indexed="8"/>
        <rFont val="Calibri"/>
        <family val="2"/>
      </rPr>
      <t>2. TaxData</t>
    </r>
    <r>
      <rPr>
        <b/>
        <sz val="14"/>
        <color indexed="8"/>
        <rFont val="Calibri"/>
        <family val="2"/>
      </rPr>
      <t xml:space="preserve"> worksheets. Then visit the other data worksheets to</t>
    </r>
  </si>
  <si>
    <t>Number of years you can fund in retirement</t>
  </si>
  <si>
    <r>
      <t xml:space="preserve">Note: You only update the following </t>
    </r>
    <r>
      <rPr>
        <b/>
        <sz val="11"/>
        <color theme="9" tint="-0.249977111117893"/>
        <rFont val="Calibri"/>
        <family val="2"/>
      </rPr>
      <t>ORANGE</t>
    </r>
    <r>
      <rPr>
        <sz val="11"/>
        <color indexed="8"/>
        <rFont val="Calibri"/>
        <family val="2"/>
      </rPr>
      <t xml:space="preserve"> entries for future years when Treasury changes the RMD tables. </t>
    </r>
  </si>
  <si>
    <t>It may not change every year.</t>
  </si>
  <si>
    <t>This is most easily done using the Excel or other program on a large monitor. 1) Open the new version with Excel . 2) Make the</t>
  </si>
  <si>
    <t>side of the Excel window.  Do the same thing for your old Excel spreadsheet, but this time put the spreadsheet window on the</t>
  </si>
  <si>
    <t>You might want to save it with a SaveAs with a new file name to indicate it is different than the demo spreadsheet.</t>
  </si>
  <si>
    <t>The following screen shot illustrates the new (left) and old (right) spreadsheets within the Excel window.</t>
  </si>
  <si>
    <t>This is N.A.</t>
  </si>
  <si>
    <r>
      <t xml:space="preserve">For example, the </t>
    </r>
    <r>
      <rPr>
        <u/>
        <sz val="12"/>
        <color theme="1"/>
        <rFont val="Calibri"/>
        <family val="2"/>
        <scheme val="minor"/>
      </rPr>
      <t>version number</t>
    </r>
    <r>
      <rPr>
        <sz val="12"/>
        <color theme="1"/>
        <rFont val="Calibri"/>
        <family val="2"/>
        <scheme val="minor"/>
      </rPr>
      <t xml:space="preserve"> is indicated as:</t>
    </r>
  </si>
  <si>
    <t>Percentage decreases  each year=</t>
  </si>
  <si>
    <t xml:space="preserve">  (Note if shared, then (S1+S2)/2 each else track separately.)</t>
  </si>
  <si>
    <t xml:space="preserve">  (This holds until one spouse dies or the single income stream from</t>
  </si>
  <si>
    <t xml:space="preserve">   other spouse stops.)</t>
  </si>
  <si>
    <t xml:space="preserve">  (Note enter current payments even if started earlier, $0 if no pension.)</t>
  </si>
  <si>
    <t>two annuities for each spouse. Enter the yearly income, the COLA if any, the start age and end age for each</t>
  </si>
  <si>
    <t>spouse for each annuity. Currently, the data for the non-taxable part of the annuity is not fully implemented</t>
  </si>
  <si>
    <t>Inherited-IRA</t>
  </si>
  <si>
    <t>Inherited-Roth</t>
  </si>
  <si>
    <t>is an IRA that you inherited where you are the beneficiary. You must take distributions with either a 5-year</t>
  </si>
  <si>
    <t>or lifetime rule. Check IRS publication 590-b to determine which rule you must use. The distributions are taxable.</t>
  </si>
  <si>
    <t>is a Roth IRA that you inherited where you are the beneficiary. You must take distributions with either a 5-year</t>
  </si>
  <si>
    <t>or lifetime rule. Check IRS publication 590-b to determine which rule you must use. The distributions are</t>
  </si>
  <si>
    <t>not taxable.</t>
  </si>
  <si>
    <t>Is a generic term used in several ways in personal finance. It can refer to your savings, income and expenses</t>
  </si>
  <si>
    <t>It is also commonly used to specify the asset allocation of your portfolio of stocks, bonds, etc.</t>
  </si>
  <si>
    <t>over time. As used in this spreadsheet, it is how long your savings will last before they are depleted.</t>
  </si>
  <si>
    <t>in the spreadsheet are specified on a yearly basis and can be either scheduled and/or irregular</t>
  </si>
  <si>
    <t>D.2 REVISION-LIST History</t>
  </si>
  <si>
    <t>[ ] As edit, keep checking to ensure that all worksheets fit into Landscape mode in a single width page for printing.</t>
  </si>
  <si>
    <t xml:space="preserve">is a type of Graphical User Interface (GUI) used in this spreadsheet that is in the form a table that is a concise </t>
  </si>
  <si>
    <t>(or taxable-IRA) is an IRA created by the worker in their personal investment accounts. The contributions are not</t>
  </si>
  <si>
    <t xml:space="preserve">taxed, but It is taxed when withdrawals are made. Contributions can only be made from income derived from </t>
  </si>
  <si>
    <t xml:space="preserve">working. This spreadsheet uses a short hand term of IRA or IRA/RMD to refer to the tax-deferred IRA as </t>
  </si>
  <si>
    <t>Is a non-taxable IRA that you contribute to after taxes. It is not explicitly handled in this spreadsheet, but</t>
  </si>
  <si>
    <t>is a non-taxable IRA that you contribute after-tax income to. It will be tax-free when distributions are made</t>
  </si>
  <si>
    <t>See IRS publication 590-b for details.</t>
  </si>
  <si>
    <t xml:space="preserve">after age 59 1/2. No distributions are required for a standard ROTH, but are for inherited and 401)k) Roths. See </t>
  </si>
  <si>
    <t>IRS publication 590-b for details.</t>
  </si>
  <si>
    <t>Percent of expenses from Soc. Sec. at retirement</t>
  </si>
  <si>
    <t>Percent expenses from Soc. Sec.  In retirement</t>
  </si>
  <si>
    <t>Cola adjusted Social Security if any</t>
  </si>
  <si>
    <t>8.1.2 Enter scheduled contributions and withdrawals for each Roth type accounts</t>
  </si>
  <si>
    <r>
      <t xml:space="preserve">your data in the </t>
    </r>
    <r>
      <rPr>
        <b/>
        <sz val="11"/>
        <color rgb="FFFF0000"/>
        <rFont val="Calibri"/>
        <family val="2"/>
        <scheme val="minor"/>
      </rPr>
      <t>red</t>
    </r>
    <r>
      <rPr>
        <sz val="11"/>
        <color theme="1"/>
        <rFont val="Calibri"/>
        <family val="2"/>
        <scheme val="minor"/>
      </rPr>
      <t xml:space="preserve"> cells on the</t>
    </r>
    <r>
      <rPr>
        <b/>
        <sz val="11"/>
        <color theme="1"/>
        <rFont val="Calibri"/>
        <family val="2"/>
        <scheme val="minor"/>
      </rPr>
      <t xml:space="preserve"> old right</t>
    </r>
    <r>
      <rPr>
        <sz val="11"/>
        <color theme="1"/>
        <rFont val="Calibri"/>
        <family val="2"/>
        <scheme val="minor"/>
      </rPr>
      <t xml:space="preserve"> spreadsheet to the</t>
    </r>
    <r>
      <rPr>
        <b/>
        <sz val="11"/>
        <color theme="1"/>
        <rFont val="Calibri"/>
        <family val="2"/>
        <scheme val="minor"/>
      </rPr>
      <t xml:space="preserve"> new left </t>
    </r>
    <r>
      <rPr>
        <sz val="11"/>
        <color theme="1"/>
        <rFont val="Calibri"/>
        <family val="2"/>
        <scheme val="minor"/>
      </rPr>
      <t>spreadsheet. And of course save your new spreadsheet.</t>
    </r>
  </si>
  <si>
    <t>You can not cut and paste selector data (e.g., yes/no, used/ignored, etc.)  between spreadsheets since they are protected.</t>
  </si>
  <si>
    <t xml:space="preserve">Either unprotect the spreadsheet you are editing, cut and paste the selector data from the old sheet, or manually select the </t>
  </si>
  <si>
    <t>accidental changes.</t>
  </si>
  <si>
    <r>
      <rPr>
        <b/>
        <sz val="11"/>
        <color theme="1"/>
        <rFont val="Calibri"/>
        <family val="2"/>
        <scheme val="minor"/>
      </rPr>
      <t>right</t>
    </r>
    <r>
      <rPr>
        <sz val="11"/>
        <color theme="1"/>
        <rFont val="Calibri"/>
        <family val="2"/>
        <scheme val="minor"/>
      </rPr>
      <t xml:space="preserve"> side of the Excel window. 5) Then for each of the worksheets S. Setup, </t>
    </r>
    <r>
      <rPr>
        <b/>
        <sz val="11"/>
        <color theme="1"/>
        <rFont val="Calibri"/>
        <family val="2"/>
        <scheme val="minor"/>
      </rPr>
      <t>1. AgeData</t>
    </r>
    <r>
      <rPr>
        <sz val="11"/>
        <color theme="1"/>
        <rFont val="Calibri"/>
        <family val="2"/>
        <scheme val="minor"/>
      </rPr>
      <t xml:space="preserve"> through </t>
    </r>
    <r>
      <rPr>
        <b/>
        <sz val="11"/>
        <color theme="1"/>
        <rFont val="Calibri"/>
        <family val="2"/>
        <scheme val="minor"/>
      </rPr>
      <t>10. ExpensessDat</t>
    </r>
    <r>
      <rPr>
        <sz val="11"/>
        <color theme="1"/>
        <rFont val="Calibri"/>
        <family val="2"/>
        <scheme val="minor"/>
      </rPr>
      <t xml:space="preserve">a, cut and paste </t>
    </r>
  </si>
  <si>
    <t>List of outstanding issues (Things TODO and CHECK), and REVISION-LIST History</t>
  </si>
  <si>
    <t>V.0.24.12</t>
  </si>
  <si>
    <t xml:space="preserve">      Although, with 37 age dates - if retired at 62, then the earliest age would be 25. </t>
  </si>
  <si>
    <t>Adj. Gross Inc.</t>
  </si>
  <si>
    <t xml:space="preserve">This assumes you estimate average nominal (before inflation) returns for each of the three asset classes: stocks, bond, </t>
  </si>
  <si>
    <t>and cash.</t>
  </si>
  <si>
    <r>
      <t xml:space="preserve">Estimated future </t>
    </r>
    <r>
      <rPr>
        <b/>
        <u/>
        <sz val="11"/>
        <color indexed="8"/>
        <rFont val="Calibri"/>
        <family val="2"/>
      </rPr>
      <t>Cash</t>
    </r>
    <r>
      <rPr>
        <b/>
        <sz val="11"/>
        <color indexed="8"/>
        <rFont val="Calibri"/>
        <family val="2"/>
      </rPr>
      <t xml:space="preserve"> ROR (Rc)=</t>
    </r>
  </si>
  <si>
    <t xml:space="preserve">   Estimated (probably 0.01% to 1.2% over next decade)</t>
  </si>
  <si>
    <r>
      <t>Average returns for (stocks,bonds,cash) of (</t>
    </r>
    <r>
      <rPr>
        <b/>
        <i/>
        <sz val="11"/>
        <color indexed="8"/>
        <rFont val="Calibri"/>
        <family val="2"/>
      </rPr>
      <t>5%, 2%, 0%</t>
    </r>
    <r>
      <rPr>
        <i/>
        <sz val="11"/>
        <color indexed="8"/>
        <rFont val="Calibri"/>
        <family val="2"/>
      </rPr>
      <t>) are reasonable conservative estimates. If you have other values, enter them.</t>
    </r>
  </si>
  <si>
    <t>B.2.1 Enter your expectations for average returns for (stocks, bonds, cash).</t>
  </si>
  <si>
    <t>2.Enter the percent of your assets that are stocks, bonds and cash. The total must add up to 100%.</t>
  </si>
  <si>
    <t>Percent Stocks in savings  (Ps)=</t>
  </si>
  <si>
    <t>Percent Cash in savings  (Pc)=</t>
  </si>
  <si>
    <t>Percent Bonds in savings  (Pb)=</t>
  </si>
  <si>
    <t>Total =</t>
  </si>
  <si>
    <t>The estimated Rate Of Return is (Rs*Ps + Rb*Pb + Rc*Pc) =</t>
  </si>
  <si>
    <t>B.3 Calculator showing compounded interest</t>
  </si>
  <si>
    <t>B.4 Calculator estimating Future Value of ongoing fixed contribution, withdrawal or expense by COLA</t>
  </si>
  <si>
    <t>B.4 Calculator estimating Future Value of ongoing fixed contribution, withdrawal or expense by COLA or investment asset by ROR</t>
  </si>
  <si>
    <t xml:space="preserve">      B.4.1 Depreciating Asset by COLA</t>
  </si>
  <si>
    <t xml:space="preserve">      B.4.2 Appreciating investment asset by Rate of Return</t>
  </si>
  <si>
    <t xml:space="preserve">In the United States income tax system, Adjusted Gross Income (AGI) is an individual's total gross </t>
  </si>
  <si>
    <t>Policy number</t>
  </si>
  <si>
    <t>S1 value</t>
  </si>
  <si>
    <t>S1 policy COLA if any</t>
  </si>
  <si>
    <t>S1 age policy ends</t>
  </si>
  <si>
    <t>S1 age start policy overide</t>
  </si>
  <si>
    <t>S1 age start policy</t>
  </si>
  <si>
    <t>S2 value</t>
  </si>
  <si>
    <t>S2 policy COLA if any</t>
  </si>
  <si>
    <t>S2 age start policy overide</t>
  </si>
  <si>
    <r>
      <t>insurance payout is to "</t>
    </r>
    <r>
      <rPr>
        <b/>
        <sz val="11"/>
        <color rgb="FFFF0000"/>
        <rFont val="Calibri"/>
        <family val="2"/>
      </rPr>
      <t>Other</t>
    </r>
    <r>
      <rPr>
        <sz val="11"/>
        <color indexed="8"/>
        <rFont val="Calibri"/>
        <family val="2"/>
      </rPr>
      <t>". Note that S1 paying out to S1 and S2 paying out to S2 is really paying it out to their</t>
    </r>
  </si>
  <si>
    <t>S2 life insur. Payout (S2 to S2) FV</t>
  </si>
  <si>
    <t>S2 life insur. Payout (S1 to S2) FV</t>
  </si>
  <si>
    <t>S1 age end policy overide</t>
  </si>
  <si>
    <r>
      <t xml:space="preserve">Two optional life insurance policy can be added for each spouse. If there is no policy, then enter </t>
    </r>
    <r>
      <rPr>
        <b/>
        <sz val="11"/>
        <color rgb="FFFF0000"/>
        <rFont val="Calibri"/>
        <family val="2"/>
      </rPr>
      <t>$0</t>
    </r>
    <r>
      <rPr>
        <sz val="11"/>
        <color indexed="8"/>
        <rFont val="Calibri"/>
        <family val="2"/>
      </rPr>
      <t>. The default</t>
    </r>
  </si>
  <si>
    <t>For term-life policies, enter the age the policy ends. For lifetime benefits, it is the default age at dealth (enter 0).</t>
  </si>
  <si>
    <t xml:space="preserve">1. Data used by other worksheets: Age, estimated CPI, average Stock &amp; Bond market returns, </t>
  </si>
  <si>
    <t xml:space="preserve">     and Life Insurance</t>
  </si>
  <si>
    <t>1. Data used by other worksheets: Age, est. CPI, average Stock &amp; Bond market returns, and Life Insurance</t>
  </si>
  <si>
    <t>for entering multiple jobs with possibly different wages, age ranges, etc. Other examples of Table-GUIs are</t>
  </si>
  <si>
    <t>Note these calculators are not tied to the rest of the SIPT spreadsheet.</t>
  </si>
  <si>
    <t>Appendix B.</t>
  </si>
  <si>
    <t>Extra calculators (not tied to rest of spreadsheet)</t>
  </si>
  <si>
    <t>Elementary Retirement Glide-Path Calculator - (independent of the rest of spreadsheet)</t>
  </si>
  <si>
    <r>
      <t xml:space="preserve">4) rebalance cash between S1 and S2 in the </t>
    </r>
    <r>
      <rPr>
        <b/>
        <sz val="11"/>
        <color indexed="8"/>
        <rFont val="Calibri"/>
        <family val="2"/>
      </rPr>
      <t>11. CashData</t>
    </r>
    <r>
      <rPr>
        <sz val="11"/>
        <color indexed="8"/>
        <rFont val="Calibri"/>
        <family val="2"/>
      </rPr>
      <t xml:space="preserve"> account. </t>
    </r>
  </si>
  <si>
    <t>S2 Insurance Policy number</t>
  </si>
  <si>
    <t>1. Data used by other worksheets: Age,estim.CPI,average Stock &amp; Bond market returns, Insurance</t>
  </si>
  <si>
    <t>S2 age start policy</t>
  </si>
  <si>
    <t>S2 age policy ends</t>
  </si>
  <si>
    <t>S2 age end policy overide</t>
  </si>
  <si>
    <t>S2 Pays to</t>
  </si>
  <si>
    <t>S1 Pays to</t>
  </si>
  <si>
    <t>Answers to Frequently Asked Questions</t>
  </si>
  <si>
    <t>R. Results calculated glide-path income from Income &amp; Withdrawal sources less Expenses &amp; Taxes</t>
  </si>
  <si>
    <t>Glide-path of income from Income &amp; Withdrawal sources less Expenses &amp; Taxes</t>
  </si>
  <si>
    <t>estates. Note that if S1 or S2's term policy expires before they die, there is no benefit.</t>
  </si>
  <si>
    <t>REVISION-LIST history.</t>
  </si>
  <si>
    <t>used</t>
  </si>
  <si>
    <t>keep</t>
  </si>
  <si>
    <t>S1 percent yearly increase contribution</t>
  </si>
  <si>
    <t>S2 percent yearly increase contribution</t>
  </si>
  <si>
    <t>S1 Pays to beneficiary</t>
  </si>
  <si>
    <t>S2 Pays to beneficiary</t>
  </si>
  <si>
    <t>This is a summary table  computing the current values for each of the IRA type accounts from data computed in the other</t>
  </si>
  <si>
    <t>and irregular contributions and RMDs.  Note that contributions and withdrawals in year y are added/subtracted in year y+1.</t>
  </si>
  <si>
    <t>)       S2 (Current, Died) Age = (</t>
  </si>
  <si>
    <t>S1 (Current, Died) Age =  (</t>
  </si>
  <si>
    <r>
      <t xml:space="preserve"> )    </t>
    </r>
    <r>
      <rPr>
        <i/>
        <sz val="9"/>
        <color theme="1"/>
        <rFont val="Calibri"/>
        <family val="2"/>
        <scheme val="minor"/>
      </rPr>
      <t>from 1. AgeData</t>
    </r>
  </si>
  <si>
    <t>S1 (Current,Died) Age =  (</t>
  </si>
  <si>
    <t>This is a summary table  computing the current values for each of the Roth type accounts from data computed in the other</t>
  </si>
  <si>
    <t>S1 age starts RMD</t>
  </si>
  <si>
    <t>S2 age starts RMD</t>
  </si>
  <si>
    <t>Note: the start date for inherited-Roths is the RMD date. The start date for 401(k)-Roths is 70 1/2.</t>
  </si>
  <si>
    <t>https://www.irs.gov/pub/irs-prior/p590b--2015.pdf</t>
  </si>
  <si>
    <t>Book, How to Make Your Money Last: The Indispensable Retirement Guide, by Jane Bryant Quinn</t>
  </si>
  <si>
    <t>http://www.amazon.com/Make-Your-Money-Last-Indispensable/dp/1476743762</t>
  </si>
  <si>
    <t xml:space="preserve">S2 age starts RMD </t>
  </si>
  <si>
    <t>value(t+1) = Value(t)*(1+ROR) + Csch(t) + Cirr(t) - Wsch(t) - Wirr(t) - Wrmd(t)</t>
  </si>
  <si>
    <t>Inher-5yr y1 (after current age year) =  Value(y-1)*(1+ROR) - Wsch(y-1) - Wirr(y-1) - Wrmd(y-1)</t>
  </si>
  <si>
    <t>Inherited IRAs starting amount</t>
  </si>
  <si>
    <t>Inher-5yr y0 is current age value of what is left of inherited-5yr IRA if already started, it uses value from year -1..</t>
  </si>
  <si>
    <t>Inherited Roths starting amount</t>
  </si>
  <si>
    <t>i is a roth type (Roth, inherited-5year, inherited-Lifetime, 401(k)-Roth),</t>
  </si>
  <si>
    <t>The Start/End withdrawal ages are different than the RMD age assuming scheduled withdrawals are made.</t>
  </si>
  <si>
    <r>
      <t>Withdrawals  set it to "</t>
    </r>
    <r>
      <rPr>
        <b/>
        <sz val="11"/>
        <color indexed="10"/>
        <rFont val="Calibri"/>
        <family val="2"/>
      </rPr>
      <t>W</t>
    </r>
    <r>
      <rPr>
        <sz val="11"/>
        <color indexed="8"/>
        <rFont val="Calibri"/>
        <family val="2"/>
      </rPr>
      <t>". You can also clear an event by setting  (age,reason,amount)  values to (0,-,$0).  (Use capital</t>
    </r>
  </si>
  <si>
    <t>Note: See the following web site for details on the rules for handling inherited IRAs and inherited Roths:</t>
  </si>
  <si>
    <t xml:space="preserve">a) For the inherited-Roth 5-year RMD rule, we approximate the 5 year rule by taking 1/5, 1/4, 1/3, 1/2 and 1/1 the </t>
  </si>
  <si>
    <t>b) For the inherited-Roth lifetime RMD rule, "Distributions are spread over the beneficiary's single life expectancy "</t>
  </si>
  <si>
    <t>Note: RMDs for inherited-5 year, inherited-Lifetime &amp; 401(k) Roth types (i).</t>
  </si>
  <si>
    <t>TODO - CLARIFY directions for entering SS benefits at various ages.</t>
  </si>
  <si>
    <t>Used Car</t>
  </si>
  <si>
    <t>Trip</t>
  </si>
  <si>
    <t>New home additional costs</t>
  </si>
  <si>
    <t>Gifts</t>
  </si>
  <si>
    <t>W</t>
  </si>
  <si>
    <t>C</t>
  </si>
  <si>
    <t>worked</t>
  </si>
  <si>
    <t>Gift to me</t>
  </si>
  <si>
    <t>IRA rollover to Roth</t>
  </si>
  <si>
    <t>Worked</t>
  </si>
  <si>
    <t>New Car</t>
  </si>
  <si>
    <t>stuff</t>
  </si>
  <si>
    <t>fix shortfall</t>
  </si>
  <si>
    <t>Europe Trip</t>
  </si>
  <si>
    <t>Alaska Trip</t>
  </si>
  <si>
    <t>College for child 1 yr 1</t>
  </si>
  <si>
    <t>College for child 1 yr 2</t>
  </si>
  <si>
    <t>College for child 1 yr 3</t>
  </si>
  <si>
    <t>College for child 1 yr 4</t>
  </si>
  <si>
    <t>College for child 2 yr 1</t>
  </si>
  <si>
    <t>College for child 2 yr 2</t>
  </si>
  <si>
    <t>College for child 2 yr 3</t>
  </si>
  <si>
    <t>College for child 2 yr 4</t>
  </si>
  <si>
    <t>Mortgage P+I</t>
  </si>
  <si>
    <t>Reimbursed</t>
  </si>
  <si>
    <t>Gift received</t>
  </si>
  <si>
    <t>FW</t>
  </si>
  <si>
    <t>Computer</t>
  </si>
  <si>
    <t>FE</t>
  </si>
  <si>
    <t xml:space="preserve"> $I298 is a circular reference</t>
  </si>
  <si>
    <t xml:space="preserve">    Roths starting amounts</t>
  </si>
  <si>
    <t xml:space="preserve"> - all spreadsheets use the age data, some use the returns data, Savings uses the insurance data</t>
  </si>
  <si>
    <t>3.WorkData</t>
  </si>
  <si>
    <t>Dependency of Worksheets on Other Worksheets</t>
  </si>
  <si>
    <t>       depends on: AgeData 1.1 (ages)</t>
  </si>
  <si>
    <t>D.3 Dependency of Worksheets on Other Worksheets</t>
  </si>
  <si>
    <t>7.3  Summary of yearly values and total values of all IRA accounts for S1 and S2</t>
  </si>
  <si>
    <t>8.3  Summary of yearly values and total values of all Roth accounts for S1 and S2</t>
  </si>
  <si>
    <t>       depends on: AgeData 1.1 (ages),  1.3 (returns),  1.4 (insurance payouts)</t>
  </si>
  <si>
    <t>9.4.2 Calculated Savings accounts Irregular Contributions &amp; Withdrawals sorted by age</t>
  </si>
  <si>
    <r>
      <t>table</t>
    </r>
    <r>
      <rPr>
        <b/>
        <sz val="11"/>
        <color indexed="8"/>
        <rFont val="Calibri"/>
        <family val="2"/>
      </rPr>
      <t xml:space="preserve"> 1.4</t>
    </r>
    <r>
      <rPr>
        <sz val="11"/>
        <color indexed="8"/>
        <rFont val="Calibri"/>
        <family val="2"/>
      </rPr>
      <t xml:space="preserve"> and </t>
    </r>
    <r>
      <rPr>
        <b/>
        <sz val="11"/>
        <color indexed="8"/>
        <rFont val="Calibri"/>
        <family val="2"/>
      </rPr>
      <t>9.4.2.1</t>
    </r>
    <r>
      <rPr>
        <sz val="11"/>
        <color indexed="8"/>
        <rFont val="Calibri"/>
        <family val="2"/>
      </rPr>
      <t xml:space="preserve"> above. The ExcessCash from the </t>
    </r>
    <r>
      <rPr>
        <b/>
        <sz val="11"/>
        <color indexed="8"/>
        <rFont val="Calibri"/>
        <family val="2"/>
      </rPr>
      <t xml:space="preserve">CashData 11.1  table </t>
    </r>
    <r>
      <rPr>
        <sz val="11"/>
        <color indexed="8"/>
        <rFont val="Calibri"/>
        <family val="2"/>
      </rPr>
      <t>is the Adjusted Cash data.</t>
    </r>
  </si>
  <si>
    <t>       depends on: AgeData 1.1 (ages), 1.2 (CPI)</t>
  </si>
  <si>
    <r>
      <t>The "</t>
    </r>
    <r>
      <rPr>
        <b/>
        <sz val="11"/>
        <color indexed="8"/>
        <rFont val="Calibri"/>
        <family val="2"/>
      </rPr>
      <t>Total (S1+S2) deduct. Expenses"</t>
    </r>
    <r>
      <rPr>
        <sz val="11"/>
        <color indexed="8"/>
        <rFont val="Calibri"/>
        <family val="2"/>
      </rPr>
      <t xml:space="preserve"> w</t>
    </r>
    <r>
      <rPr>
        <b/>
        <sz val="11"/>
        <color indexed="8"/>
        <rFont val="Calibri"/>
        <family val="2"/>
      </rPr>
      <t>ill be used in TaxData 2.3.1 table for computing the adjusted taxable income.</t>
    </r>
  </si>
  <si>
    <t>Modifies use of following worksheets:</t>
  </si>
  <si>
    <t>S.Setup</t>
  </si>
  <si>
    <t>R.Results</t>
  </si>
  <si>
    <t xml:space="preserve">   R.5.3  Total Stock:Bond Percentages and Asset Allocation of all accounts (IRA, Roth, Savings)</t>
  </si>
  <si>
    <t xml:space="preserve">   R.5.2 Withdrawals from investment accounts (IRA, Roth, Savings)</t>
  </si>
  <si>
    <t xml:space="preserve">       R.5.2 Graph S1 withdrawal rate for all investment accounts FV
</t>
  </si>
  <si>
    <t xml:space="preserve">       R.5.2 Graph S2 withdrawal rate for all investment accounts FV
</t>
  </si>
  <si>
    <r>
      <rPr>
        <sz val="11"/>
        <color theme="1"/>
        <rFont val="Calibri"/>
        <family val="2"/>
        <scheme val="minor"/>
      </rPr>
      <t xml:space="preserve">   Required: </t>
    </r>
    <r>
      <rPr>
        <b/>
        <sz val="11"/>
        <color theme="1"/>
        <rFont val="Calibri"/>
        <family val="2"/>
        <scheme val="minor"/>
      </rPr>
      <t>1. AgeData,  2. TaxData,  9. SavingsData,  10. ExpensesData</t>
    </r>
  </si>
  <si>
    <r>
      <rPr>
        <sz val="11"/>
        <color theme="1"/>
        <rFont val="Calibri"/>
        <family val="2"/>
        <scheme val="minor"/>
      </rPr>
      <t xml:space="preserve">   Used/Ignored:</t>
    </r>
    <r>
      <rPr>
        <b/>
        <sz val="11"/>
        <color theme="1"/>
        <rFont val="Calibri"/>
        <family val="2"/>
        <scheme val="minor"/>
      </rPr>
      <t xml:space="preserve">  3. WorkData, 4. PensionData, 5. SocSecData,  6. AnnuityData,  7. IRAdata,  8. RothData</t>
    </r>
  </si>
  <si>
    <r>
      <rPr>
        <sz val="11"/>
        <color theme="1"/>
        <rFont val="Calibri"/>
        <family val="2"/>
        <scheme val="minor"/>
      </rPr>
      <t xml:space="preserve">   Not Edited: </t>
    </r>
    <r>
      <rPr>
        <b/>
        <sz val="11"/>
        <color theme="1"/>
        <rFont val="Calibri"/>
        <family val="2"/>
        <scheme val="minor"/>
      </rPr>
      <t xml:space="preserve"> 12.  CashData</t>
    </r>
  </si>
  <si>
    <t>9.4.2.1  Savings account Scheduled yearly Contributions &amp; Scheduled Withdrawals sorted by age, and</t>
  </si>
  <si>
    <t xml:space="preserve">                life insurance payouts</t>
  </si>
  <si>
    <t>R.5 Value of Savings, Capital Gains, Dividends, and Contributions minus Withdrawals (Scheduled &amp; Irregular)</t>
  </si>
  <si>
    <r>
      <t xml:space="preserve">       depends on: AgeData 1.1 (ages),  1.3 (returns),  1.4 (insurance payouts); </t>
    </r>
    <r>
      <rPr>
        <b/>
        <sz val="11"/>
        <color rgb="FFFF0000"/>
        <rFont val="Calibri"/>
        <family val="2"/>
        <scheme val="minor"/>
      </rPr>
      <t xml:space="preserve"> CashData 11.1 </t>
    </r>
    <r>
      <rPr>
        <b/>
        <sz val="11"/>
        <color theme="1"/>
        <rFont val="Calibri"/>
        <family val="2"/>
        <scheme val="minor"/>
      </rPr>
      <t>(Adjusted Cash)</t>
    </r>
  </si>
  <si>
    <t xml:space="preserve">    (uses data from most other worksheets for checking but is not used anywhere else)</t>
  </si>
  <si>
    <r>
      <t xml:space="preserve">                                  </t>
    </r>
    <r>
      <rPr>
        <b/>
        <sz val="11"/>
        <color rgb="FFFF0000"/>
        <rFont val="Calibri"/>
        <family val="2"/>
        <scheme val="minor"/>
      </rPr>
      <t>CashData 11.1</t>
    </r>
  </si>
  <si>
    <t>       depends on: Setup S.2;  AgeData 1.1 (ages), 1.2 (CPI)</t>
  </si>
  <si>
    <r>
      <t xml:space="preserve">       depends on: Setup S.2;  AgeData 1.1 (ages);   </t>
    </r>
    <r>
      <rPr>
        <b/>
        <sz val="11"/>
        <color rgb="FFFF0000"/>
        <rFont val="Calibri"/>
        <family val="2"/>
        <scheme val="minor"/>
      </rPr>
      <t>TaxData 2.3.2;   Results R.6, R.7</t>
    </r>
  </si>
  <si>
    <r>
      <t xml:space="preserve">       depends on:  Setup S.2;  AgeData 1.1 (ages);    </t>
    </r>
    <r>
      <rPr>
        <b/>
        <sz val="11"/>
        <color rgb="FFFF0000"/>
        <rFont val="Calibri"/>
        <family val="2"/>
        <scheme val="minor"/>
      </rPr>
      <t>TaxData 2.3.2</t>
    </r>
  </si>
  <si>
    <r>
      <t xml:space="preserve">      depends on: R.2, R.3, R.4, R.5 ;  </t>
    </r>
    <r>
      <rPr>
        <b/>
        <sz val="11"/>
        <color rgb="FFFF0000"/>
        <rFont val="Calibri"/>
        <family val="2"/>
      </rPr>
      <t xml:space="preserve"> CashData 11.1</t>
    </r>
  </si>
  <si>
    <t xml:space="preserve">      depends on:  ExpensesData 10.2.2</t>
  </si>
  <si>
    <t xml:space="preserve">      depends on: R.2;   WorkData 3.2;   AnnuityData 6.3</t>
  </si>
  <si>
    <t xml:space="preserve">      depends on:    PensionData 4.2;   SocSecData 5.3</t>
  </si>
  <si>
    <r>
      <t xml:space="preserve">      depends on:  R.4, R.5, R.6, R.7;   TaxData 2.3.2;   </t>
    </r>
    <r>
      <rPr>
        <b/>
        <sz val="11"/>
        <color rgb="FFFF0000"/>
        <rFont val="Calibri"/>
        <family val="2"/>
      </rPr>
      <t>CashData 11.1;</t>
    </r>
  </si>
  <si>
    <t xml:space="preserve">      depends on:  IRAdata 7.5;   RothData 8.5</t>
  </si>
  <si>
    <r>
      <t xml:space="preserve">      </t>
    </r>
    <r>
      <rPr>
        <b/>
        <sz val="11"/>
        <color indexed="8"/>
        <rFont val="Calibri"/>
        <family val="2"/>
      </rPr>
      <t>depends on:  SavingsData 9.4.2, 9.5</t>
    </r>
  </si>
  <si>
    <t xml:space="preserve">      depends on:  IRAdata 7.1, 7.2 ;   RothData 8.1, 8.2;   SavingsData 9.1, 9.2</t>
  </si>
  <si>
    <t>       depends on:  Setup  S.2, S.3;  AgeData 1.1 (ages),  1.3 (returns)</t>
  </si>
  <si>
    <t>       depends on:  Setup S.2, S.3;  AgeData 1.1 (ages), 1.2 (CPI), 1.3 (returns)</t>
  </si>
  <si>
    <t xml:space="preserve">       depends on:  R.4, R.5.</t>
  </si>
  <si>
    <t xml:space="preserve">      depends on:  IRAdata 7.3.1;   RothData 8.3.1;   SavingsData 9.3.1</t>
  </si>
  <si>
    <t xml:space="preserve">      depends on:  IRAdata 7.3.1;   RothData 8.3.1;   SavingsData 9.6</t>
  </si>
  <si>
    <r>
      <t xml:space="preserve">       depends on: Setup S.3;  AgeData 1.1 (ages);   SavingsData;   ExpensesData 10.3;  </t>
    </r>
    <r>
      <rPr>
        <b/>
        <sz val="11"/>
        <color rgb="FFFF0000"/>
        <rFont val="Calibri"/>
        <family val="2"/>
        <scheme val="minor"/>
      </rPr>
      <t> Results R.5, R.6;  </t>
    </r>
  </si>
  <si>
    <r>
      <t>       depends on: Setup S.3;  AgeData 1.1 (ages);   SavingsData;   ExpensesData 10.3;   </t>
    </r>
    <r>
      <rPr>
        <b/>
        <sz val="11"/>
        <color rgb="FFFF0000"/>
        <rFont val="Calibri"/>
        <family val="2"/>
        <scheme val="minor"/>
      </rPr>
      <t>Results R.5, R.6;  </t>
    </r>
  </si>
  <si>
    <t xml:space="preserve">The following table shows the worksheet dependencies. </t>
  </si>
  <si>
    <t>These should be taken into account when editing the spreadsheet.</t>
  </si>
  <si>
    <t>be useful for debugging the entire spreadsheet.</t>
  </si>
  <si>
    <t>Note: it uses your  current age if not working when start the SPIT analysis.</t>
  </si>
  <si>
    <t xml:space="preserve">  (retirement age is last job in 3.WorkData</t>
  </si>
  <si>
    <t>https://www.irs.gov/retirement-plans/plan-participant-employee/retirement-topics-required-minimum-distributions-rmds</t>
  </si>
  <si>
    <t xml:space="preserve"> rollover-IRA</t>
  </si>
  <si>
    <t xml:space="preserve"> traditional IRA</t>
  </si>
  <si>
    <t>These accounts include 401(k), 403(b), 457(b), traditional and Rollover IRA accounts</t>
  </si>
  <si>
    <t xml:space="preserve"> rollover IRA</t>
  </si>
  <si>
    <t xml:space="preserve">These include 401(k), 403(b), 457(b), traditional IRA and Rollover IRA accounts. A merged "virtual" </t>
  </si>
  <si>
    <t xml:space="preserve">            7.1.1.2 Enter any inherited-IRA  accounts data</t>
  </si>
  <si>
    <t>7.1.2.2 Enter any inherited-IRA  accounts Contribution and Withdrawal data</t>
  </si>
  <si>
    <t>V.0.24.14</t>
  </si>
  <si>
    <t xml:space="preserve">S2 work adjustment </t>
  </si>
  <si>
    <t>S2 job 3 income</t>
  </si>
  <si>
    <t>S2 total taxable work income</t>
  </si>
  <si>
    <t>7.1.2.2 Enter any inherited-IRA  accounts data</t>
  </si>
  <si>
    <t xml:space="preserve">            7.1.2.2 Enter any inherited-IRA  accounts data</t>
  </si>
  <si>
    <t>and</t>
  </si>
  <si>
    <t>Average rate of return</t>
  </si>
  <si>
    <t>Average dollar contributions each year</t>
  </si>
  <si>
    <t>Average percent withdrawals each year (the 70 1/2 RMD rule is in addition to this amount)</t>
  </si>
  <si>
    <t>Average start and stop date for contributions and withdrawals.</t>
  </si>
  <si>
    <t>V.0.24.15</t>
  </si>
  <si>
    <t>For B.4.1 below</t>
  </si>
  <si>
    <t>For B.4.2 below</t>
  </si>
  <si>
    <t>B.4.2 Appreciating investment asset by Rate of Return</t>
  </si>
  <si>
    <t>B.4.1 Depreciating Asset by COLA</t>
  </si>
  <si>
    <t xml:space="preserve"> If possible it should be over 2 to 4 years to get a better estimate.</t>
  </si>
  <si>
    <t>B.5.1 Estimate average expenses as (total spending - irregular spending)</t>
  </si>
  <si>
    <t xml:space="preserve">expenses = total spending - irregular spending </t>
  </si>
  <si>
    <t>Irregular spending is spending that only will last for a limited time. E.g., new cars, camp,  college</t>
  </si>
  <si>
    <t>,a few years left on a mortgage, etc.</t>
  </si>
  <si>
    <r>
      <t xml:space="preserve">You can estimate yearly  irregular spending in </t>
    </r>
    <r>
      <rPr>
        <b/>
        <sz val="11"/>
        <color theme="1"/>
        <rFont val="Calibri"/>
        <family val="2"/>
        <scheme val="minor"/>
      </rPr>
      <t xml:space="preserve">B.5.1.1 </t>
    </r>
    <r>
      <rPr>
        <sz val="11"/>
        <color theme="1"/>
        <rFont val="Calibri"/>
        <family val="2"/>
        <scheme val="minor"/>
      </rPr>
      <t>below.</t>
    </r>
  </si>
  <si>
    <t>Total N year spending  =</t>
  </si>
  <si>
    <t xml:space="preserve">over </t>
  </si>
  <si>
    <t>years</t>
  </si>
  <si>
    <t>Average yearly spending =</t>
  </si>
  <si>
    <t>or estimated from B.1.5.1 below</t>
  </si>
  <si>
    <t>Then, average yearly irregular spending =</t>
  </si>
  <si>
    <t>Average yearly expenses=</t>
  </si>
  <si>
    <t>B.5.1.1  Estimate irregular spending total expenses</t>
  </si>
  <si>
    <t>This will average irregular expenses over N years.</t>
  </si>
  <si>
    <t>Enter number of years of  expenses N =</t>
  </si>
  <si>
    <t xml:space="preserve"> years</t>
  </si>
  <si>
    <t>Total N Year Expense Amount</t>
  </si>
  <si>
    <t>Total yearly Avg Expense Amount</t>
  </si>
  <si>
    <t>Irregular expense category</t>
  </si>
  <si>
    <t>Enter total N Year irregular Expense Amount</t>
  </si>
  <si>
    <t>Yearly Avg irregular Expense Amount</t>
  </si>
  <si>
    <t>Percentage of irregular spending</t>
  </si>
  <si>
    <t>Expense 1</t>
  </si>
  <si>
    <t>Expense 2</t>
  </si>
  <si>
    <t>Expense 3</t>
  </si>
  <si>
    <t>Expense 4</t>
  </si>
  <si>
    <t>Expense 5</t>
  </si>
  <si>
    <t>Expense 6</t>
  </si>
  <si>
    <t>Expense 7</t>
  </si>
  <si>
    <t>Expense 8</t>
  </si>
  <si>
    <t>Expense 9</t>
  </si>
  <si>
    <t>Other</t>
  </si>
  <si>
    <t>Category of expense</t>
  </si>
  <si>
    <t>Enter N Year Expense Amount</t>
  </si>
  <si>
    <t>Yearly Avg Expense Amount</t>
  </si>
  <si>
    <t>Percentage of spending</t>
  </si>
  <si>
    <t>Uncategorized</t>
  </si>
  <si>
    <t>Books</t>
  </si>
  <si>
    <t>Business Expense</t>
  </si>
  <si>
    <t>Car:Gas</t>
  </si>
  <si>
    <t>Car:MVA</t>
  </si>
  <si>
    <t>Car:Repairs</t>
  </si>
  <si>
    <t>Cash</t>
  </si>
  <si>
    <t>Charity</t>
  </si>
  <si>
    <t>Clothing</t>
  </si>
  <si>
    <t>Computer:Purchase</t>
  </si>
  <si>
    <t>Computer:Maintenance</t>
  </si>
  <si>
    <t>Computer:Web hosting</t>
  </si>
  <si>
    <t>Dining</t>
  </si>
  <si>
    <t>Education</t>
  </si>
  <si>
    <t>Entertainment:Misc</t>
  </si>
  <si>
    <t>Entertainment:Movies</t>
  </si>
  <si>
    <t>Entertainment:Plays &amp; concerts</t>
  </si>
  <si>
    <t>Financial</t>
  </si>
  <si>
    <t>Furnishings</t>
  </si>
  <si>
    <t>Gardening</t>
  </si>
  <si>
    <t>Gifts Given</t>
  </si>
  <si>
    <t>Hobby: Spouse 1</t>
  </si>
  <si>
    <t>Hobby: Spouse 2</t>
  </si>
  <si>
    <t>Home Repair</t>
  </si>
  <si>
    <t>Housing:Improvements</t>
  </si>
  <si>
    <t>Housing:Maintenance</t>
  </si>
  <si>
    <t>Housing:Principal &amp; Interest</t>
  </si>
  <si>
    <t>Housing:Real Estate Tax Escrow</t>
  </si>
  <si>
    <t>Housing:Services - Plumber, Electrician, etc.</t>
  </si>
  <si>
    <t>Housing:Supplies</t>
  </si>
  <si>
    <t>Insurance:Car</t>
  </si>
  <si>
    <t>Insurance:ID theift protection service</t>
  </si>
  <si>
    <t>Insurance:Life Insurance</t>
  </si>
  <si>
    <t>Insurance:LTC</t>
  </si>
  <si>
    <t>Insurance:Professional Liability</t>
  </si>
  <si>
    <t>Insurance:Umbrella</t>
  </si>
  <si>
    <t>Lunch</t>
  </si>
  <si>
    <t>Magazines</t>
  </si>
  <si>
    <t>Medical:Dentist</t>
  </si>
  <si>
    <t>Medical:Doctors</t>
  </si>
  <si>
    <t>Medical:Drugs</t>
  </si>
  <si>
    <t>Medical:Dental insurance</t>
  </si>
  <si>
    <t>Medical:Vision insurance</t>
  </si>
  <si>
    <t>Medical:Glasses</t>
  </si>
  <si>
    <t>Medical:Medical insurance</t>
  </si>
  <si>
    <t>Medical:Physical Therapy</t>
  </si>
  <si>
    <t>Medical:Other Doctors</t>
  </si>
  <si>
    <t>Medical:Other non-Doctors</t>
  </si>
  <si>
    <t>Membership:Misc</t>
  </si>
  <si>
    <t>Membership:Professional</t>
  </si>
  <si>
    <t>Membership:Pool and Gym</t>
  </si>
  <si>
    <t>Metro</t>
  </si>
  <si>
    <t>Misc</t>
  </si>
  <si>
    <t>Movies</t>
  </si>
  <si>
    <t>Music</t>
  </si>
  <si>
    <t>Office supplies</t>
  </si>
  <si>
    <t>Parking:Other</t>
  </si>
  <si>
    <t>Parking:Work</t>
  </si>
  <si>
    <t>Pets</t>
  </si>
  <si>
    <t>Postage and Delivery</t>
  </si>
  <si>
    <t>Recreation</t>
  </si>
  <si>
    <t>Repairs</t>
  </si>
  <si>
    <t>Subscriptions:Other</t>
  </si>
  <si>
    <t>Subscriptions:Professional</t>
  </si>
  <si>
    <t>Tax:Federal</t>
  </si>
  <si>
    <t>Tax:State</t>
  </si>
  <si>
    <t>Utilities:Landline phone</t>
  </si>
  <si>
    <t>Utilities:Internet &amp; Cable TV</t>
  </si>
  <si>
    <t>Utilities:Electric</t>
  </si>
  <si>
    <t>Other 1</t>
  </si>
  <si>
    <t>Other 2</t>
  </si>
  <si>
    <t>Other 3</t>
  </si>
  <si>
    <t>Other 4</t>
  </si>
  <si>
    <t xml:space="preserve">      B.5.1 Estimate average expenses as (total spending - irregular spending)</t>
  </si>
  <si>
    <t xml:space="preserve">            B.5.1.1  Estimate irregular spending total expenses</t>
  </si>
  <si>
    <r>
      <t xml:space="preserve">Estimated future </t>
    </r>
    <r>
      <rPr>
        <b/>
        <u/>
        <sz val="11"/>
        <color indexed="8"/>
        <rFont val="Calibri"/>
        <family val="2"/>
      </rPr>
      <t>Cash/MM</t>
    </r>
    <r>
      <rPr>
        <b/>
        <sz val="11"/>
        <color indexed="8"/>
        <rFont val="Calibri"/>
        <family val="2"/>
      </rPr>
      <t xml:space="preserve"> ROR (Rc)=</t>
    </r>
  </si>
  <si>
    <t xml:space="preserve">   Estimated (probably 0.00% to 1.0% over next decade)</t>
  </si>
  <si>
    <t>Cash (Bank + MM)</t>
  </si>
  <si>
    <t xml:space="preserve">    Estimated (probably 0.00% to 1.0% over next decade)</t>
  </si>
  <si>
    <t>Calc. estimate S1 Savings ROR= (Ps*Rs + Pb*Rb+Pc*Rc)/(Ps+Pb+Pc)=</t>
  </si>
  <si>
    <t>Calc. estimate S2 Savings ROR= (Ps*Rs + Pb*Rb+Pc*Rc)/(Ps+Pb+Pc)=</t>
  </si>
  <si>
    <t>S1 Value or Pct. Cash&amp;MM in savings (Pc)=</t>
  </si>
  <si>
    <t>Pc=</t>
  </si>
  <si>
    <t>S2 Value or Pct. Cash&amp;MM in savings (Pc)=</t>
  </si>
  <si>
    <r>
      <t xml:space="preserve">Enter either </t>
    </r>
    <r>
      <rPr>
        <u/>
        <sz val="11"/>
        <color indexed="8"/>
        <rFont val="Calibri"/>
        <family val="2"/>
      </rPr>
      <t>your</t>
    </r>
    <r>
      <rPr>
        <sz val="11"/>
        <color indexed="8"/>
        <rFont val="Calibri"/>
        <family val="2"/>
      </rPr>
      <t xml:space="preserve"> values or percentages for the Ps, Pb and Pc values. Get from your year end returns statement.</t>
    </r>
  </si>
  <si>
    <t>S1+S2 total taxable Savings value=</t>
  </si>
  <si>
    <t>bank accounts, and CDs). For purposes of the spreadsheet, 401(k), 403(b), 457(b), Traditional-IRA, Rollover IRAs are considered to</t>
  </si>
  <si>
    <t xml:space="preserve">traditional-IRA, Rollover IRA. Added a GUI-table to enter 401k, 403b, 457b, traditional and Rollover IRAs </t>
  </si>
  <si>
    <t>V.0.24.16</t>
  </si>
  <si>
    <t>Using scheduled Roth (Contributions and Withdrawals):</t>
  </si>
  <si>
    <t>Using irregular Roth (Contributions and Withdrawals):</t>
  </si>
  <si>
    <t>Note: The estimate is increased Social Security benefit per year for each year delay claiming Social Security =</t>
  </si>
  <si>
    <t>S1  Benefits/ yr</t>
  </si>
  <si>
    <t>S2 Benefits/ yr</t>
  </si>
  <si>
    <t>Claiming delay increase + COLA</t>
  </si>
  <si>
    <t>SS Claiming delay increase</t>
  </si>
  <si>
    <t>% additional benefits if delay SS  claim+COLA</t>
  </si>
  <si>
    <t>Age S1 claim Soc Sec</t>
  </si>
  <si>
    <t>Age S2 claim Soc Sec</t>
  </si>
  <si>
    <r>
      <t xml:space="preserve">Note: In </t>
    </r>
    <r>
      <rPr>
        <u/>
        <sz val="9"/>
        <rFont val="Arial"/>
        <family val="2"/>
      </rPr>
      <t>addition</t>
    </r>
    <r>
      <rPr>
        <sz val="9"/>
        <rFont val="Arial"/>
        <family val="2"/>
      </rPr>
      <t>, the SS benefit is adjusted by annualized COLA (the CPI) for each of years that claiming was delayed =</t>
    </r>
  </si>
  <si>
    <r>
      <t xml:space="preserve"> (These values will be used in </t>
    </r>
    <r>
      <rPr>
        <b/>
        <sz val="11"/>
        <color theme="1"/>
        <rFont val="Calibri"/>
        <family val="2"/>
        <scheme val="minor"/>
      </rPr>
      <t>Table 5.3</t>
    </r>
    <r>
      <rPr>
        <sz val="11"/>
        <color theme="1"/>
        <rFont val="Calibri"/>
        <family val="2"/>
        <scheme val="minor"/>
      </rPr>
      <t xml:space="preserve"> below)</t>
    </r>
  </si>
  <si>
    <t>https://www.ssa.gov/policy/docs/ssb/v74n4/v74n4p21.html</t>
  </si>
  <si>
    <r>
      <t xml:space="preserve"> (if  0%, it uses </t>
    </r>
    <r>
      <rPr>
        <b/>
        <sz val="10"/>
        <color indexed="8"/>
        <rFont val="Calibri"/>
        <family val="2"/>
      </rPr>
      <t>AgeData</t>
    </r>
    <r>
      <rPr>
        <sz val="10"/>
        <color indexed="8"/>
        <rFont val="Calibri"/>
        <family val="2"/>
      </rPr>
      <t xml:space="preserve"> worksheet CPI)</t>
    </r>
  </si>
  <si>
    <t>Incentivizing Delayed Claiming of Social Security Retirement Benefits Before Reaching the Full Retirement Age (2014)</t>
  </si>
  <si>
    <t xml:space="preserve">   &lt; 62</t>
  </si>
  <si>
    <t xml:space="preserve"> can't claim SocSec</t>
  </si>
  <si>
    <t>** Latest  age can claim where get delayed benefits is 70 1/2.</t>
  </si>
  <si>
    <t xml:space="preserve"> earliest can claim</t>
  </si>
  <si>
    <t xml:space="preserve"> latest can claim**</t>
  </si>
  <si>
    <t>[ ] Add a "The  Concept" paragraph in the introduction to each worksheet to explain what we are doing and why.</t>
  </si>
  <si>
    <t>RS.7 Safe Withdrawal Rates (SWR) during retirement resources (and asset allocation during retirement)</t>
  </si>
  <si>
    <t>https://www.onefpa.org/journal/Pages/Reducing%20Retirement%20Risk%20with%20a%20Rising%20Equity%20Glide%20Path.aspx</t>
  </si>
  <si>
    <t>J. Financial Planning, Reducing Retirement Risk with a Rising Equity Glide Path, by Wade Pfau, Michael Kitces, Jan 2014</t>
  </si>
  <si>
    <t>http://papers.ssrn.com/sol3/papers.cfm?abstract_id=2557256</t>
  </si>
  <si>
    <t>Journal of Investing,  The Retirement Glidepath: An International Perspective, by  Javier Estrada, Summer 2016</t>
  </si>
  <si>
    <t>ETF.com, Declining Or Rising Equity Strategy In Retirement?, by Larry Swedroe, July 22, 2016</t>
  </si>
  <si>
    <t>http://www.etf.com/sections/index-investor-corner/swedroe-declining-or-rising-equity-strategy-retirement</t>
  </si>
  <si>
    <t>Also see a Bogleheads discussion of the Swedroe paper discussion the previous 2 papers:</t>
  </si>
  <si>
    <t>Bogleheads discussion, "Declining or Rising equity allocation in retirement?"</t>
  </si>
  <si>
    <t>https://www.bogleheads.org/forum/viewtopic.php?f=10&amp;t=195878&amp;newpost=2990442</t>
  </si>
  <si>
    <r>
      <t xml:space="preserve"> (default from </t>
    </r>
    <r>
      <rPr>
        <b/>
        <sz val="10"/>
        <color indexed="8"/>
        <rFont val="Calibri"/>
        <family val="2"/>
      </rPr>
      <t>AgeData</t>
    </r>
    <r>
      <rPr>
        <sz val="10"/>
        <color indexed="8"/>
        <rFont val="Calibri"/>
        <family val="2"/>
      </rPr>
      <t xml:space="preserve"> worksheet CPI)</t>
    </r>
  </si>
  <si>
    <t xml:space="preserve"> (over with non zero value)</t>
  </si>
  <si>
    <r>
      <t>Note: the following are estimates of S1's and S2's portfolio rate of return (ROR). These can be estimated in Section</t>
    </r>
    <r>
      <rPr>
        <b/>
        <sz val="11"/>
        <color indexed="8"/>
        <rFont val="Calibri"/>
        <family val="2"/>
      </rPr>
      <t xml:space="preserve"> 9.1.1</t>
    </r>
    <r>
      <rPr>
        <sz val="11"/>
        <color indexed="8"/>
        <rFont val="Calibri"/>
        <family val="2"/>
      </rPr>
      <t>.</t>
    </r>
  </si>
  <si>
    <t xml:space="preserve">  estimate If don't want to use 9.1.1 computed ROR.)</t>
  </si>
  <si>
    <r>
      <t>For more on estimating reasonable rates of return, see</t>
    </r>
    <r>
      <rPr>
        <b/>
        <sz val="11"/>
        <color indexed="8"/>
        <rFont val="Calibri"/>
        <family val="2"/>
      </rPr>
      <t xml:space="preserve"> RS. Resources RS.6 Financial Planning</t>
    </r>
    <r>
      <rPr>
        <sz val="11"/>
        <color indexed="8"/>
        <rFont val="Calibri"/>
        <family val="2"/>
      </rPr>
      <t xml:space="preserve"> resources.</t>
    </r>
  </si>
  <si>
    <t>Total N Year Irregular Expense Amount</t>
  </si>
  <si>
    <t>Total yearly Avg Irregular Expense Amount</t>
  </si>
  <si>
    <t>Appendix B.5.</t>
  </si>
  <si>
    <t>Note: The spreadsheet will be revised each year after new Tax Tables &amp; Cap-Gains/Div. rates &amp; tax rules are announced.</t>
  </si>
  <si>
    <t xml:space="preserve">    Estimated stock ROR is probably 4% to 9% over next decade.</t>
  </si>
  <si>
    <t xml:space="preserve">    Estimated bond ROR is probably 1.5% to 4% over next decade.</t>
  </si>
  <si>
    <r>
      <t xml:space="preserve">Note: </t>
    </r>
    <r>
      <rPr>
        <b/>
        <i/>
        <sz val="9"/>
        <color indexed="8"/>
        <rFont val="Calibri"/>
        <family val="2"/>
      </rPr>
      <t>you do not have to</t>
    </r>
    <r>
      <rPr>
        <i/>
        <sz val="9"/>
        <color indexed="8"/>
        <rFont val="Calibri"/>
        <family val="2"/>
      </rPr>
      <t xml:space="preserve"> complete the following</t>
    </r>
    <r>
      <rPr>
        <b/>
        <i/>
        <sz val="9"/>
        <color indexed="8"/>
        <rFont val="Calibri"/>
        <family val="2"/>
      </rPr>
      <t xml:space="preserve"> 9.1.1</t>
    </r>
    <r>
      <rPr>
        <i/>
        <sz val="9"/>
        <color indexed="8"/>
        <rFont val="Calibri"/>
        <family val="2"/>
      </rPr>
      <t xml:space="preserve"> calculation unless you want to use those estimates of the ROR computed for the above entries.</t>
    </r>
  </si>
  <si>
    <t>traditional IRA, Rollover IRA for both S1 and S2.</t>
  </si>
  <si>
    <t xml:space="preserve">      Increase of annual retirement withdrawals:</t>
  </si>
  <si>
    <t xml:space="preserve">      Yearly annuity from Social Security at retirement:</t>
  </si>
  <si>
    <t>bottom of the window will  bring up that particular worksheet.</t>
  </si>
  <si>
    <t xml:space="preserve">spreadsheet as a whole is called a workbook which in turn is a collection of worksheets. Clicking on one of the tabs at the </t>
  </si>
  <si>
    <t>Using the spreadsheet one could also do experiments, for example to determine whether taking some tax-deferred IRA</t>
  </si>
  <si>
    <t>early withdrawals (before 70 1/2) might minimize going into a much higher tax bracket when one must start to take IRA</t>
  </si>
  <si>
    <t xml:space="preserve">the added tax penalty (after 59 1/2) and the money if not needed then it could then be reinvested in tax-efficient </t>
  </si>
  <si>
    <t>investments in a taxable savings account using broad-based low-cost low-turnover stock index and possibly muni bond</t>
  </si>
  <si>
    <t>Required Minimum Distribution (RMD) without a penalty. If you take early IRA withdrawals once you are able to do it without</t>
  </si>
  <si>
    <t>index funds. This might possibly lower your RMDs and taxes later on for those who might be in a much  a higher tax-bracket.</t>
  </si>
  <si>
    <t>check to see if you are doing or handle IRA withdrawals before 59 1/2.</t>
  </si>
  <si>
    <t>The spreadsheet might also be used for helping to decide when to claim Social Security. Delaying claiming Social Security</t>
  </si>
  <si>
    <t>gives you a roughly 8% higher benefit for each year you delay (and that does not include the CPI adjustment made each year</t>
  </si>
  <si>
    <t>to Social Security).  The total income needed from various income sources and additional withdrawals during the pre-claiming</t>
  </si>
  <si>
    <t>period could be evaluated with experiments to try claiming Social Security at different ages and then comparing the total income</t>
  </si>
  <si>
    <t>stream against expected expenses and taxes. You might experiment with different dates for taking Social Security and instead</t>
  </si>
  <si>
    <t>taking money from other accounts to used to provide income if needed before claiming.</t>
  </si>
  <si>
    <t>to see how many trips a year you might take; how a pricy a private  college or a less expensive public college fits into your</t>
  </si>
  <si>
    <t>planning; how expensive a house you might buy; etc. All these decisions will affect how your retirement income stream might</t>
  </si>
  <si>
    <r>
      <t xml:space="preserve">The stock/bond asset allocation model used here is fairly elementary using </t>
    </r>
    <r>
      <rPr>
        <i/>
        <sz val="11"/>
        <color theme="1"/>
        <rFont val="Calibri"/>
        <family val="2"/>
        <scheme val="minor"/>
      </rPr>
      <t>fixed average long-term returns</t>
    </r>
    <r>
      <rPr>
        <sz val="11"/>
        <color theme="1"/>
        <rFont val="Calibri"/>
        <family val="2"/>
        <scheme val="minor"/>
      </rPr>
      <t xml:space="preserve"> of stocks and bonds</t>
    </r>
  </si>
  <si>
    <t>flow. Note that the purchase costs of adding fixed-annuities at different ages in the future can be viewed as irregular expenses.</t>
  </si>
  <si>
    <t>You can experiment adding annuities for each spouse, with and without COLA adjustments, to see the effects on retirement cash</t>
  </si>
  <si>
    <t>specify the expected Consumer Price Index (CPI) that can used as a default for the various COLAs you need to enter.</t>
  </si>
  <si>
    <r>
      <t xml:space="preserve">You can view a summary view at any time of all your settings in </t>
    </r>
    <r>
      <rPr>
        <b/>
        <sz val="11"/>
        <color indexed="8"/>
        <rFont val="Calibri"/>
        <family val="2"/>
      </rPr>
      <t>S. Setup,</t>
    </r>
    <r>
      <rPr>
        <sz val="11"/>
        <color indexed="8"/>
        <rFont val="Calibri"/>
        <family val="2"/>
      </rPr>
      <t xml:space="preserve"> and </t>
    </r>
    <r>
      <rPr>
        <b/>
        <sz val="11"/>
        <color indexed="8"/>
        <rFont val="Calibri"/>
        <family val="2"/>
      </rPr>
      <t>1. AgeData</t>
    </r>
    <r>
      <rPr>
        <sz val="11"/>
        <color indexed="8"/>
        <rFont val="Calibri"/>
        <family val="2"/>
      </rPr>
      <t xml:space="preserve"> through </t>
    </r>
    <r>
      <rPr>
        <b/>
        <sz val="11"/>
        <color indexed="8"/>
        <rFont val="Calibri"/>
        <family val="2"/>
      </rPr>
      <t>10. ExpenseData</t>
    </r>
    <r>
      <rPr>
        <sz val="11"/>
        <color indexed="8"/>
        <rFont val="Calibri"/>
        <family val="2"/>
      </rPr>
      <t xml:space="preserve"> worksheets.</t>
    </r>
  </si>
  <si>
    <t xml:space="preserve">Income sources are: work income, pensions, Social Security, and annuity benefits. Investment accounts include tax-deferred </t>
  </si>
  <si>
    <t>Because entering data in non-red cells might corrupt the spreadsheet, we protect all worksheets except red cells where</t>
  </si>
  <si>
    <t>over several years from the tax-deferred IRA, or taxable savings with high unrealized capital gains to help pay for them. Doing</t>
  </si>
  <si>
    <t>your ending age, and will warns you if it is not. If your withdrawals from an investment account are too high,</t>
  </si>
  <si>
    <r>
      <t xml:space="preserve">(b) Validity checks are made in the data worksheets comparing the age entries with those of the </t>
    </r>
    <r>
      <rPr>
        <b/>
        <sz val="11"/>
        <color indexed="8"/>
        <rFont val="Calibri"/>
        <family val="2"/>
      </rPr>
      <t>1. AgeData</t>
    </r>
    <r>
      <rPr>
        <sz val="11"/>
        <color indexed="8"/>
        <rFont val="Calibri"/>
        <family val="2"/>
      </rPr>
      <t xml:space="preserve"> worksheet</t>
    </r>
  </si>
  <si>
    <r>
      <rPr>
        <sz val="11"/>
        <color indexed="8"/>
        <rFont val="Calibri"/>
        <family val="2"/>
      </rPr>
      <t>on</t>
    </r>
    <r>
      <rPr>
        <b/>
        <sz val="11"/>
        <color indexed="8"/>
        <rFont val="Calibri"/>
        <family val="2"/>
      </rPr>
      <t xml:space="preserve"> </t>
    </r>
    <r>
      <rPr>
        <sz val="11"/>
        <color indexed="8"/>
        <rFont val="Calibri"/>
        <family val="2"/>
      </rPr>
      <t>the tabs at the bottom of this Excel window or by clicking on</t>
    </r>
    <r>
      <rPr>
        <b/>
        <sz val="11"/>
        <color indexed="8"/>
        <rFont val="Calibri"/>
        <family val="2"/>
      </rPr>
      <t xml:space="preserve"> </t>
    </r>
    <r>
      <rPr>
        <sz val="11"/>
        <color indexed="8"/>
        <rFont val="Calibri"/>
        <family val="2"/>
      </rPr>
      <t>the hypertext worksheet name in the</t>
    </r>
    <r>
      <rPr>
        <b/>
        <sz val="11"/>
        <color indexed="8"/>
        <rFont val="Calibri"/>
        <family val="2"/>
      </rPr>
      <t xml:space="preserve"> Worksheet Navigation </t>
    </r>
  </si>
  <si>
    <t>table at the end of each worksheet (see an example at the bottom of this worksheet). Some worksheets (like this one) will</t>
  </si>
  <si>
    <t xml:space="preserve">also have hyperlinks to other worksheets. </t>
  </si>
  <si>
    <t>through these lists  to familiarize yourself with the type of data that will be needed and what types of results are presented -</t>
  </si>
  <si>
    <t>or just view the different worksheets.</t>
  </si>
  <si>
    <r>
      <t>the respective worksheets. If the COLA value you use on the data worksheets is -</t>
    </r>
    <r>
      <rPr>
        <b/>
        <sz val="11"/>
        <color rgb="FFFF3300"/>
        <rFont val="Calibri"/>
        <family val="2"/>
      </rPr>
      <t>0</t>
    </r>
    <r>
      <rPr>
        <sz val="11"/>
        <color indexed="8"/>
        <rFont val="Calibri"/>
        <family val="2"/>
      </rPr>
      <t xml:space="preserve"> or </t>
    </r>
    <r>
      <rPr>
        <b/>
        <sz val="11"/>
        <color rgb="FFFF3300"/>
        <rFont val="Calibri"/>
        <family val="2"/>
      </rPr>
      <t>0%</t>
    </r>
    <r>
      <rPr>
        <sz val="11"/>
        <color indexed="8"/>
        <rFont val="Calibri"/>
        <family val="2"/>
      </rPr>
      <t>, then it uses the CPI value you set.</t>
    </r>
  </si>
  <si>
    <t>Note (7) The spreadsheet does not calculate additional tax penalties for taking withdrawals from the tax-deferred IRA of</t>
  </si>
  <si>
    <t>Roth IRA before age 59 1/2. It forces you to take the maximum of tax-deferred IRA RMD or your specified withdrawals. Note</t>
  </si>
  <si>
    <t>also, it currently does not differentiate with inherited-IRAs which may have a different RMD schedules from the regular IRA</t>
  </si>
  <si>
    <t>Rollover-IRA data. Also there is an RMD calculation associated with inherited-Roths or 401(k)-Roths currently which have</t>
  </si>
  <si>
    <t>a required RMDs.</t>
  </si>
  <si>
    <r>
      <t xml:space="preserve">(7)  Income is considered to be money put into the </t>
    </r>
    <r>
      <rPr>
        <b/>
        <sz val="11"/>
        <color indexed="8"/>
        <rFont val="Calibri"/>
        <family val="2"/>
      </rPr>
      <t>11. CashData</t>
    </r>
    <r>
      <rPr>
        <sz val="11"/>
        <color indexed="8"/>
        <rFont val="Calibri"/>
        <family val="2"/>
      </rPr>
      <t xml:space="preserve"> account from income-streams as well as </t>
    </r>
  </si>
  <si>
    <t>from various sources including withdrawals from Savings,  IRA/RMD and ROTH accounts. However,</t>
  </si>
  <si>
    <r>
      <t xml:space="preserve">Data for this table was gathered from the above </t>
    </r>
    <r>
      <rPr>
        <b/>
        <sz val="10"/>
        <color indexed="8"/>
        <rFont val="Arial Unicode MS"/>
        <family val="2"/>
      </rPr>
      <t>Results</t>
    </r>
    <r>
      <rPr>
        <sz val="11"/>
        <color indexed="8"/>
        <rFont val="Arial Unicode MS"/>
        <family val="2"/>
      </rPr>
      <t xml:space="preserve"> tables and the </t>
    </r>
    <r>
      <rPr>
        <b/>
        <sz val="10"/>
        <color indexed="8"/>
        <rFont val="Arial Unicode MS"/>
        <family val="2"/>
      </rPr>
      <t>CashData</t>
    </r>
    <r>
      <rPr>
        <sz val="11"/>
        <color indexed="8"/>
        <rFont val="Arial Unicode MS"/>
        <family val="2"/>
      </rPr>
      <t xml:space="preserve"> worksheet.</t>
    </r>
  </si>
  <si>
    <t xml:space="preserve">   percentage withdrawal but allow a COLA.</t>
  </si>
  <si>
    <t>Edit of descriptions for clarity and language usage on all worksheets.</t>
  </si>
  <si>
    <t>[ ] Possibly integrate FAQs with the other worksheets. Is this needed, if so what is best way to do it?</t>
  </si>
  <si>
    <t>any or all of 401(k), 403(b), 457(b), traditional-IRA, Rollover IRA accounts specified. It averages the data to</t>
  </si>
  <si>
    <t>403(b)</t>
  </si>
  <si>
    <t>457(b)</t>
  </si>
  <si>
    <t>"is a Tax-Deferred Annuity (TDA) or Tax-Sheltered Annuity (TSA) plan, is a retirement savings plan available to</t>
  </si>
  <si>
    <t>employees of certain public education organizations, non-profit employers and cooperative hospital service</t>
  </si>
  <si>
    <t xml:space="preserve">organizations, as well as to self-employed ministers" (from Investopia.com). It is treated as a deferred </t>
  </si>
  <si>
    <t xml:space="preserve">"The 457 plan is a type of nonqualified, tax advantaged deferred-compensation retirement plan that is available </t>
  </si>
  <si>
    <t>for governmental and certain non-governmental employers in the United States. The employer provides the plan</t>
  </si>
  <si>
    <t>and the employee defers compensation into it on a pre-tax basis" (from Wikpedia.org). It is treated as a deferred</t>
  </si>
  <si>
    <t>"A Rollover IRA is a Traditional IRA that is often used by those who have changed jobs or retired and have</t>
  </si>
  <si>
    <t>assets accumulated in their employer-sponsored retirement plan, such as a 401(k)" (from fidelity.com ).</t>
  </si>
  <si>
    <r>
      <t xml:space="preserve">It is treated as a deferred IRA in </t>
    </r>
    <r>
      <rPr>
        <b/>
        <sz val="12"/>
        <color theme="1"/>
        <rFont val="Calibri"/>
        <family val="2"/>
        <scheme val="minor"/>
      </rPr>
      <t>7. IRAdata</t>
    </r>
    <r>
      <rPr>
        <sz val="11"/>
        <color theme="1"/>
        <rFont val="Calibri"/>
        <family val="2"/>
        <scheme val="minor"/>
      </rPr>
      <t>.</t>
    </r>
  </si>
  <si>
    <r>
      <t>IRA in</t>
    </r>
    <r>
      <rPr>
        <b/>
        <sz val="11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7. IRAdata</t>
    </r>
    <r>
      <rPr>
        <sz val="11"/>
        <color theme="1"/>
        <rFont val="Calibri"/>
        <family val="2"/>
        <scheme val="minor"/>
      </rPr>
      <t>.</t>
    </r>
  </si>
  <si>
    <t>"A 401(k) is a retirement savings plan sponsored by an employer. It lets workers save and invest a piece of their</t>
  </si>
  <si>
    <t xml:space="preserve">paycheck before taxes are taken out. Taxes aren't paid until the money is withdrawn from the account" </t>
  </si>
  <si>
    <r>
      <t>(from wsj.com). It is treated as a deferred IRA in</t>
    </r>
    <r>
      <rPr>
        <b/>
        <sz val="11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7. IRAdata</t>
    </r>
    <r>
      <rPr>
        <sz val="11"/>
        <color theme="1"/>
        <rFont val="Calibri"/>
        <family val="2"/>
        <scheme val="minor"/>
      </rPr>
      <t>.</t>
    </r>
  </si>
  <si>
    <t>"A Roth 401(k) is an employer-sponsored investment savings account that is funded with after-tax money up to</t>
  </si>
  <si>
    <r>
      <t>RMDs in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8. RothData</t>
    </r>
    <r>
      <rPr>
        <sz val="11"/>
        <color theme="1"/>
        <rFont val="Calibri"/>
        <family val="2"/>
        <scheme val="minor"/>
      </rPr>
      <t>.</t>
    </r>
  </si>
  <si>
    <r>
      <t xml:space="preserve">the </t>
    </r>
    <r>
      <rPr>
        <b/>
        <sz val="12"/>
        <color theme="1"/>
        <rFont val="Calibri"/>
        <family val="2"/>
        <scheme val="minor"/>
      </rPr>
      <t>R. Results</t>
    </r>
    <r>
      <rPr>
        <sz val="11"/>
        <color theme="1"/>
        <rFont val="Calibri"/>
        <family val="2"/>
        <scheme val="minor"/>
      </rPr>
      <t xml:space="preserve"> worksheet table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indexed="8"/>
        <rFont val="Calibri"/>
        <family val="2"/>
      </rPr>
      <t>R.5.1</t>
    </r>
    <r>
      <rPr>
        <sz val="11"/>
        <color theme="1"/>
        <rFont val="Calibri"/>
        <family val="2"/>
        <scheme val="minor"/>
      </rPr>
      <t xml:space="preserve">. See </t>
    </r>
    <r>
      <rPr>
        <b/>
        <sz val="12"/>
        <color theme="1"/>
        <rFont val="Calibri"/>
        <family val="2"/>
        <scheme val="minor"/>
      </rPr>
      <t>RS. Resources</t>
    </r>
    <r>
      <rPr>
        <sz val="11"/>
        <color theme="1"/>
        <rFont val="Calibri"/>
        <family val="2"/>
        <scheme val="minor"/>
      </rPr>
      <t xml:space="preserve"> worksheet</t>
    </r>
    <r>
      <rPr>
        <b/>
        <sz val="11"/>
        <color theme="1"/>
        <rFont val="Calibri"/>
        <family val="2"/>
        <scheme val="minor"/>
      </rPr>
      <t xml:space="preserve"> 6.7  on </t>
    </r>
    <r>
      <rPr>
        <sz val="11"/>
        <color theme="1"/>
        <rFont val="Calibri"/>
        <family val="2"/>
        <scheme val="minor"/>
      </rPr>
      <t>Safe Withdrawal Rates.</t>
    </r>
  </si>
  <si>
    <r>
      <t>Withdrawals from the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indexed="8"/>
        <rFont val="Calibri"/>
        <family val="2"/>
      </rPr>
      <t>7. IRAdata</t>
    </r>
    <r>
      <rPr>
        <sz val="12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account are taxed at the marginal tax rate. Withdrawals from the </t>
    </r>
    <r>
      <rPr>
        <b/>
        <sz val="12"/>
        <color indexed="8"/>
        <rFont val="Calibri"/>
        <family val="2"/>
      </rPr>
      <t>8. RothData</t>
    </r>
  </si>
  <si>
    <r>
      <t>required to take withdrawals. This spreadsheet includes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7.</t>
    </r>
    <r>
      <rPr>
        <sz val="12"/>
        <color theme="1"/>
        <rFont val="Calibri"/>
        <family val="2"/>
        <scheme val="minor"/>
      </rPr>
      <t xml:space="preserve"> I</t>
    </r>
    <r>
      <rPr>
        <b/>
        <sz val="12"/>
        <color indexed="8"/>
        <rFont val="Calibri"/>
        <family val="2"/>
      </rPr>
      <t>RAdata</t>
    </r>
    <r>
      <rPr>
        <sz val="12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and  </t>
    </r>
    <r>
      <rPr>
        <b/>
        <sz val="12"/>
        <color theme="1"/>
        <rFont val="Calibri"/>
        <family val="2"/>
        <scheme val="minor"/>
      </rPr>
      <t xml:space="preserve">8. </t>
    </r>
    <r>
      <rPr>
        <b/>
        <sz val="12"/>
        <color indexed="8"/>
        <rFont val="Calibri"/>
        <family val="2"/>
      </rPr>
      <t>RothData</t>
    </r>
    <r>
      <rPr>
        <sz val="11"/>
        <color theme="1"/>
        <rFont val="Calibri"/>
        <family val="2"/>
        <scheme val="minor"/>
      </rPr>
      <t xml:space="preserve"> worksheets.</t>
    </r>
  </si>
  <si>
    <r>
      <rPr>
        <b/>
        <sz val="12"/>
        <color indexed="8"/>
        <rFont val="Calibri"/>
        <family val="2"/>
      </rPr>
      <t>8. RothData</t>
    </r>
    <r>
      <rPr>
        <sz val="11"/>
        <color indexed="8"/>
        <rFont val="Calibri"/>
        <family val="2"/>
      </rPr>
      <t xml:space="preserve">, and </t>
    </r>
    <r>
      <rPr>
        <sz val="12"/>
        <color indexed="8"/>
        <rFont val="Calibri"/>
        <family val="2"/>
      </rPr>
      <t xml:space="preserve"> </t>
    </r>
    <r>
      <rPr>
        <b/>
        <sz val="12"/>
        <color indexed="8"/>
        <rFont val="Calibri"/>
        <family val="2"/>
      </rPr>
      <t>9. SavingsData</t>
    </r>
    <r>
      <rPr>
        <b/>
        <sz val="11"/>
        <color indexed="8"/>
        <rFont val="Calibri"/>
        <family val="2"/>
      </rPr>
      <t>.</t>
    </r>
  </si>
  <si>
    <r>
      <t xml:space="preserve">yearly Contributions to investments which earn a yearly Rate Of Return. See worksheets </t>
    </r>
    <r>
      <rPr>
        <b/>
        <sz val="12"/>
        <color indexed="8"/>
        <rFont val="Calibri"/>
        <family val="2"/>
      </rPr>
      <t>7. IRAdata</t>
    </r>
    <r>
      <rPr>
        <b/>
        <sz val="11"/>
        <color indexed="8"/>
        <rFont val="Calibri"/>
        <family val="2"/>
      </rPr>
      <t>,</t>
    </r>
  </si>
  <si>
    <r>
      <t xml:space="preserve">See worksheets 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indexed="8"/>
        <rFont val="Calibri"/>
        <family val="2"/>
      </rPr>
      <t>3. PensionData</t>
    </r>
    <r>
      <rPr>
        <sz val="12"/>
        <color theme="1"/>
        <rFont val="Calibri"/>
        <family val="2"/>
        <scheme val="minor"/>
      </rPr>
      <t xml:space="preserve">,   </t>
    </r>
    <r>
      <rPr>
        <b/>
        <sz val="12"/>
        <color indexed="8"/>
        <rFont val="Calibri"/>
        <family val="2"/>
      </rPr>
      <t>4. SocSecData</t>
    </r>
    <r>
      <rPr>
        <sz val="12"/>
        <color theme="1"/>
        <rFont val="Calibri"/>
        <family val="2"/>
        <scheme val="minor"/>
      </rPr>
      <t xml:space="preserve">,   </t>
    </r>
    <r>
      <rPr>
        <b/>
        <sz val="12"/>
        <color indexed="8"/>
        <rFont val="Calibri"/>
        <family val="2"/>
      </rPr>
      <t>5. WorkData</t>
    </r>
    <r>
      <rPr>
        <sz val="11"/>
        <color theme="1"/>
        <rFont val="Calibri"/>
        <family val="2"/>
        <scheme val="minor"/>
      </rPr>
      <t xml:space="preserve"> and  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indexed="8"/>
        <rFont val="Calibri"/>
        <family val="2"/>
      </rPr>
      <t>6. AnnuityData</t>
    </r>
    <r>
      <rPr>
        <sz val="11"/>
        <color theme="1"/>
        <rFont val="Calibri"/>
        <family val="2"/>
        <scheme val="minor"/>
      </rPr>
      <t>.</t>
    </r>
  </si>
  <si>
    <r>
      <t>are yearly expenses specified in the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indexed="8"/>
        <rFont val="Calibri"/>
        <family val="2"/>
      </rPr>
      <t>10. ExpensesData</t>
    </r>
    <r>
      <rPr>
        <sz val="11"/>
        <color theme="1"/>
        <rFont val="Calibri"/>
        <family val="2"/>
        <scheme val="minor"/>
      </rPr>
      <t xml:space="preserve"> worksheet. Each year they are deducted from the</t>
    </r>
  </si>
  <si>
    <r>
      <t>cash-flow</t>
    </r>
    <r>
      <rPr>
        <b/>
        <sz val="11"/>
        <color indexed="8"/>
        <rFont val="Calibri"/>
        <family val="2"/>
      </rPr>
      <t xml:space="preserve"> </t>
    </r>
    <r>
      <rPr>
        <b/>
        <sz val="12"/>
        <color indexed="8"/>
        <rFont val="Calibri"/>
        <family val="2"/>
      </rPr>
      <t>11. CashData</t>
    </r>
    <r>
      <rPr>
        <sz val="11"/>
        <color theme="1"/>
        <rFont val="Calibri"/>
        <family val="2"/>
        <scheme val="minor"/>
      </rPr>
      <t xml:space="preserve"> account which is the spreadsheet central clearing house for computing the sum</t>
    </r>
  </si>
  <si>
    <r>
      <t xml:space="preserve">Qualified dividends (DIV) are currently also taxed at the LT tax rate. See  </t>
    </r>
    <r>
      <rPr>
        <b/>
        <sz val="12"/>
        <color indexed="8"/>
        <rFont val="Calibri"/>
        <family val="2"/>
      </rPr>
      <t>2. TaxData</t>
    </r>
    <r>
      <rPr>
        <sz val="12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worksheet.</t>
    </r>
  </si>
  <si>
    <r>
      <t xml:space="preserve">See the Resources section </t>
    </r>
    <r>
      <rPr>
        <b/>
        <sz val="12"/>
        <color theme="1"/>
        <rFont val="Calibri"/>
        <family val="2"/>
        <scheme val="minor"/>
      </rPr>
      <t>RS.5 Asset allocation and investing</t>
    </r>
    <r>
      <rPr>
        <sz val="11"/>
        <color theme="1"/>
        <rFont val="Calibri"/>
        <family val="2"/>
        <scheme val="minor"/>
      </rPr>
      <t xml:space="preserve"> for additional references.</t>
    </r>
  </si>
  <si>
    <r>
      <t xml:space="preserve">two annuities in the spreadsheet and they are entered in the 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indexed="8"/>
        <rFont val="Calibri"/>
        <family val="2"/>
      </rPr>
      <t>6. AnnuityData</t>
    </r>
    <r>
      <rPr>
        <sz val="11"/>
        <color theme="1"/>
        <rFont val="Calibri"/>
        <family val="2"/>
        <scheme val="minor"/>
      </rPr>
      <t xml:space="preserve"> worksheet.</t>
    </r>
  </si>
  <si>
    <r>
      <t xml:space="preserve">Also see worksheet </t>
    </r>
    <r>
      <rPr>
        <b/>
        <sz val="12"/>
        <color indexed="8"/>
        <rFont val="Calibri"/>
        <family val="2"/>
      </rPr>
      <t xml:space="preserve">RS. Resources </t>
    </r>
    <r>
      <rPr>
        <b/>
        <sz val="11"/>
        <color indexed="8"/>
        <rFont val="Calibri"/>
        <family val="2"/>
      </rPr>
      <t>(articles, literature, web sites)</t>
    </r>
    <r>
      <rPr>
        <sz val="11"/>
        <color indexed="8"/>
        <rFont val="Calibri"/>
        <family val="2"/>
      </rPr>
      <t xml:space="preserve"> for additional references.</t>
    </r>
  </si>
  <si>
    <t>Compute</t>
  </si>
  <si>
    <t>Compute the yearly cash flow cash(y).</t>
  </si>
  <si>
    <t>does not currently take that into account. The spreadsheet can handle up to two annuities.</t>
  </si>
  <si>
    <r>
      <t xml:space="preserve">you will  claim Social Security. If you are </t>
    </r>
    <r>
      <rPr>
        <u/>
        <sz val="11"/>
        <color indexed="8"/>
        <rFont val="Calibri"/>
        <family val="2"/>
      </rPr>
      <t>already</t>
    </r>
    <r>
      <rPr>
        <sz val="11"/>
        <color indexed="8"/>
        <rFont val="Calibri"/>
        <family val="2"/>
      </rPr>
      <t xml:space="preserve"> taking Social Security, then just enter the current monthly </t>
    </r>
  </si>
  <si>
    <t>(see SSA.gov table that specifies Full Retirement Age (FRA) depending on your birth date.)</t>
  </si>
  <si>
    <t>This worksheet is for entering annuities income streams data that are taxed at the marginal tax rate. If there are</t>
  </si>
  <si>
    <t xml:space="preserve"> no annuities, put $0 for the annuity incomes. For annuities with payouts that are partly taxed, the spreadsheet</t>
  </si>
  <si>
    <t>1. Data used by other worksheets: Age, estimated CPI, estimated Stock &amp; Bond market returns, insurance</t>
  </si>
  <si>
    <r>
      <rPr>
        <b/>
        <sz val="11"/>
        <color theme="1"/>
        <rFont val="Calibri"/>
        <family val="2"/>
        <scheme val="minor"/>
      </rPr>
      <t>**</t>
    </r>
    <r>
      <rPr>
        <sz val="11"/>
        <color theme="1"/>
        <rFont val="Calibri"/>
        <family val="2"/>
        <scheme val="minor"/>
      </rPr>
      <t xml:space="preserve"> For more on </t>
    </r>
    <r>
      <rPr>
        <i/>
        <sz val="11"/>
        <color theme="1"/>
        <rFont val="Calibri"/>
        <family val="2"/>
        <scheme val="minor"/>
      </rPr>
      <t>Beta-level</t>
    </r>
    <r>
      <rPr>
        <sz val="11"/>
        <color theme="1"/>
        <rFont val="Calibri"/>
        <family val="2"/>
        <scheme val="minor"/>
      </rPr>
      <t xml:space="preserve"> software see</t>
    </r>
  </si>
  <si>
    <t>FC</t>
  </si>
  <si>
    <t>spreadsheet do. This table's data are derived from:  R.4, R.5.</t>
  </si>
  <si>
    <t>This table's data are derived from:  R.4, R.5, R.6, R.7;   2. TaxData 2.3.2;   11. CashData 11.1;</t>
  </si>
  <si>
    <t>This table's data are derived from: Results R.5, R.6;   9. SavingsData;   10. ExpensesData 10.3;   11. CashData 11.1</t>
  </si>
  <si>
    <t>The data are computed from tables 7.3, 7.4.1, 7.4.2, 7.5.1, 7.5.2, and 7.5.3.</t>
  </si>
  <si>
    <t>The data are computed from tables 8.3, 8.4.1, 8.4.2, 8.5.1, 8.5.2, and 8.5.3.</t>
  </si>
  <si>
    <t>This table's data are derived from:   AgeData 1.4;   CashData 11.1</t>
  </si>
  <si>
    <r>
      <t xml:space="preserve">Data are entered in the </t>
    </r>
    <r>
      <rPr>
        <b/>
        <sz val="12"/>
        <color indexed="8"/>
        <rFont val="Calibri"/>
        <family val="2"/>
      </rPr>
      <t>7. IRAdata</t>
    </r>
    <r>
      <rPr>
        <sz val="11"/>
        <color theme="1"/>
        <rFont val="Calibri"/>
        <family val="2"/>
        <scheme val="minor"/>
      </rPr>
      <t xml:space="preserve"> worksheet.</t>
    </r>
  </si>
  <si>
    <r>
      <t xml:space="preserve">Pension data are entered in the </t>
    </r>
    <r>
      <rPr>
        <b/>
        <sz val="12"/>
        <color indexed="8"/>
        <rFont val="Calibri"/>
        <family val="2"/>
      </rPr>
      <t>3. PensionData</t>
    </r>
    <r>
      <rPr>
        <sz val="11"/>
        <color theme="1"/>
        <rFont val="Calibri"/>
        <family val="2"/>
        <scheme val="minor"/>
      </rPr>
      <t xml:space="preserve"> worksheet.</t>
    </r>
  </si>
  <si>
    <r>
      <t xml:space="preserve">For this spreadsheet, data are entered in the  </t>
    </r>
    <r>
      <rPr>
        <b/>
        <sz val="12"/>
        <color indexed="8"/>
        <rFont val="Calibri"/>
        <family val="2"/>
      </rPr>
      <t>4. SocSecData</t>
    </r>
    <r>
      <rPr>
        <sz val="11"/>
        <color theme="1"/>
        <rFont val="Calibri"/>
        <family val="2"/>
        <scheme val="minor"/>
      </rPr>
      <t xml:space="preserve"> worksheet.</t>
    </r>
  </si>
  <si>
    <t>Added notes to all worksheets where data are entered to indicate tables that are not editable.</t>
  </si>
  <si>
    <r>
      <t>Added "</t>
    </r>
    <r>
      <rPr>
        <b/>
        <sz val="11"/>
        <color indexed="8"/>
        <rFont val="Calibri"/>
        <family val="2"/>
      </rPr>
      <t xml:space="preserve">This table's data are derived from: &lt;list of worksheet tables used in the calculations&gt;" </t>
    </r>
    <r>
      <rPr>
        <sz val="11"/>
        <color indexed="8"/>
        <rFont val="Calibri"/>
        <family val="2"/>
      </rPr>
      <t>to the</t>
    </r>
    <r>
      <rPr>
        <b/>
        <sz val="11"/>
        <color indexed="8"/>
        <rFont val="Calibri"/>
        <family val="2"/>
      </rPr>
      <t xml:space="preserve"> R. Results</t>
    </r>
    <r>
      <rPr>
        <sz val="11"/>
        <color indexed="8"/>
        <rFont val="Calibri"/>
        <family val="2"/>
      </rPr>
      <t>,</t>
    </r>
  </si>
  <si>
    <t>Click on the any of the following hyperlinks to go to the worksheets</t>
  </si>
  <si>
    <t>4. Pension Data</t>
  </si>
  <si>
    <t>income, contribution, withdrawal, etc. amounts for that worksheet. That lets the data be ignored in computing the results from</t>
  </si>
  <si>
    <t>RMD withdrawals that are done automatically at age 70 1/2.</t>
  </si>
  <si>
    <t>but instead computes a "virtual" deductible IRA as the weighted mean of 401(k), 403(b), 457(b), Traditional-IRA and RMDs.</t>
  </si>
  <si>
    <t>S1 Insurance Policy number</t>
  </si>
  <si>
    <t>Tax Data</t>
  </si>
  <si>
    <t>S1 yearly tax exclusions+deductible expenses =</t>
  </si>
  <si>
    <t>S2 yearly tax exclusions+deductible expenses =</t>
  </si>
  <si>
    <t>S1 yearly tax deductible expenses =</t>
  </si>
  <si>
    <t>S2 yearly tax deductible expenses =</t>
  </si>
  <si>
    <t>S1 Specify override Rate Of Return</t>
  </si>
  <si>
    <t>S2 Specify override Rate Of Return</t>
  </si>
  <si>
    <t>virtual deductible IRA</t>
  </si>
  <si>
    <t>S2 Value or Pct. Cash in savings (Pc)=</t>
  </si>
  <si>
    <t>S1 Value or Pct. Cash in savings (Pc)=</t>
  </si>
  <si>
    <t>Calculated estimate S1 Savings ROR= (Ps*Rs + Pb*Rb + Pc*Rc)/(Ps+Pb+Pc)=</t>
  </si>
  <si>
    <t>Calculated estimate S2 Savings ROR= (Ps*Rs + Pb*Rb + Pc*Rc)/(Ps+Pb+Pc)=</t>
  </si>
  <si>
    <t xml:space="preserve">      Annual contributions to savings portfolio:</t>
  </si>
  <si>
    <t xml:space="preserve">(1) You can used compounded growth for income from Work, Pensions, Social Security, Annuities, savings in IRAs, Roths, </t>
  </si>
  <si>
    <t>deductible-IRA</t>
  </si>
  <si>
    <t>S1 yearly scheduled expenses =</t>
  </si>
  <si>
    <t>Surviving spouse yearly sched. Exp. specified as % Total =</t>
  </si>
  <si>
    <t>(estimate your longevity, obviously only a guess)</t>
  </si>
  <si>
    <r>
      <t xml:space="preserve">Don't include Federal and State tax withholding's since this will be taken out in the </t>
    </r>
    <r>
      <rPr>
        <b/>
        <sz val="11"/>
        <color indexed="8"/>
        <rFont val="Calibri"/>
        <family val="2"/>
      </rPr>
      <t>2. TaxData</t>
    </r>
    <r>
      <rPr>
        <sz val="11"/>
        <color theme="1"/>
        <rFont val="Calibri"/>
        <family val="2"/>
        <scheme val="minor"/>
      </rPr>
      <t xml:space="preserve"> worksheet.</t>
    </r>
  </si>
  <si>
    <t xml:space="preserve"> (default is CPI, override it on next red line.)</t>
  </si>
  <si>
    <r>
      <t xml:space="preserve">Note: the </t>
    </r>
    <r>
      <rPr>
        <u/>
        <sz val="9"/>
        <rFont val="Arial"/>
        <family val="2"/>
      </rPr>
      <t>total</t>
    </r>
    <r>
      <rPr>
        <sz val="9"/>
        <rFont val="Arial"/>
        <family val="2"/>
      </rPr>
      <t xml:space="preserve"> increased (nominal) benefit by delaying claiming each year is the sum of these 2 adjustments=</t>
    </r>
  </si>
  <si>
    <t>(See notes on Exclusion Ratio for</t>
  </si>
  <si>
    <t xml:space="preserve"> Annuity 1.)</t>
  </si>
  <si>
    <t xml:space="preserve">      7.1.1 Enter the current tax deferred value for each of your IRA type accounts</t>
  </si>
  <si>
    <t xml:space="preserve">            7.1.1.1 Estimate combined tax-deferred "virtual" deductible-IRA accounts for this worksheet</t>
  </si>
  <si>
    <t xml:space="preserve">            7.1.2.1 Estimate combined Contributions &amp; Withdrawals for "virtual" deductible-IRA accounts</t>
  </si>
  <si>
    <t xml:space="preserve">    7.2 Planned Irregular Contributions and Withdrawals for the IRA  account</t>
  </si>
  <si>
    <t xml:space="preserve">         7.4.2 Calculated IRA  Irregular Contributions sorted by age: Cirr(t)</t>
  </si>
  <si>
    <t>expenses, taxes and cash-flows over time.  No claim is made to the accuracy, suitability, and correctness of the</t>
  </si>
  <si>
    <t>algorithms. Also, note that the further out one goes over time, the less accurate any estimates will be. Since the</t>
  </si>
  <si>
    <t> all computations as desired. Because it uses generic spreadsheet coding (with no VBA), it will run in a variety of</t>
  </si>
  <si>
    <t>the software.</t>
  </si>
  <si>
    <r>
      <rPr>
        <b/>
        <sz val="11"/>
        <color rgb="FFFF0000"/>
        <rFont val="Calibri"/>
        <family val="2"/>
        <scheme val="minor"/>
      </rPr>
      <t>software at your own discretion and risk</t>
    </r>
    <r>
      <rPr>
        <b/>
        <sz val="11"/>
        <color theme="1"/>
        <rFont val="Calibri"/>
        <family val="2"/>
        <scheme val="minor"/>
      </rPr>
      <t xml:space="preserve"> as an initial way to think about personal finance problems. This is educational</t>
    </r>
  </si>
  <si>
    <t>Note: Currently, the spreadsheet does not currently handle non-deductible IRAs. If you have one you might approximate it</t>
  </si>
  <si>
    <t xml:space="preserve">by splitting the amount into a Roth (non-taxable) and a deductible-IRA (taxable). </t>
  </si>
  <si>
    <t>Note: non-deductible-IRAs calculations are not implemented at this point (they are grayed out).</t>
  </si>
  <si>
    <t>Treat deductible IRA retirement accounts such as 401(k), 403(b), 457(b) accounts as deductible IRAs in this spreadsheet.</t>
  </si>
  <si>
    <r>
      <t xml:space="preserve">Add up all sources of these </t>
    </r>
    <r>
      <rPr>
        <u/>
        <sz val="12"/>
        <color indexed="8"/>
        <rFont val="Calibri"/>
        <family val="2"/>
        <scheme val="minor"/>
      </rPr>
      <t>tax-deductible IRA assets</t>
    </r>
    <r>
      <rPr>
        <sz val="12"/>
        <color indexed="8"/>
        <rFont val="Calibri"/>
        <family val="2"/>
        <scheme val="minor"/>
      </rPr>
      <t xml:space="preserve">  that use the standard RMD schedule. The inherited-IRAs </t>
    </r>
  </si>
  <si>
    <t xml:space="preserve">will have a different RMD schedules. It is assumed  for simplification purposes that the standard RMD is taken </t>
  </si>
  <si>
    <t>7.1.1 Enter the current tax deferred value for each of your IRA type accounts</t>
  </si>
  <si>
    <t>deductible-IRA is estimated for use in this worksheet.</t>
  </si>
  <si>
    <t>7.1.1.1 Estimate combined tax-deferred "virtual" deductible-IRA accounts for this worksheet</t>
  </si>
  <si>
    <t>The "virtual" deductible IRAs are computed as the weighted sums of any non-zero 401(k), 403(b), 457(b),</t>
  </si>
  <si>
    <t>deductible 401(k)</t>
  </si>
  <si>
    <t>deductible 403(b)</t>
  </si>
  <si>
    <t>deductible 457(b)</t>
  </si>
  <si>
    <t>non-deductible IRA</t>
  </si>
  <si>
    <t>Treat deductible retirement accounts such as 401(k), 403(b), 457(b) traditional and Rollover IRA  accounts as a virtual</t>
  </si>
  <si>
    <t>7.1.2.1 Estimate combined Contributions &amp; Withdrawals for "virtual" deductible-IRA accounts</t>
  </si>
  <si>
    <t xml:space="preserve"> deductible IRA</t>
  </si>
  <si>
    <t>(IRA is shorthand for deductible-IRA)</t>
  </si>
  <si>
    <t>i is an IRA type (IRA, inherited-5year, inherited-Lifetime, non-deductible),</t>
  </si>
  <si>
    <t>7.4. Compute  Contributions to IRA and non-deductible IRA accounts: Csch(t) and Cirr(t)</t>
  </si>
  <si>
    <t>This computes the scheduled and irregular contributions for the IRA and non-deductible-IRA.</t>
  </si>
  <si>
    <t>7.4.1 Compute Scheduled Contributions to IRA and non-deductible IRA accounts: Csch(t)</t>
  </si>
  <si>
    <t>can have withdrawals from the 4 different types of IRA accounts IRA inherited-Lifetime and non-deductible IRA type i.)</t>
  </si>
  <si>
    <t>Note: includes W  &amp; WF irregular withdrawals for year t-1 all IRA types (i).</t>
  </si>
  <si>
    <t>Note: RMDs for inherited-5 year, inherited-Lifetime, non-deductible IRA types (i).</t>
  </si>
  <si>
    <t xml:space="preserve">This includes W and WF irregular withdrawal events for year t-1 all  IRA types (i). These events are entered by the user </t>
  </si>
  <si>
    <t>and non-deductible IRA types i) using Values (t-1) from table 8.3 and the RMD tables in 12. RMDTable worksheet.</t>
  </si>
  <si>
    <t>c) The deductible-IRA uses 12. RMDtable table 12.1.</t>
  </si>
  <si>
    <t>d) The non-deductible IRA is not available at this time.</t>
  </si>
  <si>
    <t>S1 non-deductible IRA RMD</t>
  </si>
  <si>
    <t>S1 deductible IRA RMD Dist. Period</t>
  </si>
  <si>
    <t>S2 deductible IRA RMD Dist. Period</t>
  </si>
  <si>
    <t>S1 non-deductible RMD (N.A.)</t>
  </si>
  <si>
    <t>S2 non-deductible RMD (N.A.)</t>
  </si>
  <si>
    <t xml:space="preserve"> Inherited IRAs starting amount</t>
  </si>
  <si>
    <r>
      <t xml:space="preserve">This table is derived from user entered irregular events data data in table </t>
    </r>
    <r>
      <rPr>
        <b/>
        <sz val="11"/>
        <color indexed="8"/>
        <rFont val="Calibri"/>
        <family val="2"/>
      </rPr>
      <t>7.2</t>
    </r>
    <r>
      <rPr>
        <sz val="11"/>
        <color indexed="8"/>
        <rFont val="Calibri"/>
        <family val="2"/>
      </rPr>
      <t xml:space="preserve"> and used used in tables </t>
    </r>
    <r>
      <rPr>
        <b/>
        <sz val="11"/>
        <color indexed="8"/>
        <rFont val="Calibri"/>
        <family val="2"/>
      </rPr>
      <t>7.4.2 (Cirr)</t>
    </r>
    <r>
      <rPr>
        <sz val="11"/>
        <color indexed="8"/>
        <rFont val="Calibri"/>
        <family val="2"/>
      </rPr>
      <t/>
    </r>
  </si>
  <si>
    <t>Roths.  It is assumed for simplification purposes that the standard RMD (for 401(k)-Roth) is taken at age 70 although</t>
  </si>
  <si>
    <r>
      <t>tables below using the data entered in  Sections</t>
    </r>
    <r>
      <rPr>
        <b/>
        <sz val="11"/>
        <rFont val="Calibri"/>
        <family val="2"/>
        <scheme val="minor"/>
      </rPr>
      <t xml:space="preserve"> 8.1</t>
    </r>
    <r>
      <rPr>
        <sz val="11"/>
        <rFont val="Calibri"/>
        <family val="2"/>
        <scheme val="minor"/>
      </rPr>
      <t xml:space="preserve"> and </t>
    </r>
    <r>
      <rPr>
        <b/>
        <sz val="11"/>
        <rFont val="Calibri"/>
        <family val="2"/>
        <scheme val="minor"/>
      </rPr>
      <t xml:space="preserve">8.2 </t>
    </r>
    <r>
      <rPr>
        <sz val="11"/>
        <rFont val="Calibri"/>
        <family val="2"/>
        <scheme val="minor"/>
      </rPr>
      <t>where intermediate results are computed for the scheduled</t>
    </r>
  </si>
  <si>
    <t>Note: includes W  &amp; WF irregular withdrawals for year t-1 all Roth types (i).</t>
  </si>
  <si>
    <t xml:space="preserve">This includes W and WF irregular withdrawal events for year t-1 all  Roth types (i). These events are entered by the user </t>
  </si>
  <si>
    <r>
      <t xml:space="preserve">and 401(k) Roth types i) using Values (t-1) from table </t>
    </r>
    <r>
      <rPr>
        <b/>
        <sz val="11"/>
        <color theme="1"/>
        <rFont val="Calibri"/>
        <family val="2"/>
        <scheme val="minor"/>
      </rPr>
      <t>8.3</t>
    </r>
    <r>
      <rPr>
        <sz val="11"/>
        <color theme="1"/>
        <rFont val="Calibri"/>
        <family val="2"/>
        <scheme val="minor"/>
      </rPr>
      <t xml:space="preserve"> and the RMD tables in</t>
    </r>
    <r>
      <rPr>
        <b/>
        <sz val="11"/>
        <color theme="1"/>
        <rFont val="Calibri"/>
        <family val="2"/>
        <scheme val="minor"/>
      </rPr>
      <t xml:space="preserve"> 12. RMDtable </t>
    </r>
    <r>
      <rPr>
        <sz val="11"/>
        <color theme="1"/>
        <rFont val="Calibri"/>
        <family val="2"/>
        <scheme val="minor"/>
      </rPr>
      <t>worksheet.</t>
    </r>
  </si>
  <si>
    <t>c) The 401(k)-Roth uses the same RMD table as the deductible-IRA and is 12. RMDtable table 12.1.</t>
  </si>
  <si>
    <r>
      <t xml:space="preserve">This table is derived from user entered irregular events data data in table </t>
    </r>
    <r>
      <rPr>
        <b/>
        <sz val="11"/>
        <color indexed="8"/>
        <rFont val="Calibri"/>
        <family val="2"/>
      </rPr>
      <t>8.2</t>
    </r>
    <r>
      <rPr>
        <sz val="11"/>
        <color indexed="8"/>
        <rFont val="Calibri"/>
        <family val="2"/>
      </rPr>
      <t xml:space="preserve"> and used used in tables </t>
    </r>
    <r>
      <rPr>
        <b/>
        <sz val="11"/>
        <color indexed="8"/>
        <rFont val="Calibri"/>
        <family val="2"/>
      </rPr>
      <t>8.4.2 (Cirr)</t>
    </r>
    <r>
      <rPr>
        <sz val="11"/>
        <color indexed="8"/>
        <rFont val="Calibri"/>
        <family val="2"/>
      </rPr>
      <t/>
    </r>
  </si>
  <si>
    <t>Previous worksheet (7. IRAdata)</t>
  </si>
  <si>
    <t xml:space="preserve"> (Rate of Return. Note: could use calculated or override</t>
  </si>
  <si>
    <t xml:space="preserve"> Override S1 ROR enter value if not 0% =</t>
  </si>
  <si>
    <t xml:space="preserve"> Override S2 ROR enter value if not 0% =</t>
  </si>
  <si>
    <t>(Note tax-free distributions using tax-free municipal bonds etc.)</t>
  </si>
  <si>
    <t>[TODO] allow specification of specific capital gains along with  irregular  withdrawals so more accurate tax est.</t>
  </si>
  <si>
    <t>9.4.1 Enter Irregular Contributions and Withdrawals events for the Savings account</t>
  </si>
  <si>
    <r>
      <t xml:space="preserve">Note: the unscheduled s1, s2 tax-free life insurance payouts are computed in </t>
    </r>
    <r>
      <rPr>
        <b/>
        <sz val="11"/>
        <color indexed="8"/>
        <rFont val="Calibri"/>
        <family val="2"/>
      </rPr>
      <t xml:space="preserve">1. AgeData </t>
    </r>
    <r>
      <rPr>
        <sz val="11"/>
        <color indexed="8"/>
        <rFont val="Calibri"/>
        <family val="2"/>
      </rPr>
      <t>table</t>
    </r>
    <r>
      <rPr>
        <b/>
        <sz val="11"/>
        <color indexed="8"/>
        <rFont val="Calibri"/>
        <family val="2"/>
      </rPr>
      <t xml:space="preserve"> 1.4.1</t>
    </r>
    <r>
      <rPr>
        <sz val="11"/>
        <color indexed="8"/>
        <rFont val="Calibri"/>
        <family val="2"/>
      </rPr>
      <t>.</t>
    </r>
  </si>
  <si>
    <t>S1 Saving Returns LT+ST+ TaxFree</t>
  </si>
  <si>
    <t>S2 Saving Returns LT+ST+ TaxFree</t>
  </si>
  <si>
    <t>10.1.1 How much of the above(10.1) yearly expenses are tax deductible.</t>
  </si>
  <si>
    <t>Total s1+S2 decoctions</t>
  </si>
  <si>
    <t>S1 yearly sched. deductible FV</t>
  </si>
  <si>
    <t>S2 yearly sched. deductible FV</t>
  </si>
  <si>
    <t>S1+S2 yearly sched. deductible FV</t>
  </si>
  <si>
    <t>S1 yearly irregular deductible FV</t>
  </si>
  <si>
    <t>S1+S2 yearly irregular deductible FV</t>
  </si>
  <si>
    <r>
      <rPr>
        <i/>
        <sz val="11"/>
        <color theme="1"/>
        <rFont val="Calibri"/>
        <family val="2"/>
        <scheme val="minor"/>
      </rPr>
      <t>J. Fin. Planning</t>
    </r>
    <r>
      <rPr>
        <sz val="11"/>
        <color theme="1"/>
        <rFont val="Calibri"/>
        <family val="2"/>
        <scheme val="minor"/>
      </rPr>
      <t>, The 4 Percent Rule Is Not Safe in a Low-Yield World, by Michael Finke, Wade D. Pfau, &amp; David Blanchett</t>
    </r>
  </si>
  <si>
    <t>Protecting and unprotecting Excel worksheets</t>
  </si>
  <si>
    <t>Previous worksheet (RS. Resources)</t>
  </si>
  <si>
    <t xml:space="preserve">      9.5 Value of Savings,  Savings Capital Gains &amp; Dividends, and Tax-Free Dividends</t>
  </si>
  <si>
    <t>Tax calculations Worksheet names</t>
  </si>
  <si>
    <t>A.6 Documentation in the SimpleCalc and Appendix B extra calculators worksheets</t>
  </si>
  <si>
    <t>B.5 Expense calculator to either estimate or calculate yearly recurring expenses.</t>
  </si>
  <si>
    <t xml:space="preserve">      B.5.2 Compute  average recurring expenses</t>
  </si>
  <si>
    <t xml:space="preserve"> (enter estimated rate of return - could be CPI, investment ROR etc.)</t>
  </si>
  <si>
    <r>
      <t xml:space="preserve">It computes   </t>
    </r>
    <r>
      <rPr>
        <b/>
        <sz val="11"/>
        <color theme="1"/>
        <rFont val="Calibri"/>
        <family val="2"/>
        <scheme val="minor"/>
      </rPr>
      <t xml:space="preserve">(Rinvestment - Rinflation)**yr  </t>
    </r>
    <r>
      <rPr>
        <sz val="11"/>
        <color theme="1"/>
        <rFont val="Calibri"/>
        <family val="2"/>
        <scheme val="minor"/>
      </rPr>
      <t xml:space="preserve"> for a 35 year period.</t>
    </r>
  </si>
  <si>
    <t>This can be useful in seeing the long term value of that future value. E.g., a Mortgage payment, etc.</t>
  </si>
  <si>
    <t>Enter starting appreciating  asset value =</t>
  </si>
  <si>
    <t>You can find your average yearly expenses two ways: 1) estimating it, or 2) doing an exact calculation.</t>
  </si>
  <si>
    <t xml:space="preserve">This is a very approximate way to estimate average expenses. </t>
  </si>
  <si>
    <t>Whether an expense is recurring or irregular depends on what time frame you want to use. G</t>
  </si>
  <si>
    <t>You can override the irregular amount computed in B.1.5.1 below.</t>
  </si>
  <si>
    <t>Total N Year irregular spending (override) =</t>
  </si>
  <si>
    <t>Enter any irregular expenses occurring during this time period.</t>
  </si>
  <si>
    <t>B.5.2 Compute  average recurring  expenses</t>
  </si>
  <si>
    <t>Compute the average recurring  average yearly expense. This does not include irregular expenses..</t>
  </si>
  <si>
    <t>Groceries  household supplies</t>
  </si>
  <si>
    <t>Legal Fees</t>
  </si>
  <si>
    <t>Spouse 1 Misc Cash</t>
  </si>
  <si>
    <t>Spouse 2 Misc Cash</t>
  </si>
  <si>
    <t>Children's allowances</t>
  </si>
  <si>
    <t>Utilities:Cell Phones</t>
  </si>
  <si>
    <t>Deductible IRA</t>
  </si>
  <si>
    <t xml:space="preserve">differentiated from the Roth as used here which refers to the Roth IRA or non-deductible (non-taxable) IRA. </t>
  </si>
  <si>
    <t>specified yearly as scheduled and/or irregular expenses.</t>
  </si>
  <si>
    <r>
      <t xml:space="preserve">is withdrawals from either the tax-deferred IRA </t>
    </r>
    <r>
      <rPr>
        <b/>
        <sz val="11"/>
        <color indexed="8"/>
        <rFont val="Calibri"/>
        <family val="2"/>
      </rPr>
      <t>(</t>
    </r>
    <r>
      <rPr>
        <b/>
        <sz val="12"/>
        <color indexed="8"/>
        <rFont val="Calibri"/>
        <family val="2"/>
      </rPr>
      <t>7. IRAdata</t>
    </r>
    <r>
      <rPr>
        <b/>
        <sz val="11"/>
        <color indexed="8"/>
        <rFont val="Calibri"/>
        <family val="2"/>
      </rPr>
      <t>)</t>
    </r>
    <r>
      <rPr>
        <sz val="11"/>
        <color theme="1"/>
        <rFont val="Calibri"/>
        <family val="2"/>
        <scheme val="minor"/>
      </rPr>
      <t xml:space="preserve"> and Roth IRA </t>
    </r>
    <r>
      <rPr>
        <b/>
        <sz val="11"/>
        <color indexed="8"/>
        <rFont val="Calibri"/>
        <family val="2"/>
      </rPr>
      <t>(</t>
    </r>
    <r>
      <rPr>
        <b/>
        <sz val="12"/>
        <color indexed="8"/>
        <rFont val="Calibri"/>
        <family val="2"/>
      </rPr>
      <t>8. RothData</t>
    </r>
    <r>
      <rPr>
        <b/>
        <sz val="11"/>
        <color indexed="8"/>
        <rFont val="Calibri"/>
        <family val="2"/>
      </rPr>
      <t>)</t>
    </r>
    <r>
      <rPr>
        <sz val="11"/>
        <color theme="1"/>
        <rFont val="Calibri"/>
        <family val="2"/>
        <scheme val="minor"/>
      </rPr>
      <t xml:space="preserve"> investment accounts. </t>
    </r>
  </si>
  <si>
    <t>Non-deductible IRA</t>
  </si>
  <si>
    <t>Non-deductible Roth</t>
  </si>
  <si>
    <t>their working career. After retirement, the pension will pay the worker (or their survivors in some</t>
  </si>
  <si>
    <t>is an investment account used for saving for retirement. Accounts under your personal control are</t>
  </si>
  <si>
    <t>see deductible-IRA.</t>
  </si>
  <si>
    <t>"Virtual" deductible IRA</t>
  </si>
  <si>
    <r>
      <t xml:space="preserve">A "virtual" deductible IRA used in the SIPT </t>
    </r>
    <r>
      <rPr>
        <b/>
        <sz val="12"/>
        <color indexed="8"/>
        <rFont val="Calibri"/>
        <family val="2"/>
      </rPr>
      <t>7. IRAdata</t>
    </r>
    <r>
      <rPr>
        <b/>
        <sz val="11"/>
        <color indexed="8"/>
        <rFont val="Calibri"/>
        <family val="2"/>
      </rPr>
      <t xml:space="preserve"> </t>
    </r>
    <r>
      <rPr>
        <sz val="11"/>
        <color indexed="8"/>
        <rFont val="Calibri"/>
        <family val="2"/>
      </rPr>
      <t xml:space="preserve">worksheet is computed as the asset weighted values for: </t>
    </r>
  </si>
  <si>
    <t xml:space="preserve"> computes the average characteristics for the virtual  deductible IRA  used in the rest of the worksheet.</t>
  </si>
  <si>
    <t xml:space="preserve">      If the market ROR for stocks is Rs, for bonds is Rb, and for cash is Rc.</t>
  </si>
  <si>
    <t xml:space="preserve">      The portfolio ROR= (Ps*Rs + Pb*Rb)/(Ps+Pb)</t>
  </si>
  <si>
    <t>If consider stocks, bonds and cash.</t>
  </si>
  <si>
    <t>If only consider stocks and bonds,</t>
  </si>
  <si>
    <t xml:space="preserve">      The portfolio ROR= (Ps*Rs + Pb*Rb + pc*Rc)/(Ps+Pb+Pc)</t>
  </si>
  <si>
    <t xml:space="preserve">      The percentage of stocks is Ps, for bonds is Pb, and for cash is Pc where (Ps+Pb+Pc) = 1.0.</t>
  </si>
  <si>
    <t>Much of these possible things on the TODO wish list may not be that important for most people.</t>
  </si>
  <si>
    <r>
      <t xml:space="preserve">[ ] Double check the new RMD calculations for inherited-IRAs in </t>
    </r>
    <r>
      <rPr>
        <b/>
        <sz val="11"/>
        <color theme="1"/>
        <rFont val="Calibri"/>
        <family val="2"/>
        <scheme val="minor"/>
      </rPr>
      <t>7. IRAdata</t>
    </r>
    <r>
      <rPr>
        <sz val="11"/>
        <color theme="1"/>
        <rFont val="Calibri"/>
        <family val="2"/>
        <scheme val="minor"/>
      </rPr>
      <t xml:space="preserve">, and inherited-Roths and 401(k)-Roths in </t>
    </r>
    <r>
      <rPr>
        <b/>
        <sz val="11"/>
        <color theme="1"/>
        <rFont val="Calibri"/>
        <family val="2"/>
        <scheme val="minor"/>
      </rPr>
      <t>8.RothData.</t>
    </r>
  </si>
  <si>
    <t xml:space="preserve">     assets may incur a larger LTCG or STCG than the default. Investigate order of magnitude of errors of static estimates.</t>
  </si>
  <si>
    <r>
      <t xml:space="preserve">     It approximates muni-bond tax-free income, etc. using </t>
    </r>
    <r>
      <rPr>
        <b/>
        <sz val="11"/>
        <color theme="1"/>
        <rFont val="Calibri"/>
        <family val="2"/>
        <scheme val="minor"/>
      </rPr>
      <t xml:space="preserve">9. SavingsData </t>
    </r>
    <r>
      <rPr>
        <sz val="11"/>
        <color theme="1"/>
        <rFont val="Calibri"/>
        <family val="2"/>
        <scheme val="minor"/>
      </rPr>
      <t>section</t>
    </r>
    <r>
      <rPr>
        <b/>
        <sz val="11"/>
        <color theme="1"/>
        <rFont val="Calibri"/>
        <family val="2"/>
        <scheme val="minor"/>
      </rPr>
      <t xml:space="preserve"> 9.2</t>
    </r>
    <r>
      <rPr>
        <sz val="11"/>
        <color theme="1"/>
        <rFont val="Calibri"/>
        <family val="2"/>
        <scheme val="minor"/>
      </rPr>
      <t xml:space="preserve"> as an estimated percentage of returns.</t>
    </r>
  </si>
  <si>
    <t xml:space="preserve">      they are computed elsewhere. Check whenever insert or delete a table in any worksheet. </t>
  </si>
  <si>
    <t>[ ] Do a total edit for clarity and language usage, redundancy and clarity (then do it again…)</t>
  </si>
  <si>
    <t>Added a  "virtual" deductible IRA computed as the asset weighted values for: 401(k), 403(b), 457(b),</t>
  </si>
  <si>
    <t>and then computes the average characteristics s for the virtual deductible IRA.</t>
  </si>
  <si>
    <t xml:space="preserve">a simple glide path calculation as a way to look at finances over time. This is inadequate for most realistic </t>
  </si>
  <si>
    <r>
      <t xml:space="preserve">Added code and a new table 10.2.3 for irregular deductions, and modified tables </t>
    </r>
    <r>
      <rPr>
        <b/>
        <sz val="11"/>
        <color theme="1"/>
        <rFont val="Calibri"/>
        <family val="2"/>
        <scheme val="minor"/>
      </rPr>
      <t>10.2.1, 10.2.2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10.3</t>
    </r>
    <r>
      <rPr>
        <sz val="11"/>
        <color theme="1"/>
        <rFont val="Calibri"/>
        <family val="2"/>
        <scheme val="minor"/>
      </rPr>
      <t>.</t>
    </r>
  </si>
  <si>
    <r>
      <t xml:space="preserve">extended table </t>
    </r>
    <r>
      <rPr>
        <b/>
        <sz val="11"/>
        <color theme="1"/>
        <rFont val="Calibri"/>
        <family val="2"/>
        <scheme val="minor"/>
      </rPr>
      <t>10.2.3</t>
    </r>
    <r>
      <rPr>
        <sz val="11"/>
        <color theme="1"/>
        <rFont val="Calibri"/>
        <family val="2"/>
        <scheme val="minor"/>
      </rPr>
      <t xml:space="preserve"> for summing them. It now handles deductions as the sum of scheduled (with a COLA)</t>
    </r>
  </si>
  <si>
    <r>
      <t xml:space="preserve">In </t>
    </r>
    <r>
      <rPr>
        <b/>
        <sz val="11"/>
        <color theme="1"/>
        <rFont val="Calibri"/>
        <family val="2"/>
        <scheme val="minor"/>
      </rPr>
      <t>R. Results</t>
    </r>
    <r>
      <rPr>
        <sz val="11"/>
        <color theme="1"/>
        <rFont val="Calibri"/>
        <family val="2"/>
        <scheme val="minor"/>
      </rPr>
      <t xml:space="preserve"> relabeled </t>
    </r>
    <r>
      <rPr>
        <b/>
        <sz val="11"/>
        <color theme="1"/>
        <rFont val="Calibri"/>
        <family val="2"/>
        <scheme val="minor"/>
      </rPr>
      <t>R.1.1 Graph of summary values over time of table R.1 columns [C:I].</t>
    </r>
  </si>
  <si>
    <t>References to subsections or sub tables in all worksheets were change to "sections" for consistency.</t>
  </si>
  <si>
    <r>
      <t xml:space="preserve">9. SavingsData,  10. ExpensesData. </t>
    </r>
    <r>
      <rPr>
        <sz val="11"/>
        <color indexed="8"/>
        <rFont val="Calibri"/>
        <family val="2"/>
      </rPr>
      <t xml:space="preserve">Also in other worksheets </t>
    </r>
    <r>
      <rPr>
        <b/>
        <sz val="11"/>
        <color indexed="8"/>
        <rFont val="Calibri"/>
        <family val="2"/>
      </rPr>
      <t xml:space="preserve">2. TaxData,  R.Results,  </t>
    </r>
    <r>
      <rPr>
        <sz val="11"/>
        <color indexed="8"/>
        <rFont val="Calibri"/>
        <family val="2"/>
      </rPr>
      <t>and</t>
    </r>
    <r>
      <rPr>
        <b/>
        <sz val="11"/>
        <color indexed="8"/>
        <rFont val="Calibri"/>
        <family val="2"/>
      </rPr>
      <t xml:space="preserve"> 12.CashData.</t>
    </r>
  </si>
  <si>
    <r>
      <t xml:space="preserve">** Possible circular references marked with reference in </t>
    </r>
    <r>
      <rPr>
        <b/>
        <sz val="11"/>
        <color rgb="FFFF0000"/>
        <rFont val="Calibri"/>
        <family val="2"/>
        <scheme val="minor"/>
      </rPr>
      <t>red &lt;worksheet&gt; &lt;sub table&gt;</t>
    </r>
    <r>
      <rPr>
        <b/>
        <sz val="11"/>
        <rFont val="Calibri"/>
        <family val="2"/>
        <scheme val="minor"/>
      </rPr>
      <t xml:space="preserve">. </t>
    </r>
  </si>
  <si>
    <t>3.2  Work Income over time from multiple jobs, rentals, etc.</t>
  </si>
  <si>
    <t>Spell checked all worksheets. Clarified Abstract and Disclaimer.</t>
  </si>
  <si>
    <t xml:space="preserve">from your gross income. However, subtract Federal tax, FICA tax and Medicare taxes withholdings from your gross income. </t>
  </si>
  <si>
    <r>
      <t xml:space="preserve"> added to the marginal tax bracket. You can subtract State tax withholding from your gross income as well (</t>
    </r>
    <r>
      <rPr>
        <i/>
        <sz val="11"/>
        <color indexed="8"/>
        <rFont val="Calibri"/>
        <family val="2"/>
      </rPr>
      <t>i.e., ignore them</t>
    </r>
    <r>
      <rPr>
        <sz val="11"/>
        <color theme="1"/>
        <rFont val="Calibri"/>
        <family val="2"/>
        <scheme val="minor"/>
      </rPr>
      <t>).</t>
    </r>
  </si>
  <si>
    <t>A scheduled event in the spreadsheet is a contribution, withdrawal or expense (on the corresponding worksheet).</t>
  </si>
  <si>
    <r>
      <t>For table</t>
    </r>
    <r>
      <rPr>
        <b/>
        <sz val="11"/>
        <color theme="1"/>
        <rFont val="Calibri"/>
        <family val="2"/>
        <scheme val="minor"/>
      </rPr>
      <t xml:space="preserve"> 10. ExpensesData 10.2.1</t>
    </r>
    <r>
      <rPr>
        <sz val="11"/>
        <color theme="1"/>
        <rFont val="Calibri"/>
        <family val="2"/>
        <scheme val="minor"/>
      </rPr>
      <t xml:space="preserve"> you can replace all demo entries with (</t>
    </r>
    <r>
      <rPr>
        <b/>
        <sz val="11"/>
        <color rgb="FFFF0000"/>
        <rFont val="Calibri"/>
        <family val="2"/>
        <scheme val="minor"/>
      </rPr>
      <t>0, &lt;blank&gt;, $0</t>
    </r>
    <r>
      <rPr>
        <sz val="11"/>
        <color theme="1"/>
        <rFont val="Calibri"/>
        <family val="2"/>
        <scheme val="minor"/>
      </rPr>
      <t>).</t>
    </r>
  </si>
  <si>
    <r>
      <t xml:space="preserve"> size of the window within Excel so that is about 1/2 the size of the full Excel window size. 3) Move the spreadsheet to the </t>
    </r>
    <r>
      <rPr>
        <b/>
        <sz val="11"/>
        <color theme="1"/>
        <rFont val="Calibri"/>
        <family val="2"/>
        <scheme val="minor"/>
      </rPr>
      <t>left</t>
    </r>
  </si>
  <si>
    <t>options. If you unprotect a worksheet, you might want to protect it again to after cutting and pasting to avoid making</t>
  </si>
  <si>
    <r>
      <t xml:space="preserve">[ ] Investigate whether to redo the spreadsheet as a Java or C++ app that could run standalone with </t>
    </r>
    <r>
      <rPr>
        <u/>
        <sz val="11"/>
        <color theme="1"/>
        <rFont val="Calibri"/>
        <family val="2"/>
        <scheme val="minor"/>
      </rPr>
      <t>a much</t>
    </r>
  </si>
  <si>
    <r>
      <t xml:space="preserve">     </t>
    </r>
    <r>
      <rPr>
        <u/>
        <sz val="11"/>
        <color theme="1"/>
        <rFont val="Calibri"/>
        <family val="2"/>
        <scheme val="minor"/>
      </rPr>
      <t>better targeted GUI</t>
    </r>
    <r>
      <rPr>
        <sz val="11"/>
        <color theme="1"/>
        <rFont val="Calibri"/>
        <family val="2"/>
        <scheme val="minor"/>
      </rPr>
      <t xml:space="preserve">. Another option would be on a </t>
    </r>
    <r>
      <rPr>
        <u/>
        <sz val="11"/>
        <color theme="1"/>
        <rFont val="Calibri"/>
        <family val="2"/>
        <scheme val="minor"/>
      </rPr>
      <t>protected web server</t>
    </r>
    <r>
      <rPr>
        <sz val="11"/>
        <color theme="1"/>
        <rFont val="Calibri"/>
        <family val="2"/>
        <scheme val="minor"/>
      </rPr>
      <t>. The advantage of the standalone</t>
    </r>
  </si>
  <si>
    <t>     app is that there are no internet security issues. It should have better guidance, default options, and missing</t>
  </si>
  <si>
    <t>[ ] Possibly allow overide COLAs on the ExpensesData worksheet  specify different COLAs on a per item basis that</t>
  </si>
  <si>
    <t xml:space="preserve">     can override the default CPI. E.g., college rate of inflation is &gt; CPI (maybe about 5% vs 2%), etc.</t>
  </si>
  <si>
    <t>bonus</t>
  </si>
  <si>
    <r>
      <t xml:space="preserve">    b</t>
    </r>
    <r>
      <rPr>
        <b/>
        <sz val="11"/>
        <color theme="1"/>
        <rFont val="Calibri"/>
        <family val="2"/>
        <scheme val="minor"/>
      </rPr>
      <t>)</t>
    </r>
    <r>
      <rPr>
        <sz val="11"/>
        <color theme="1"/>
        <rFont val="Calibri"/>
        <family val="2"/>
        <scheme val="minor"/>
      </rPr>
      <t xml:space="preserve"> no demo data</t>
    </r>
  </si>
  <si>
    <t>     data estimators.  Like Redhat Linux, there could there could be dual releases: a free open-source version and a more</t>
  </si>
  <si>
    <t xml:space="preserve">     sophisticated enterprise version, with paid support that would be supported by a subscription service, it could be </t>
  </si>
  <si>
    <t>     either standalone like Turbotax or a Web version. Also investigate whether it  would be usable on a large Android</t>
  </si>
  <si>
    <t xml:space="preserve">    or Apple tablet.  In the standalone versions, data should be strictly local to ensure security.</t>
  </si>
  <si>
    <t>The Concept</t>
  </si>
  <si>
    <t>investing and spending glide path.</t>
  </si>
  <si>
    <r>
      <t xml:space="preserve">through </t>
    </r>
    <r>
      <rPr>
        <b/>
        <sz val="11"/>
        <color theme="1"/>
        <rFont val="Calibri"/>
        <family val="2"/>
        <scheme val="minor"/>
      </rPr>
      <t xml:space="preserve"> 10. ExpensesData. </t>
    </r>
    <r>
      <rPr>
        <sz val="11"/>
        <color theme="1"/>
        <rFont val="Calibri"/>
        <family val="2"/>
        <scheme val="minor"/>
      </rPr>
      <t>It lets you look at all of your entered data in one place.</t>
    </r>
  </si>
  <si>
    <t>This worksheet is use for for entering your tax filing status for S1 and S2.</t>
  </si>
  <si>
    <t>In Excel, you switch between worksheets by clicking on the worksheet tab at the bottom of the Excel window or by</t>
  </si>
  <si>
    <t>7. Tax-deferred retirement accounts: IRA and 401(k), 403(b), 457(B), etc., type data</t>
  </si>
  <si>
    <t>or "irregular" (by particular ages) or both.</t>
  </si>
  <si>
    <t xml:space="preserve">This is the non-editable cash-flow account where all yearly income and withdrawals are added and all expenses and Federal </t>
  </si>
  <si>
    <t>worksheets as well as from tables compute in this worksheet. Each table in this worksheet is followed by plots of data from those</t>
  </si>
  <si>
    <t>tables to help visualize the results.</t>
  </si>
  <si>
    <r>
      <t>The IRS requires that people with deductable accounts (see Worksheet</t>
    </r>
    <r>
      <rPr>
        <b/>
        <sz val="11"/>
        <color theme="1"/>
        <rFont val="Calibri"/>
        <family val="2"/>
        <scheme val="minor"/>
      </rPr>
      <t xml:space="preserve"> 7. IRAdata</t>
    </r>
    <r>
      <rPr>
        <sz val="11"/>
        <color theme="1"/>
        <rFont val="Calibri"/>
        <family val="2"/>
        <scheme val="minor"/>
      </rPr>
      <t xml:space="preserve">) start taking minimum </t>
    </r>
  </si>
  <si>
    <t>distributions at age 70 1/2. Those with inherited-IRAs have other minimum distributions and age rules.</t>
  </si>
  <si>
    <r>
      <t>These tables are used by the</t>
    </r>
    <r>
      <rPr>
        <b/>
        <sz val="11"/>
        <color theme="1"/>
        <rFont val="Calibri"/>
        <family val="2"/>
        <scheme val="minor"/>
      </rPr>
      <t xml:space="preserve"> 7. IRAdata </t>
    </r>
    <r>
      <rPr>
        <sz val="11"/>
        <color theme="1"/>
        <rFont val="Calibri"/>
        <family val="2"/>
        <scheme val="minor"/>
      </rPr>
      <t>and</t>
    </r>
    <r>
      <rPr>
        <b/>
        <sz val="11"/>
        <color theme="1"/>
        <rFont val="Calibri"/>
        <family val="2"/>
        <scheme val="minor"/>
      </rPr>
      <t xml:space="preserve"> 8. RothData </t>
    </r>
    <r>
      <rPr>
        <sz val="11"/>
        <color theme="1"/>
        <rFont val="Calibri"/>
        <family val="2"/>
        <scheme val="minor"/>
      </rPr>
      <t>worksheets.</t>
    </r>
  </si>
  <si>
    <t>This optional worksheet contains some extra calculators that may be useful for doing other types of calculations</t>
  </si>
  <si>
    <r>
      <t xml:space="preserve">and are not tied into the rest of the SIPT spreadsheet. Enter your data in the </t>
    </r>
    <r>
      <rPr>
        <b/>
        <sz val="12"/>
        <color rgb="FFFF0000"/>
        <rFont val="Calibri"/>
        <family val="2"/>
      </rPr>
      <t>red</t>
    </r>
    <r>
      <rPr>
        <sz val="12"/>
        <color indexed="8"/>
        <rFont val="Calibri"/>
        <family val="2"/>
      </rPr>
      <t xml:space="preserve"> cells below (overwrite the </t>
    </r>
  </si>
  <si>
    <t>demonstration data values).</t>
  </si>
  <si>
    <t>Calculate a financial Glide-Path from yearly Cash-flows, Income Streams, Expenses, Investment Accounts and Taxes</t>
  </si>
  <si>
    <t>work shorter or longer -  how will that affect my cash flows? How much do I need to save?  Remember that this is a static model</t>
  </si>
  <si>
    <t xml:space="preserve">and will only be a crude approximation. There are many other more sophisticated models using monte-carlo and random </t>
  </si>
  <si>
    <t xml:space="preserve"> spending. The latter is where the SIPT may be useful.</t>
  </si>
  <si>
    <t>may track differently from the consumer price index.</t>
  </si>
  <si>
    <r>
      <t xml:space="preserve">This is similar to question </t>
    </r>
    <r>
      <rPr>
        <b/>
        <sz val="11"/>
        <color theme="1"/>
        <rFont val="Calibri"/>
        <family val="2"/>
        <scheme val="minor"/>
      </rPr>
      <t>Q.1</t>
    </r>
    <r>
      <rPr>
        <sz val="11"/>
        <color theme="1"/>
        <rFont val="Calibri"/>
        <family val="2"/>
        <scheme val="minor"/>
      </rPr>
      <t xml:space="preserve"> but the future dates for the starts of the expenses may be nearer or further out and the expenses</t>
    </r>
  </si>
  <si>
    <t>You can experiment with seeing how changing  irregular expenses affects your retirement income. This can be useful for example</t>
  </si>
  <si>
    <t xml:space="preserve">for the duration of the period used in the model. It can be useful to get a ball-park estimate.  However, using a more aggressive </t>
  </si>
  <si>
    <t xml:space="preserve">portfolio (more stocks, riskier stocks, etc.)  might give you a higher return. In the long-run, for example, more small-cap stocks </t>
  </si>
  <si>
    <t xml:space="preserve">spreadsheet model does not take varying returns or sequence of returns into account that can greatly affect the results if </t>
  </si>
  <si>
    <t>withdrawals are taken from that account over time.</t>
  </si>
  <si>
    <r>
      <t xml:space="preserve">If there is no individual S2, then just </t>
    </r>
    <r>
      <rPr>
        <u/>
        <sz val="11"/>
        <color theme="1"/>
        <rFont val="Calibri"/>
        <family val="2"/>
        <scheme val="minor"/>
      </rPr>
      <t>enter zeros</t>
    </r>
    <r>
      <rPr>
        <sz val="11"/>
        <color theme="1"/>
        <rFont val="Calibri"/>
        <family val="2"/>
        <scheme val="minor"/>
      </rPr>
      <t xml:space="preserve"> for all income, contributions, withdrawals, and expenses for S2 entries. </t>
    </r>
  </si>
  <si>
    <t>The computations use fixed estimates you specify for various parameters including a fixed CPI, fixed COLAs, fixed stock and</t>
  </si>
  <si>
    <r>
      <t xml:space="preserve">However, we know they </t>
    </r>
    <r>
      <rPr>
        <i/>
        <u/>
        <sz val="11"/>
        <color theme="1"/>
        <rFont val="Calibri"/>
        <family val="2"/>
        <scheme val="minor"/>
      </rPr>
      <t>will</t>
    </r>
    <r>
      <rPr>
        <sz val="11"/>
        <color theme="1"/>
        <rFont val="Calibri"/>
        <family val="2"/>
        <scheme val="minor"/>
      </rPr>
      <t xml:space="preserve"> vary and both of these factors can greatly affect future results. Better methods such as monte-carlo </t>
    </r>
  </si>
  <si>
    <t xml:space="preserve">the RMD values. Because it implements the Federal tax brackets, if the IRS changes the number of tax brackets, then the </t>
  </si>
  <si>
    <t>spreadsheet needs to have changes made as well.</t>
  </si>
  <si>
    <r>
      <t xml:space="preserve">Clarified Summary and rest of </t>
    </r>
    <r>
      <rPr>
        <b/>
        <sz val="11"/>
        <color indexed="8"/>
        <rFont val="Calibri"/>
        <family val="2"/>
      </rPr>
      <t>Introduction</t>
    </r>
    <r>
      <rPr>
        <sz val="11"/>
        <color indexed="8"/>
        <rFont val="Calibri"/>
        <family val="2"/>
      </rPr>
      <t xml:space="preserve"> worksheet. Removed the noIrregularDemo version of the SIPT </t>
    </r>
  </si>
  <si>
    <t>as the Demo and  noData versions are adequate.</t>
  </si>
  <si>
    <r>
      <rPr>
        <sz val="11"/>
        <color theme="1"/>
        <rFont val="Calibri"/>
        <family val="2"/>
        <scheme val="minor"/>
      </rPr>
      <t>section</t>
    </r>
    <r>
      <rPr>
        <b/>
        <sz val="11"/>
        <color theme="1"/>
        <rFont val="Calibri"/>
        <family val="2"/>
        <scheme val="minor"/>
      </rPr>
      <t xml:space="preserve"> RS.8 Retirement glide-path resources and calculators</t>
    </r>
    <r>
      <rPr>
        <sz val="11"/>
        <color theme="1"/>
        <rFont val="Calibri"/>
        <family val="2"/>
        <scheme val="minor"/>
      </rPr>
      <t>.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The Simplified Income-Stream Planning Tool (SIPT) described</t>
    </r>
  </si>
  <si>
    <r>
      <t xml:space="preserve">in the </t>
    </r>
    <r>
      <rPr>
        <b/>
        <sz val="11"/>
        <color theme="1"/>
        <rFont val="Calibri"/>
        <family val="2"/>
        <scheme val="minor"/>
      </rPr>
      <t>Introduction</t>
    </r>
    <r>
      <rPr>
        <sz val="11"/>
        <color theme="1"/>
        <rFont val="Calibri"/>
        <family val="2"/>
        <scheme val="minor"/>
      </rPr>
      <t xml:space="preserve"> provides a more accurate and flexible model for your particular situation. Three new short books </t>
    </r>
    <r>
      <rPr>
        <i/>
        <sz val="11"/>
        <color theme="1"/>
        <rFont val="Calibri"/>
        <family val="2"/>
        <scheme val="minor"/>
      </rPr>
      <t>How to</t>
    </r>
  </si>
  <si>
    <r>
      <rPr>
        <i/>
        <sz val="11"/>
        <color theme="1"/>
        <rFont val="Calibri"/>
        <family val="2"/>
        <scheme val="minor"/>
      </rPr>
      <t>Clements (2016)</t>
    </r>
    <r>
      <rPr>
        <sz val="11"/>
        <color theme="1"/>
        <rFont val="Calibri"/>
        <family val="2"/>
        <scheme val="minor"/>
      </rPr>
      <t xml:space="preserve"> discuses this problem in simple terms so you can see how retirement savings and social security </t>
    </r>
  </si>
  <si>
    <t>work together.</t>
  </si>
  <si>
    <t>SimpleCalc. Elementary Retirement Glide-Path Calculator - Not used in the rest of spreadsheet)</t>
  </si>
  <si>
    <t>Last: The Indispensable Retirement Guide by Jane Bryant Quinn (2016), Jonathan Clements Money Guide 2016 by Jonathan</t>
  </si>
  <si>
    <t>Book: Jonathan Clements Money Guide 2016 by Jonathan Clements</t>
  </si>
  <si>
    <t>https://www.amazon.com/Jonathan-Clements-Money-Guide-2016/dp/1515272265</t>
  </si>
  <si>
    <t>your income and expenses in the different accounts that may be more or less than the default CPI.</t>
  </si>
  <si>
    <t>your savings and expenses needed during retirement. Instead of using the default CPI you set, you can specify different CPIs in</t>
  </si>
  <si>
    <t>This is followed by the release date indicated by:</t>
  </si>
  <si>
    <r>
      <t xml:space="preserve">   entries are set to either </t>
    </r>
    <r>
      <rPr>
        <sz val="11"/>
        <color rgb="FFFF0000"/>
        <rFont val="Calibri"/>
        <family val="2"/>
        <scheme val="minor"/>
      </rPr>
      <t>$0</t>
    </r>
    <r>
      <rPr>
        <sz val="11"/>
        <color theme="1"/>
        <rFont val="Calibri"/>
        <family val="2"/>
        <scheme val="minor"/>
      </rPr>
      <t xml:space="preserve"> or </t>
    </r>
    <r>
      <rPr>
        <sz val="11"/>
        <color rgb="FFFF0000"/>
        <rFont val="Calibri"/>
        <family val="2"/>
        <scheme val="minor"/>
      </rPr>
      <t xml:space="preserve">0.0% </t>
    </r>
    <r>
      <rPr>
        <sz val="11"/>
        <color theme="1"/>
        <rFont val="Calibri"/>
        <family val="2"/>
        <scheme val="minor"/>
      </rPr>
      <t>in all data-entry worksheets. All worksheets are unselected in worksheet</t>
    </r>
    <r>
      <rPr>
        <b/>
        <sz val="11"/>
        <color theme="1"/>
        <rFont val="Calibri"/>
        <family val="2"/>
        <scheme val="minor"/>
      </rPr>
      <t xml:space="preserve"> S. Setup</t>
    </r>
    <r>
      <rPr>
        <sz val="11"/>
        <color theme="1"/>
        <rFont val="Calibri"/>
        <family val="2"/>
        <scheme val="minor"/>
      </rPr>
      <t>.</t>
    </r>
  </si>
  <si>
    <t>those questions more accurately - both for near term pre- and post-retirement. There are many rudimentary</t>
  </si>
  <si>
    <t>sequence of returns that can give more accurate estimates. However, they all require you to have a good handle on your future</t>
  </si>
  <si>
    <t xml:space="preserve">might earn a bit more return than large-cap stocks, etc. So you can see the effect of this over the long term. Note, that this </t>
  </si>
  <si>
    <t>Last revision:</t>
  </si>
  <si>
    <r>
      <t>way to enter multiple sets of your data - each with different values. For example, see</t>
    </r>
    <r>
      <rPr>
        <b/>
        <sz val="11"/>
        <color theme="1"/>
        <rFont val="Calibri"/>
        <family val="2"/>
        <scheme val="minor"/>
      </rPr>
      <t xml:space="preserve"> 3. WorkData </t>
    </r>
    <r>
      <rPr>
        <sz val="11"/>
        <color theme="1"/>
        <rFont val="Calibri"/>
        <family val="2"/>
        <scheme val="minor"/>
      </rPr>
      <t xml:space="preserve">section </t>
    </r>
    <r>
      <rPr>
        <b/>
        <sz val="11"/>
        <color theme="1"/>
        <rFont val="Calibri"/>
        <family val="2"/>
        <scheme val="minor"/>
      </rPr>
      <t>3.1</t>
    </r>
  </si>
  <si>
    <r>
      <rPr>
        <b/>
        <sz val="11"/>
        <color theme="1"/>
        <rFont val="Calibri"/>
        <family val="2"/>
        <scheme val="minor"/>
      </rPr>
      <t xml:space="preserve">1. AgeData </t>
    </r>
    <r>
      <rPr>
        <sz val="11"/>
        <color theme="1"/>
        <rFont val="Calibri"/>
        <family val="2"/>
        <scheme val="minor"/>
      </rPr>
      <t xml:space="preserve">multiple insurance policies, and specifying different types of IRAs and Roths in </t>
    </r>
    <r>
      <rPr>
        <b/>
        <sz val="11"/>
        <color theme="1"/>
        <rFont val="Calibri"/>
        <family val="2"/>
        <scheme val="minor"/>
      </rPr>
      <t>7. IRAdata</t>
    </r>
    <r>
      <rPr>
        <sz val="11"/>
        <color theme="1"/>
        <rFont val="Calibri"/>
        <family val="2"/>
        <scheme val="minor"/>
      </rPr>
      <t xml:space="preserve"> </t>
    </r>
  </si>
  <si>
    <r>
      <t>and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8. RothData</t>
    </r>
    <r>
      <rPr>
        <sz val="11"/>
        <color theme="1"/>
        <rFont val="Calibri"/>
        <family val="2"/>
        <scheme val="minor"/>
      </rPr>
      <t xml:space="preserve">. You enter data only in the red cells. Put </t>
    </r>
    <r>
      <rPr>
        <b/>
        <sz val="11"/>
        <color rgb="FFFF0000"/>
        <rFont val="Calibri"/>
        <family val="2"/>
        <scheme val="minor"/>
      </rPr>
      <t>$0</t>
    </r>
    <r>
      <rPr>
        <sz val="11"/>
        <color theme="1"/>
        <rFont val="Calibri"/>
        <family val="2"/>
        <scheme val="minor"/>
      </rPr>
      <t xml:space="preserve"> or </t>
    </r>
    <r>
      <rPr>
        <b/>
        <sz val="11"/>
        <color rgb="FFFF0000"/>
        <rFont val="Calibri"/>
        <family val="2"/>
        <scheme val="minor"/>
      </rPr>
      <t>0%</t>
    </r>
    <r>
      <rPr>
        <sz val="11"/>
        <color theme="1"/>
        <rFont val="Calibri"/>
        <family val="2"/>
        <scheme val="minor"/>
      </rPr>
      <t>, etc. in cells that don't apply to you.</t>
    </r>
  </si>
  <si>
    <t>6. How do I add Back and Forward buttons to my Excel program?</t>
  </si>
  <si>
    <t>7. How do I enter my Social Security monthly income if I am already taking Social Security?</t>
  </si>
  <si>
    <t>8. How do I look at a summary of all of the data I have entered?</t>
  </si>
  <si>
    <t>9. Where do I see a summary of all of results?</t>
  </si>
  <si>
    <t>10. How do I remove the demo data irregular contributions/withdrawals?</t>
  </si>
  <si>
    <t>11. How do I copy data from an older version of the SIPT to a new version?</t>
  </si>
  <si>
    <t>bring up the worksheet for that hyperlink. There are also hyperlinks that will bring up a browser and web page.</t>
  </si>
  <si>
    <t>You will notice the blue underlined words through all of the worksheets. These are hyperlinks. If you click on them, they will</t>
  </si>
  <si>
    <r>
      <t xml:space="preserve">To make navigation easier between worksheets, you might want to add the </t>
    </r>
    <r>
      <rPr>
        <b/>
        <sz val="11"/>
        <color indexed="8"/>
        <rFont val="Calibri"/>
        <family val="2"/>
      </rPr>
      <t>Back</t>
    </r>
    <r>
      <rPr>
        <sz val="11"/>
        <color indexed="8"/>
        <rFont val="Calibri"/>
        <family val="2"/>
      </rPr>
      <t xml:space="preserve"> and </t>
    </r>
    <r>
      <rPr>
        <b/>
        <sz val="11"/>
        <color indexed="8"/>
        <rFont val="Calibri"/>
        <family val="2"/>
      </rPr>
      <t>Forward</t>
    </r>
    <r>
      <rPr>
        <sz val="11"/>
        <color indexed="8"/>
        <rFont val="Calibri"/>
        <family val="2"/>
      </rPr>
      <t xml:space="preserve"> buttons to the </t>
    </r>
    <r>
      <rPr>
        <b/>
        <sz val="11"/>
        <color indexed="8"/>
        <rFont val="Calibri"/>
        <family val="2"/>
      </rPr>
      <t>Quick Access</t>
    </r>
  </si>
  <si>
    <r>
      <rPr>
        <b/>
        <sz val="11"/>
        <color indexed="8"/>
        <rFont val="Calibri"/>
        <family val="2"/>
      </rPr>
      <t>Toolbar</t>
    </r>
    <r>
      <rPr>
        <sz val="11"/>
        <color indexed="8"/>
        <rFont val="Calibri"/>
        <family val="2"/>
      </rPr>
      <t xml:space="preserve"> in Excel. These buttons function the same way they do in your web browser to go back and forth between 2 different</t>
    </r>
  </si>
  <si>
    <t>Button)</t>
  </si>
  <si>
    <t>web pages. In Windows 2007 the Quick Access Toolbar looks like the following (in 2010 it does not have the Microsoft Office</t>
  </si>
  <si>
    <r>
      <t xml:space="preserve">  1. Right click on the </t>
    </r>
    <r>
      <rPr>
        <b/>
        <sz val="11"/>
        <color indexed="8"/>
        <rFont val="Calibri"/>
        <family val="2"/>
      </rPr>
      <t>Home</t>
    </r>
    <r>
      <rPr>
        <sz val="11"/>
        <color indexed="8"/>
        <rFont val="Calibri"/>
        <family val="2"/>
      </rPr>
      <t xml:space="preserve"> button, then select  the </t>
    </r>
    <r>
      <rPr>
        <b/>
        <sz val="11"/>
        <color indexed="8"/>
        <rFont val="Calibri"/>
        <family val="2"/>
      </rPr>
      <t>Customize Quick Access Toolbar</t>
    </r>
    <r>
      <rPr>
        <sz val="11"/>
        <color indexed="8"/>
        <rFont val="Calibri"/>
        <family val="2"/>
      </rPr>
      <t xml:space="preserve"> menu entry:</t>
    </r>
  </si>
  <si>
    <r>
      <t xml:space="preserve">  2. Then select </t>
    </r>
    <r>
      <rPr>
        <b/>
        <sz val="11"/>
        <color indexed="8"/>
        <rFont val="Calibri"/>
        <family val="2"/>
      </rPr>
      <t xml:space="preserve">All Commands </t>
    </r>
    <r>
      <rPr>
        <sz val="11"/>
        <color indexed="8"/>
        <rFont val="Calibri"/>
        <family val="2"/>
      </rPr>
      <t>in the upper left option</t>
    </r>
    <r>
      <rPr>
        <b/>
        <sz val="11"/>
        <color indexed="8"/>
        <rFont val="Calibri"/>
        <family val="2"/>
      </rPr>
      <t xml:space="preserve"> Choose commands from:</t>
    </r>
  </si>
  <si>
    <r>
      <t xml:space="preserve">  3. Then scroll down the list of commands until you see the </t>
    </r>
    <r>
      <rPr>
        <b/>
        <sz val="11"/>
        <color indexed="8"/>
        <rFont val="Calibri"/>
        <family val="2"/>
      </rPr>
      <t>Back</t>
    </r>
    <r>
      <rPr>
        <sz val="11"/>
        <color indexed="8"/>
        <rFont val="Calibri"/>
        <family val="2"/>
      </rPr>
      <t xml:space="preserve"> command, then click </t>
    </r>
    <r>
      <rPr>
        <b/>
        <sz val="11"/>
        <color indexed="8"/>
        <rFont val="Calibri"/>
        <family val="2"/>
      </rPr>
      <t>Add &gt;&gt;</t>
    </r>
    <r>
      <rPr>
        <sz val="11"/>
        <color indexed="8"/>
        <rFont val="Calibri"/>
        <family val="2"/>
      </rPr>
      <t xml:space="preserve">, and so the same for the </t>
    </r>
    <r>
      <rPr>
        <b/>
        <sz val="11"/>
        <color indexed="8"/>
        <rFont val="Calibri"/>
        <family val="2"/>
      </rPr>
      <t>Forward</t>
    </r>
    <r>
      <rPr>
        <sz val="11"/>
        <color indexed="8"/>
        <rFont val="Calibri"/>
        <family val="2"/>
      </rPr>
      <t xml:space="preserve"> </t>
    </r>
  </si>
  <si>
    <r>
      <t xml:space="preserve"> 4. Then you will notice the </t>
    </r>
    <r>
      <rPr>
        <u/>
        <sz val="11"/>
        <color indexed="8"/>
        <rFont val="Calibri"/>
        <family val="2"/>
      </rPr>
      <t>left and right arrow buttons</t>
    </r>
    <r>
      <rPr>
        <sz val="11"/>
        <color theme="1"/>
        <rFont val="Calibri"/>
        <family val="2"/>
        <scheme val="minor"/>
      </rPr>
      <t xml:space="preserve"> in the Quick Access Toolbar corresponding to </t>
    </r>
    <r>
      <rPr>
        <b/>
        <sz val="11"/>
        <color indexed="8"/>
        <rFont val="Calibri"/>
        <family val="2"/>
      </rPr>
      <t>Back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indexed="8"/>
        <rFont val="Calibri"/>
        <family val="2"/>
      </rPr>
      <t>Forward</t>
    </r>
  </si>
  <si>
    <t xml:space="preserve">        hypertext commands.</t>
  </si>
  <si>
    <r>
      <t xml:space="preserve">       command. Then click </t>
    </r>
    <r>
      <rPr>
        <b/>
        <sz val="11"/>
        <color indexed="8"/>
        <rFont val="Calibri"/>
        <family val="2"/>
      </rPr>
      <t>OK.</t>
    </r>
  </si>
  <si>
    <t>V.0.24.17</t>
  </si>
  <si>
    <r>
      <t xml:space="preserve">that apply to your personal situation in section </t>
    </r>
    <r>
      <rPr>
        <b/>
        <sz val="11"/>
        <color indexed="8"/>
        <rFont val="Calibri"/>
        <family val="2"/>
      </rPr>
      <t>S.1</t>
    </r>
    <r>
      <rPr>
        <sz val="11"/>
        <color indexed="8"/>
        <rFont val="Calibri"/>
        <family val="2"/>
      </rPr>
      <t xml:space="preserve"> and either select "used" or "ignored" for each of the worksheet options.</t>
    </r>
  </si>
  <si>
    <t xml:space="preserve">The worksheets are color coded by function. We list the main purpose of the following worksheets. See each worksheet </t>
  </si>
  <si>
    <t>for more details.</t>
  </si>
  <si>
    <r>
      <t xml:space="preserve">     </t>
    </r>
    <r>
      <rPr>
        <b/>
        <sz val="11"/>
        <color indexed="8"/>
        <rFont val="Calibri"/>
        <family val="2"/>
      </rPr>
      <t xml:space="preserve">Appendices A, B, C, D </t>
    </r>
    <r>
      <rPr>
        <sz val="11"/>
        <color indexed="8"/>
        <rFont val="Calibri"/>
        <family val="2"/>
      </rPr>
      <t>worksheets are</t>
    </r>
  </si>
  <si>
    <r>
      <t>Most of the</t>
    </r>
    <r>
      <rPr>
        <b/>
        <sz val="11"/>
        <color indexed="8"/>
        <rFont val="Calibri"/>
        <family val="2"/>
      </rPr>
      <t xml:space="preserve"> S.2 </t>
    </r>
    <r>
      <rPr>
        <sz val="11"/>
        <color indexed="8"/>
        <rFont val="Calibri"/>
        <family val="2"/>
      </rPr>
      <t xml:space="preserve">and  in </t>
    </r>
    <r>
      <rPr>
        <b/>
        <sz val="11"/>
        <color indexed="8"/>
        <rFont val="Calibri"/>
        <family val="2"/>
      </rPr>
      <t xml:space="preserve"> S.3 </t>
    </r>
    <r>
      <rPr>
        <sz val="11"/>
        <color indexed="8"/>
        <rFont val="Calibri"/>
        <family val="2"/>
      </rPr>
      <t>require a "</t>
    </r>
    <r>
      <rPr>
        <b/>
        <sz val="11"/>
        <color rgb="FFFF0000"/>
        <rFont val="Calibri"/>
        <family val="2"/>
      </rPr>
      <t>yes</t>
    </r>
    <r>
      <rPr>
        <sz val="11"/>
        <color indexed="8"/>
        <rFont val="Calibri"/>
        <family val="2"/>
      </rPr>
      <t>" or "</t>
    </r>
    <r>
      <rPr>
        <b/>
        <sz val="11"/>
        <color rgb="FFFF0000"/>
        <rFont val="Calibri"/>
        <family val="2"/>
      </rPr>
      <t>no</t>
    </r>
    <r>
      <rPr>
        <sz val="11"/>
        <color indexed="8"/>
        <rFont val="Calibri"/>
        <family val="2"/>
      </rPr>
      <t xml:space="preserve">" answer with one question using having a </t>
    </r>
    <r>
      <rPr>
        <b/>
        <sz val="11"/>
        <color rgb="FFFF0000"/>
        <rFont val="Calibri"/>
        <family val="2"/>
      </rPr>
      <t>"keep"</t>
    </r>
    <r>
      <rPr>
        <sz val="11"/>
        <color indexed="8"/>
        <rFont val="Calibri"/>
        <family val="2"/>
      </rPr>
      <t xml:space="preserve"> or </t>
    </r>
    <r>
      <rPr>
        <b/>
        <sz val="11"/>
        <color rgb="FFFF0000"/>
        <rFont val="Calibri"/>
        <family val="2"/>
      </rPr>
      <t>"remove"</t>
    </r>
    <r>
      <rPr>
        <sz val="11"/>
        <color indexed="8"/>
        <rFont val="Calibri"/>
        <family val="2"/>
      </rPr>
      <t xml:space="preserve"> question.</t>
    </r>
  </si>
  <si>
    <t>(i.e., ages, amounts, rates of return (ROR), COLAs, etc.). There is a detailed list of all these worksheets tables and sections in</t>
  </si>
  <si>
    <t>Appendix A.</t>
  </si>
  <si>
    <t xml:space="preserve">expenses, etc.). </t>
  </si>
  <si>
    <r>
      <t xml:space="preserve">retirement calculators available on-line (see </t>
    </r>
    <r>
      <rPr>
        <b/>
        <sz val="11"/>
        <color theme="1"/>
        <rFont val="Calibri"/>
        <family val="2"/>
        <scheme val="minor"/>
      </rPr>
      <t>RS. Resources</t>
    </r>
    <r>
      <rPr>
        <sz val="11"/>
        <color theme="1"/>
        <rFont val="Calibri"/>
        <family val="2"/>
        <scheme val="minor"/>
      </rPr>
      <t xml:space="preserve"> section </t>
    </r>
    <r>
      <rPr>
        <b/>
        <sz val="11"/>
        <color theme="1"/>
        <rFont val="Calibri"/>
        <family val="2"/>
        <scheme val="minor"/>
      </rPr>
      <t xml:space="preserve">RS.8 </t>
    </r>
    <r>
      <rPr>
        <sz val="11"/>
        <color theme="1"/>
        <rFont val="Calibri"/>
        <family val="2"/>
        <scheme val="minor"/>
      </rPr>
      <t>for a list). To illustrate the flavor of these</t>
    </r>
  </si>
  <si>
    <t>.</t>
  </si>
  <si>
    <t xml:space="preserve">types of glide-path calculations, we provide an additional very simple one in the worksheet </t>
  </si>
  <si>
    <t>It can be used by either a single person (S1) or a couple (S1 and S2)</t>
  </si>
  <si>
    <t>Then enter your data into the relevant 3. WorkData through 10. ExpensesData worksheets</t>
  </si>
  <si>
    <t xml:space="preserve">          IRA(y+1) = [IRA(y) + IRAcontribution(y) - IRAwithdrawal(y)] *  (1+IRAreturn) </t>
  </si>
  <si>
    <r>
      <t xml:space="preserve">cash-flow in the </t>
    </r>
    <r>
      <rPr>
        <b/>
        <sz val="11"/>
        <color theme="1"/>
        <rFont val="Calibri"/>
        <family val="2"/>
        <scheme val="minor"/>
      </rPr>
      <t>11. CashData</t>
    </r>
    <r>
      <rPr>
        <sz val="11"/>
        <color theme="1"/>
        <rFont val="Calibri"/>
        <family val="2"/>
        <scheme val="minor"/>
      </rPr>
      <t xml:space="preserve"> worksheet. Both scheduled and irregular Expenses (</t>
    </r>
    <r>
      <rPr>
        <b/>
        <sz val="11"/>
        <color theme="1"/>
        <rFont val="Calibri"/>
        <family val="2"/>
        <scheme val="minor"/>
      </rPr>
      <t xml:space="preserve">10. ExpensesData </t>
    </r>
    <r>
      <rPr>
        <sz val="11"/>
        <color theme="1"/>
        <rFont val="Calibri"/>
        <family val="2"/>
        <scheme val="minor"/>
      </rPr>
      <t xml:space="preserve">worksheet) and Federal and </t>
    </r>
  </si>
  <si>
    <t xml:space="preserve">         ROTH(y+1) = [ROTH(y) + ROTHcontribution(y) - ROTHwithdrawal(y)] *  (1+ROTHreturn) </t>
  </si>
  <si>
    <t xml:space="preserve">Then, the cash balance is added (subtracted if negative) to the savings account for the next year, </t>
  </si>
  <si>
    <t>SIPT-User-V.0.19.2-11-8-2015a.xlsx</t>
  </si>
  <si>
    <t>entry fields set to blank (or $0 or 0%) as appropriate.</t>
  </si>
  <si>
    <r>
      <rPr>
        <b/>
        <sz val="11"/>
        <color theme="1"/>
        <rFont val="Calibri"/>
        <family val="2"/>
        <scheme val="minor"/>
      </rPr>
      <t>b)</t>
    </r>
    <r>
      <rPr>
        <sz val="11"/>
        <color theme="1"/>
        <rFont val="Calibri"/>
        <family val="2"/>
        <scheme val="minor"/>
      </rPr>
      <t xml:space="preserve"> The </t>
    </r>
    <r>
      <rPr>
        <b/>
        <sz val="11"/>
        <color theme="1"/>
        <rFont val="Calibri"/>
        <family val="2"/>
        <scheme val="minor"/>
      </rPr>
      <t>User</t>
    </r>
    <r>
      <rPr>
        <sz val="11"/>
        <color theme="1"/>
        <rFont val="Calibri"/>
        <family val="2"/>
        <scheme val="minor"/>
      </rPr>
      <t xml:space="preserve"> version of the spreadsheet has no demonstration data and is ready for you to enter your own data. All data</t>
    </r>
  </si>
  <si>
    <r>
      <rPr>
        <b/>
        <sz val="11"/>
        <color theme="1"/>
        <rFont val="Calibri"/>
        <family val="2"/>
        <scheme val="minor"/>
      </rPr>
      <t>a)</t>
    </r>
    <r>
      <rPr>
        <sz val="11"/>
        <color theme="1"/>
        <rFont val="Calibri"/>
        <family val="2"/>
        <scheme val="minor"/>
      </rPr>
      <t xml:space="preserve"> The </t>
    </r>
    <r>
      <rPr>
        <b/>
        <sz val="11"/>
        <color theme="1"/>
        <rFont val="Calibri"/>
        <family val="2"/>
        <scheme val="minor"/>
      </rPr>
      <t>Demo</t>
    </r>
    <r>
      <rPr>
        <sz val="11"/>
        <color theme="1"/>
        <rFont val="Calibri"/>
        <family val="2"/>
        <scheme val="minor"/>
      </rPr>
      <t xml:space="preserve"> version is the spreadsheet with full demonstration data. It is useful for viewing examples of date you might enter</t>
    </r>
  </si>
  <si>
    <t xml:space="preserve">   in all worksheets. In most people's situations, you might only use a few of these types of income sources for your data.</t>
  </si>
  <si>
    <t>2.1 Disclaimer</t>
  </si>
  <si>
    <t>1.4 Brief list of the worksheets</t>
  </si>
  <si>
    <t xml:space="preserve">    1.4 Brief list of the worksheets</t>
  </si>
  <si>
    <t>1.5 How the yearly income stream cash-flow and net worth are calculated</t>
  </si>
  <si>
    <t xml:space="preserve">    1.5 How the yearly income stream cash-flow and net worth are calculated</t>
  </si>
  <si>
    <t>2. The two versions of the SIPT spreadsheets you can download: "Demo" or "User"</t>
  </si>
  <si>
    <t xml:space="preserve">     2.1 Disclaimer</t>
  </si>
  <si>
    <r>
      <t xml:space="preserve">Note (5) You can take scheduled and/or irregular yearly expenses from the </t>
    </r>
    <r>
      <rPr>
        <b/>
        <sz val="11"/>
        <color indexed="8"/>
        <rFont val="Calibri"/>
        <family val="2"/>
      </rPr>
      <t>10. ExpensesData</t>
    </r>
    <r>
      <rPr>
        <sz val="11"/>
        <color indexed="8"/>
        <rFont val="Calibri"/>
        <family val="2"/>
      </rPr>
      <t xml:space="preserve"> worksheet. Scheduled expens are</t>
    </r>
  </si>
  <si>
    <t xml:space="preserve"> fixed except for a COLA you can specify.</t>
  </si>
  <si>
    <r>
      <t xml:space="preserve">Note (8) Each year the spreadsheet must have the tax tables updated in </t>
    </r>
    <r>
      <rPr>
        <b/>
        <sz val="11"/>
        <color indexed="8"/>
        <rFont val="Calibri"/>
        <family val="2"/>
      </rPr>
      <t xml:space="preserve">2. TaxData </t>
    </r>
    <r>
      <rPr>
        <sz val="11"/>
        <color indexed="8"/>
        <rFont val="Calibri"/>
        <family val="2"/>
      </rPr>
      <t xml:space="preserve">worksheet and in </t>
    </r>
    <r>
      <rPr>
        <b/>
        <sz val="11"/>
        <color indexed="8"/>
        <rFont val="Calibri"/>
        <family val="2"/>
      </rPr>
      <t>12. RMDdata</t>
    </r>
    <r>
      <rPr>
        <sz val="11"/>
        <color indexed="8"/>
        <rFont val="Calibri"/>
        <family val="2"/>
      </rPr>
      <t xml:space="preserve"> if </t>
    </r>
  </si>
  <si>
    <t>5.  Notes on the current version of the spreadsheet - what it does and does not handle</t>
  </si>
  <si>
    <t>is a detailed list of all worksheet tables and sections. As mentioned, it consists of those worksheets into</t>
  </si>
  <si>
    <r>
      <t>GRAY</t>
    </r>
    <r>
      <rPr>
        <b/>
        <sz val="12"/>
        <color indexed="8"/>
        <rFont val="Calibri"/>
        <family val="2"/>
      </rPr>
      <t xml:space="preserve"> areas of the other worksheets indicate where the analysis has not been implemented yet</t>
    </r>
  </si>
  <si>
    <t>and should be ignored.</t>
  </si>
  <si>
    <t>Then, enter data in other worksheets</t>
  </si>
  <si>
    <t>Finally, view your results in the "R. Results" worksheet</t>
  </si>
  <si>
    <r>
      <t>over time. The software uses only Excel formulas and</t>
    </r>
    <r>
      <rPr>
        <b/>
        <i/>
        <sz val="11"/>
        <color theme="1"/>
        <rFont val="Calibri"/>
        <family val="2"/>
        <scheme val="minor"/>
      </rPr>
      <t xml:space="preserve"> does not use Visual Basic (VBA)</t>
    </r>
    <r>
      <rPr>
        <b/>
        <sz val="11"/>
        <color theme="1"/>
        <rFont val="Calibri"/>
        <family val="2"/>
        <scheme val="minor"/>
      </rPr>
      <t>, so one can easily review</t>
    </r>
  </si>
  <si>
    <t>worksheets, If you enter an age less then your current age it will give you an error message to that effect. The age must be</t>
  </si>
  <si>
    <r>
      <t xml:space="preserve">least the age you enter in the </t>
    </r>
    <r>
      <rPr>
        <b/>
        <sz val="11"/>
        <color theme="1"/>
        <rFont val="Calibri"/>
        <family val="2"/>
        <scheme val="minor"/>
      </rPr>
      <t>1. AgeData</t>
    </r>
    <r>
      <rPr>
        <sz val="11"/>
        <color theme="1"/>
        <rFont val="Calibri"/>
        <family val="2"/>
        <scheme val="minor"/>
      </rPr>
      <t xml:space="preserve"> worksheet. Also, when taking scheduled Investment withdrawals and at</t>
    </r>
  </si>
  <si>
    <t>expenses, you must specify both a starting age and  ending age. (To schedule yearly events for your lifetime, enter a</t>
  </si>
  <si>
    <t>large value such as 100 or  110 for the ending age).  The spreadsheet checks to make sure your starting age is less than</t>
  </si>
  <si>
    <t xml:space="preserve">15. What types of error checking is done?  </t>
  </si>
  <si>
    <t>It does some limited error checking for running out of money and if the ages specify are within the ages entered</t>
  </si>
  <si>
    <r>
      <t xml:space="preserve">in the </t>
    </r>
    <r>
      <rPr>
        <b/>
        <sz val="11"/>
        <color theme="1"/>
        <rFont val="Calibri"/>
        <family val="2"/>
        <scheme val="minor"/>
      </rPr>
      <t>1. AgeData worksheet.</t>
    </r>
    <r>
      <rPr>
        <sz val="11"/>
        <color theme="1"/>
        <rFont val="Calibri"/>
        <family val="2"/>
        <scheme val="minor"/>
      </rPr>
      <t xml:space="preserve"> However, the error checking is far from complete. In the income source data</t>
    </r>
  </si>
  <si>
    <t>Limitations on the types of static types of calculations done in the spreadsheet</t>
  </si>
  <si>
    <t>for the list of outstanding issues (things TODO), and  full REVISION-LIST</t>
  </si>
  <si>
    <r>
      <rPr>
        <b/>
        <sz val="11"/>
        <color indexed="8"/>
        <rFont val="Calibri"/>
        <family val="2"/>
      </rPr>
      <t xml:space="preserve">Appendix D </t>
    </r>
    <r>
      <rPr>
        <sz val="11"/>
        <color indexed="8"/>
        <rFont val="Calibri"/>
        <family val="2"/>
      </rPr>
      <t xml:space="preserve">lists more information about the current status including a list of things TODO and the ongoing </t>
    </r>
  </si>
  <si>
    <t>The following notes describe the state of the current version of the SIPT spreadsheet.</t>
  </si>
  <si>
    <t xml:space="preserve">    1.1 Examples of some of the questions that can be investigated using this spreadsheet</t>
  </si>
  <si>
    <t>Note, the SimpleCalc  worksheet is used just to introduce the concept of glide-path and is not part of the rest of the</t>
  </si>
  <si>
    <t>1.1 Examples of some of the questions that can be investigated using this spreadsheet</t>
  </si>
  <si>
    <t>The spreadsheet files are distributed with the name, version number, and revision data as part of the file</t>
  </si>
  <si>
    <r>
      <t>The file names for both versions of the "</t>
    </r>
    <r>
      <rPr>
        <u/>
        <sz val="12"/>
        <color theme="1"/>
        <rFont val="Calibri"/>
        <family val="2"/>
        <scheme val="minor"/>
      </rPr>
      <t>Simplified-Income-Planning-Tool</t>
    </r>
    <r>
      <rPr>
        <sz val="12"/>
        <color theme="1"/>
        <rFont val="Calibri"/>
        <family val="2"/>
        <scheme val="minor"/>
      </rPr>
      <t>" are prefixed with "</t>
    </r>
    <r>
      <rPr>
        <b/>
        <sz val="12"/>
        <color theme="1"/>
        <rFont val="Calibri"/>
        <family val="2"/>
        <scheme val="minor"/>
      </rPr>
      <t>SIPT-</t>
    </r>
    <r>
      <rPr>
        <sz val="12"/>
        <color theme="1"/>
        <rFont val="Calibri"/>
        <family val="2"/>
        <scheme val="minor"/>
      </rPr>
      <t>".</t>
    </r>
  </si>
  <si>
    <r>
      <t xml:space="preserve">spreadsheet programs such as Windows Excel, free OpenOffice or LibreOffice "calc", free Google "sheet", etc.. </t>
    </r>
    <r>
      <rPr>
        <b/>
        <sz val="11"/>
        <color rgb="FFFF0000"/>
        <rFont val="Calibri"/>
        <family val="2"/>
        <scheme val="minor"/>
      </rPr>
      <t>Use this</t>
    </r>
  </si>
  <si>
    <t>S2 contribution rate for all investment accounts FV</t>
  </si>
  <si>
    <t>3. How do I handle withholdings from my Work Income?</t>
  </si>
  <si>
    <t>13. What types of questionsmight be investigated using this spreadsheet?</t>
  </si>
  <si>
    <t>12. How do I navigate the spreadsheet workbook using the built-in hyperlinks?</t>
  </si>
  <si>
    <t>13. What types of questions might be investigated using this spreadsheet?</t>
  </si>
  <si>
    <t>14. What does the current version of the spreadsheet handle and not handle?</t>
  </si>
  <si>
    <r>
      <rPr>
        <i/>
        <sz val="11"/>
        <color theme="1"/>
        <rFont val="Calibri"/>
        <family val="2"/>
        <scheme val="minor"/>
      </rPr>
      <t xml:space="preserve">Retire with Enough Money: And How to Know What Enough </t>
    </r>
    <r>
      <rPr>
        <sz val="11"/>
        <color theme="1"/>
        <rFont val="Calibri"/>
        <family val="2"/>
        <scheme val="minor"/>
      </rPr>
      <t xml:space="preserve">by Teresa Ghilarducci (2016)  and </t>
    </r>
    <r>
      <rPr>
        <i/>
        <sz val="11"/>
        <color theme="1"/>
        <rFont val="Calibri"/>
        <family val="2"/>
        <scheme val="minor"/>
      </rPr>
      <t>How to Make Your Money</t>
    </r>
  </si>
  <si>
    <r>
      <t xml:space="preserve">This worksheet is an optional worksheet </t>
    </r>
    <r>
      <rPr>
        <i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used by the rest of the SIPT but is used to help understand the basic concept of</t>
    </r>
  </si>
  <si>
    <t>taking contributions and withdrawals into account</t>
  </si>
  <si>
    <t>computations. For each year y,</t>
  </si>
  <si>
    <t>All worksheets are protected except for the red cells where you enter your data</t>
  </si>
  <si>
    <t>4. A detailed list of all worksheet tables and sections is in Appendix A</t>
  </si>
  <si>
    <t>5. Notes on the current version of the spreadsheet - what it does and does not handle</t>
  </si>
  <si>
    <t>http://www.aarp.org/work/retirement-planning/retirement_calculator.html</t>
  </si>
  <si>
    <t>AARP Retirement Planning Calculator</t>
  </si>
  <si>
    <t>This is a simple retirement glide-path calculator similar to the AARP</t>
  </si>
  <si>
    <r>
      <t xml:space="preserve">Major language edit for clarity including the Summary. Removed the </t>
    </r>
    <r>
      <rPr>
        <b/>
        <sz val="11"/>
        <color indexed="8"/>
        <rFont val="Calibri"/>
        <family val="2"/>
      </rPr>
      <t>Figures w</t>
    </r>
    <r>
      <rPr>
        <sz val="11"/>
        <color indexed="8"/>
        <rFont val="Calibri"/>
        <family val="2"/>
      </rPr>
      <t>orksheet. Moved some of</t>
    </r>
  </si>
  <si>
    <r>
      <t xml:space="preserve">the description in the Introduction to the </t>
    </r>
    <r>
      <rPr>
        <b/>
        <sz val="11"/>
        <color indexed="8"/>
        <rFont val="Calibri"/>
        <family val="2"/>
      </rPr>
      <t>FAQ</t>
    </r>
    <r>
      <rPr>
        <sz val="11"/>
        <color indexed="8"/>
        <rFont val="Calibri"/>
        <family val="2"/>
      </rPr>
      <t xml:space="preserve"> worksheet.</t>
    </r>
  </si>
  <si>
    <t>and expenses. The final results are shown in summary tables and glide-path  graphs for those tables. All data are entered and</t>
  </si>
  <si>
    <t>calculations are done only in this spreadsheet. No data are exported or saved from the spreadsheet (either locally or to the</t>
  </si>
  <si>
    <t>Internet). Once the data are entered, the spreadsheet estimates yearly cash-flows using income from various sources: work,</t>
  </si>
  <si>
    <t>pensions, Social Security, annuities, and life insurance benefits; contributions and withdrawals from tax-deferred 401(k), 403(b),</t>
  </si>
  <si>
    <t>for scheduled and irregular (upcoming additional) contributions and withdrawals for investment accounts (IRA, Roth, Savings)</t>
  </si>
  <si>
    <t>as well as for scheduled and irregular expenses and deductions. From this data, the spreadsheet then calculates yearly net</t>
  </si>
  <si>
    <t>worth.  The glide-paths created are useful for investigating different planning scenarios by making changes to inputs.</t>
  </si>
  <si>
    <t>The SIPT software may be run in a variety of spreadsheet programs including Windows Excel, the free OpenOffice or LibreOffice</t>
  </si>
  <si>
    <t>programs. Apple's "numbers" spreadsheet program has some incompatibilities, so use either Excel for Mac or one of the free</t>
  </si>
  <si>
    <t>spreadsheet programs.</t>
  </si>
  <si>
    <t>Why model? Although models by nature are imprecise, calculating a rough estimate of your income stream may be useful for</t>
  </si>
  <si>
    <t>financial planning. The spreadsheet represents a compromise between complexity and completeness and leans in the direction</t>
  </si>
  <si>
    <t>spreadsheet). This may be useful for you to experiment with to better understand the concept of  glide-path before using the</t>
  </si>
  <si>
    <t>full SIPT spreadsheet, which uses a more complete financial planning model.  These spreadsheets are educational tools.</t>
  </si>
  <si>
    <t>required  by the model. These include applicable investments (taxable and retirement), pension, Social Security, work,  annuity,</t>
  </si>
  <si>
    <r>
      <t xml:space="preserve">estimates of saving and spending patterns over time. You must enter </t>
    </r>
    <r>
      <rPr>
        <b/>
        <i/>
        <sz val="11"/>
        <color theme="1"/>
        <rFont val="Calibri"/>
        <family val="2"/>
        <scheme val="minor"/>
      </rPr>
      <t>summaries</t>
    </r>
    <r>
      <rPr>
        <b/>
        <sz val="11"/>
        <color theme="1"/>
        <rFont val="Calibri"/>
        <family val="2"/>
        <scheme val="minor"/>
      </rPr>
      <t xml:space="preserve"> of a range for your personal financial data as</t>
    </r>
  </si>
  <si>
    <t>glide-path modeling, a very crude glide-path calculator, "SimpleCalc", is available (both in the SIPT spreadsheet and as a separate</t>
  </si>
  <si>
    <t>might wonder if you are saving enough or spending too much on current expenses. If you are near or in retirement,</t>
  </si>
  <si>
    <t>the spreadsheet lets you estimate, using a static model, your income stream and whether it will cover your expenses.</t>
  </si>
  <si>
    <t>It does not use a dynamic model such as those using Monte-Carlo or repeated random sequences of returns methods.</t>
  </si>
  <si>
    <t>A glide-path analysis lets you look at your finances over time. How does it change with the contributions to savings</t>
  </si>
  <si>
    <r>
      <t xml:space="preserve">This </t>
    </r>
    <r>
      <rPr>
        <b/>
        <sz val="11"/>
        <color theme="1"/>
        <rFont val="Calibri"/>
        <family val="2"/>
        <scheme val="minor"/>
      </rPr>
      <t>Simplified Income-Stream Planning Tool (SIPT)</t>
    </r>
    <r>
      <rPr>
        <sz val="11"/>
        <color theme="1"/>
        <rFont val="Calibri"/>
        <family val="2"/>
        <scheme val="minor"/>
      </rPr>
      <t xml:space="preserve"> spreadsheet lets you enter detailed personal  data to help answer</t>
    </r>
  </si>
  <si>
    <t>SIPT spreadsheet. The following screenshot shows some typical data and results. In this example, the person ran out</t>
  </si>
  <si>
    <t>age 86.</t>
  </si>
  <si>
    <t>at age 86. Their lifestyle with no change in saving, retirement age or expenses in retirement was not sustainable after</t>
  </si>
  <si>
    <t>planning.</t>
  </si>
  <si>
    <t>is an Excel workbook consisting of a number of worksheets containing personal data that you enter. In Excel, the</t>
  </si>
  <si>
    <r>
      <t xml:space="preserve">Use the </t>
    </r>
    <r>
      <rPr>
        <b/>
        <sz val="11"/>
        <color theme="1"/>
        <rFont val="Calibri"/>
        <family val="2"/>
        <scheme val="minor"/>
      </rPr>
      <t>S. Setup</t>
    </r>
    <r>
      <rPr>
        <sz val="11"/>
        <color theme="1"/>
        <rFont val="Calibri"/>
        <family val="2"/>
        <scheme val="minor"/>
      </rPr>
      <t xml:space="preserve"> worksheet to specify which worksheets you will need to fill out. It works with one person S1 or two people</t>
    </r>
  </si>
  <si>
    <t>called S1 and S2.  S1 and S2 can be married or unmarried. However the latter should only use the tax filing status Separate Filing.</t>
  </si>
  <si>
    <t>When tax laws change, the IRS tax rates, etc. data in the following worksheets may have to be edited:</t>
  </si>
  <si>
    <t>(Do not edit this worksheet)</t>
  </si>
  <si>
    <r>
      <t xml:space="preserve">View the final </t>
    </r>
    <r>
      <rPr>
        <b/>
        <sz val="12"/>
        <color indexed="8"/>
        <rFont val="Calibri"/>
        <family val="2"/>
      </rPr>
      <t>Results</t>
    </r>
    <r>
      <rPr>
        <sz val="11"/>
        <color indexed="8"/>
        <rFont val="Calibri"/>
        <family val="2"/>
      </rPr>
      <t xml:space="preserve"> worksheet after entering all of your data. This consists of a set of tables</t>
    </r>
  </si>
  <si>
    <r>
      <rPr>
        <b/>
        <sz val="11"/>
        <color indexed="8"/>
        <rFont val="Calibri"/>
        <family val="2"/>
      </rPr>
      <t>R.1</t>
    </r>
    <r>
      <rPr>
        <sz val="11"/>
        <color indexed="8"/>
        <rFont val="Calibri"/>
        <family val="2"/>
      </rPr>
      <t xml:space="preserve"> through </t>
    </r>
    <r>
      <rPr>
        <b/>
        <sz val="11"/>
        <color indexed="8"/>
        <rFont val="Calibri"/>
        <family val="2"/>
      </rPr>
      <t>R.8</t>
    </r>
    <r>
      <rPr>
        <sz val="11"/>
        <color indexed="8"/>
        <rFont val="Calibri"/>
        <family val="2"/>
      </rPr>
      <t xml:space="preserve"> referring to the same worksheet account names i</t>
    </r>
    <r>
      <rPr>
        <sz val="11"/>
        <color indexed="8"/>
        <rFont val="Calibri"/>
        <family val="2"/>
      </rPr>
      <t>n this Appendix and on the Excel tabs</t>
    </r>
    <r>
      <rPr>
        <sz val="11"/>
        <color indexed="8"/>
        <rFont val="Calibri"/>
        <family val="2"/>
      </rPr>
      <t>.</t>
    </r>
  </si>
  <si>
    <t>(Do not edit these worksheets)</t>
  </si>
  <si>
    <r>
      <t xml:space="preserve">The calculations for the </t>
    </r>
    <r>
      <rPr>
        <b/>
        <sz val="11"/>
        <color indexed="8"/>
        <rFont val="Calibri"/>
        <family val="2"/>
      </rPr>
      <t>R. Results</t>
    </r>
    <r>
      <rPr>
        <sz val="11"/>
        <color indexed="8"/>
        <rFont val="Calibri"/>
        <family val="2"/>
      </rPr>
      <t xml:space="preserve"> worksheet may be modified by making changes in the </t>
    </r>
    <r>
      <rPr>
        <b/>
        <sz val="11"/>
        <color indexed="8"/>
        <rFont val="Calibri"/>
        <family val="2"/>
      </rPr>
      <t>S. Setup</t>
    </r>
    <r>
      <rPr>
        <sz val="11"/>
        <color indexed="8"/>
        <rFont val="Calibri"/>
        <family val="2"/>
      </rPr>
      <t xml:space="preserve"> worksheet:</t>
    </r>
  </si>
  <si>
    <t>B.2 Calculator to estimate Rate Of Return (ROR) given percent stocks, bonds and cash.</t>
  </si>
  <si>
    <t>Specify the starting and ending ages for each income stream (work, pension, Social Security, and/or annuities), and do</t>
  </si>
  <si>
    <t>this independently for each spouse S1 and S2. Specify the expected average market returns for stock, bonds and cash</t>
  </si>
  <si>
    <t xml:space="preserve">or COLAs for each of these income streams that increase the income and expenses by that percentage each year. Also </t>
  </si>
  <si>
    <t>from the cash-flow. Specify scheduled and optional  irregular deductions that are used for part of the tax calculations.</t>
  </si>
  <si>
    <t xml:space="preserve">Otherwise, the starting and stopping ages with an expense COLA are specified. A rough estimate of Federal and State </t>
  </si>
  <si>
    <t xml:space="preserve">taxes that are computed are subtracted from the cash account. Note that State taxes are estimated by a fixed percentage, </t>
  </si>
  <si>
    <t xml:space="preserve"> types of pensions, etc. which are not taken into account.</t>
  </si>
  <si>
    <t xml:space="preserve">S1 and S2 can be married or unmarried. Married S1 and S2 individuals may use tax filing status of Married Filing Jointly (MFJ) </t>
  </si>
  <si>
    <t>or Married Filing Separately (MFS). Single individuals can also use Head of Household (HH). However the unmarried S1 and S2</t>
  </si>
  <si>
    <t>should only use the Tax filing status Single Filing (SF).</t>
  </si>
  <si>
    <r>
      <t xml:space="preserve">Each worksheet has  </t>
    </r>
    <r>
      <rPr>
        <b/>
        <sz val="12"/>
        <color indexed="8"/>
        <rFont val="Calibri"/>
        <family val="2"/>
      </rPr>
      <t>INSTRUCTIONS</t>
    </r>
    <r>
      <rPr>
        <sz val="11"/>
        <color indexed="8"/>
        <rFont val="Calibri"/>
        <family val="2"/>
      </rPr>
      <t xml:space="preserve"> that explain what is needed to be filled out in that worksheet. As data is entered,</t>
    </r>
  </si>
  <si>
    <t>remember to save the Excel workbook (spreadsheet) after or during your editing of the various worksheets. Entered data</t>
  </si>
  <si>
    <t>will not be saved unless you tell Excel (or whatever spreadsheet program you are using) to save it. As you make changes,</t>
  </si>
  <si>
    <r>
      <t xml:space="preserve">First specify which data worksheets apply to you and that you want to use. Go to the </t>
    </r>
    <r>
      <rPr>
        <b/>
        <sz val="11"/>
        <color indexed="8"/>
        <rFont val="Calibri"/>
        <family val="2"/>
      </rPr>
      <t xml:space="preserve">S. Setup </t>
    </r>
    <r>
      <rPr>
        <sz val="11"/>
        <color indexed="8"/>
        <rFont val="Calibri"/>
        <family val="2"/>
      </rPr>
      <t>worksheet to specify the  accounts</t>
    </r>
  </si>
  <si>
    <r>
      <t xml:space="preserve">Specify whether to include irregular contributions and withdrawals in the investment and expense accounts in section </t>
    </r>
    <r>
      <rPr>
        <b/>
        <sz val="11"/>
        <color indexed="8"/>
        <rFont val="Calibri"/>
        <family val="2"/>
      </rPr>
      <t>S.2</t>
    </r>
    <r>
      <rPr>
        <sz val="11"/>
        <color indexed="8"/>
        <rFont val="Calibri"/>
        <family val="2"/>
      </rPr>
      <t xml:space="preserve">.  </t>
    </r>
  </si>
  <si>
    <r>
      <t>Finally, specify whether to add scheduled contributions and withdrawals for the investment accounts in table</t>
    </r>
    <r>
      <rPr>
        <b/>
        <sz val="11"/>
        <color indexed="8"/>
        <rFont val="Calibri"/>
        <family val="2"/>
      </rPr>
      <t xml:space="preserve"> S.3</t>
    </r>
    <r>
      <rPr>
        <sz val="11"/>
        <color indexed="8"/>
        <rFont val="Calibri"/>
        <family val="2"/>
      </rPr>
      <t>.</t>
    </r>
  </si>
  <si>
    <t>Then enter your Age(s) and Tax data</t>
  </si>
  <si>
    <r>
      <t>zero values for the data. Some worksheets allow the entry of multiple sets of data as a table we call a "</t>
    </r>
    <r>
      <rPr>
        <i/>
        <sz val="11"/>
        <color indexed="8"/>
        <rFont val="Calibri"/>
        <family val="2"/>
      </rPr>
      <t>Table-GUI</t>
    </r>
    <r>
      <rPr>
        <sz val="11"/>
        <color indexed="8"/>
        <rFont val="Calibri"/>
        <family val="2"/>
      </rPr>
      <t>" - for example</t>
    </r>
  </si>
  <si>
    <r>
      <t>multiple jobs.  (See the glossary in</t>
    </r>
    <r>
      <rPr>
        <b/>
        <sz val="11"/>
        <color indexed="8"/>
        <rFont val="Calibri"/>
        <family val="2"/>
      </rPr>
      <t xml:space="preserve"> Appendix C </t>
    </r>
    <r>
      <rPr>
        <sz val="11"/>
        <color indexed="8"/>
        <rFont val="Calibri"/>
        <family val="2"/>
      </rPr>
      <t xml:space="preserve">or the </t>
    </r>
    <r>
      <rPr>
        <b/>
        <sz val="11"/>
        <color indexed="8"/>
        <rFont val="Calibri"/>
        <family val="2"/>
      </rPr>
      <t>FAQ for more details).</t>
    </r>
  </si>
  <si>
    <t xml:space="preserve">intermediate results computed in the rest of the worksheets in a more readable format presenting a global picture of the </t>
  </si>
  <si>
    <r>
      <t xml:space="preserve">The  </t>
    </r>
    <r>
      <rPr>
        <b/>
        <sz val="11"/>
        <color indexed="8"/>
        <rFont val="Calibri"/>
        <family val="2"/>
      </rPr>
      <t>Assumptions</t>
    </r>
    <r>
      <rPr>
        <sz val="11"/>
        <color indexed="8"/>
        <rFont val="Calibri"/>
        <family val="2"/>
      </rPr>
      <t xml:space="preserve"> worksheet is not edited since it summarizes the other data worksheets.</t>
    </r>
  </si>
  <si>
    <r>
      <t xml:space="preserve">The </t>
    </r>
    <r>
      <rPr>
        <b/>
        <sz val="11"/>
        <color indexed="8"/>
        <rFont val="Calibri"/>
        <family val="2"/>
      </rPr>
      <t>R. Results</t>
    </r>
    <r>
      <rPr>
        <sz val="11"/>
        <color indexed="8"/>
        <rFont val="Calibri"/>
        <family val="2"/>
      </rPr>
      <t xml:space="preserve"> worksheet is not edited since it summarizes the other data worksheets.</t>
    </r>
  </si>
  <si>
    <t>This is where the yearly cash-flow is computed from (Income + Withdrawals - Contributions - Expenses - Taxes)</t>
  </si>
  <si>
    <r>
      <t xml:space="preserve">data is entered. Any worksheet can be unprotected by going into the Excel </t>
    </r>
    <r>
      <rPr>
        <u/>
        <sz val="11"/>
        <color theme="1"/>
        <rFont val="Calibri"/>
        <family val="2"/>
        <scheme val="minor"/>
      </rPr>
      <t>Format</t>
    </r>
    <r>
      <rPr>
        <sz val="11"/>
        <color theme="1"/>
        <rFont val="Calibri"/>
        <family val="2"/>
        <scheme val="minor"/>
      </rPr>
      <t xml:space="preserve"> option and clicking</t>
    </r>
  </si>
  <si>
    <t xml:space="preserve">this over several  years prior to the expense may possibly avoid going into a much higher marginal tax bracket. Then when </t>
  </si>
  <si>
    <r>
      <t xml:space="preserve">amount. There is an option in the </t>
    </r>
    <r>
      <rPr>
        <b/>
        <sz val="11"/>
        <color theme="1"/>
        <rFont val="Calibri"/>
        <family val="2"/>
        <scheme val="minor"/>
      </rPr>
      <t>11. CashData</t>
    </r>
    <r>
      <rPr>
        <sz val="11"/>
        <color theme="1"/>
        <rFont val="Calibri"/>
        <family val="2"/>
        <scheme val="minor"/>
      </rPr>
      <t xml:space="preserve"> worksheet to rebalance spouse S1 and S2 by rebalancing cash between </t>
    </r>
  </si>
  <si>
    <t>as a specific dollar amount (e.g., $22,000).</t>
  </si>
  <si>
    <t>The spreadsheet is distributed in two different versions depending on whether it has demonstration (demo) data or not.</t>
  </si>
  <si>
    <t>To enter data either override the demonstration data version or use the empty User version</t>
  </si>
  <si>
    <r>
      <t>Direct the spreadsheet to not use any particular data worksheet by selecting "</t>
    </r>
    <r>
      <rPr>
        <b/>
        <sz val="11"/>
        <color rgb="FFFF0000"/>
        <rFont val="Calibri"/>
        <family val="2"/>
        <scheme val="minor"/>
      </rPr>
      <t>ignoring</t>
    </r>
    <r>
      <rPr>
        <sz val="11"/>
        <color theme="1"/>
        <rFont val="Calibri"/>
        <family val="2"/>
        <scheme val="minor"/>
      </rPr>
      <t xml:space="preserve">" them in the </t>
    </r>
    <r>
      <rPr>
        <b/>
        <sz val="11"/>
        <color theme="1"/>
        <rFont val="Calibri"/>
        <family val="2"/>
        <scheme val="minor"/>
      </rPr>
      <t>S. Setup</t>
    </r>
    <r>
      <rPr>
        <sz val="11"/>
        <color theme="1"/>
        <rFont val="Calibri"/>
        <family val="2"/>
        <scheme val="minor"/>
      </rPr>
      <t xml:space="preserve"> worksheet</t>
    </r>
  </si>
  <si>
    <r>
      <rPr>
        <sz val="11"/>
        <color theme="1"/>
        <rFont val="Calibri"/>
        <family val="2"/>
        <scheme val="minor"/>
      </rPr>
      <t xml:space="preserve">section </t>
    </r>
    <r>
      <rPr>
        <b/>
        <sz val="11"/>
        <color indexed="8"/>
        <rFont val="Calibri"/>
        <family val="2"/>
      </rPr>
      <t>S.1</t>
    </r>
    <r>
      <rPr>
        <sz val="11"/>
        <color theme="1"/>
        <rFont val="Calibri"/>
        <family val="2"/>
        <scheme val="minor"/>
      </rPr>
      <t xml:space="preserve"> is used to declare the data worksheets that </t>
    </r>
    <r>
      <rPr>
        <i/>
        <sz val="11"/>
        <color indexed="8"/>
        <rFont val="Calibri"/>
        <family val="2"/>
      </rPr>
      <t>you do want</t>
    </r>
    <r>
      <rPr>
        <sz val="11"/>
        <color theme="1"/>
        <rFont val="Calibri"/>
        <family val="2"/>
        <scheme val="minor"/>
      </rPr>
      <t xml:space="preserve"> you specify as "</t>
    </r>
    <r>
      <rPr>
        <b/>
        <sz val="11"/>
        <color indexed="10"/>
        <rFont val="Calibri"/>
        <family val="2"/>
      </rPr>
      <t>used</t>
    </r>
    <r>
      <rPr>
        <sz val="11"/>
        <color theme="1"/>
        <rFont val="Calibri"/>
        <family val="2"/>
        <scheme val="minor"/>
      </rPr>
      <t xml:space="preserve">". (Alternatively,the spreadsheet will </t>
    </r>
  </si>
  <si>
    <r>
      <t xml:space="preserve">ignore data from  worksheets by setting the income, contribution or withdrawal amounts etc. data to </t>
    </r>
    <r>
      <rPr>
        <b/>
        <sz val="11"/>
        <color rgb="FFFF0000"/>
        <rFont val="Calibri"/>
        <family val="2"/>
        <scheme val="minor"/>
      </rPr>
      <t>$0</t>
    </r>
    <r>
      <rPr>
        <sz val="11"/>
        <color theme="1"/>
        <rFont val="Calibri"/>
        <family val="2"/>
        <scheme val="minor"/>
      </rPr>
      <t xml:space="preserve"> to remove them from  </t>
    </r>
  </si>
  <si>
    <r>
      <rPr>
        <b/>
        <sz val="11"/>
        <color theme="1"/>
        <rFont val="Calibri"/>
        <family val="2"/>
        <scheme val="minor"/>
      </rPr>
      <t>S. Setup</t>
    </r>
    <r>
      <rPr>
        <sz val="11"/>
        <color theme="1"/>
        <rFont val="Calibri"/>
        <family val="2"/>
        <scheme val="minor"/>
      </rPr>
      <t xml:space="preserve"> section</t>
    </r>
    <r>
      <rPr>
        <b/>
        <sz val="11"/>
        <color theme="1"/>
        <rFont val="Calibri"/>
        <family val="2"/>
        <scheme val="minor"/>
      </rPr>
      <t xml:space="preserve"> S.2</t>
    </r>
    <r>
      <rPr>
        <sz val="11"/>
        <color theme="1"/>
        <rFont val="Calibri"/>
        <family val="2"/>
        <scheme val="minor"/>
      </rPr>
      <t xml:space="preserve"> enables/disables the use of Irregular contributions and withdrawals by selecting </t>
    </r>
  </si>
  <si>
    <r>
      <rPr>
        <b/>
        <sz val="11"/>
        <color rgb="FFFF0000"/>
        <rFont val="Calibri"/>
        <family val="2"/>
        <scheme val="minor"/>
      </rPr>
      <t>"yes"</t>
    </r>
    <r>
      <rPr>
        <sz val="11"/>
        <color theme="1"/>
        <rFont val="Calibri"/>
        <family val="2"/>
        <scheme val="minor"/>
      </rPr>
      <t xml:space="preserve"> or</t>
    </r>
    <r>
      <rPr>
        <b/>
        <sz val="11"/>
        <color rgb="FFFF0000"/>
        <rFont val="Calibri"/>
        <family val="2"/>
        <scheme val="minor"/>
      </rPr>
      <t xml:space="preserve"> "no"</t>
    </r>
    <r>
      <rPr>
        <sz val="11"/>
        <color theme="1"/>
        <rFont val="Calibri"/>
        <family val="2"/>
        <scheme val="minor"/>
      </rPr>
      <t xml:space="preserve">. </t>
    </r>
    <r>
      <rPr>
        <b/>
        <sz val="11"/>
        <color theme="1"/>
        <rFont val="Calibri"/>
        <family val="2"/>
        <scheme val="minor"/>
      </rPr>
      <t>S. Setup</t>
    </r>
    <r>
      <rPr>
        <sz val="11"/>
        <color theme="1"/>
        <rFont val="Calibri"/>
        <family val="2"/>
        <scheme val="minor"/>
      </rPr>
      <t xml:space="preserve"> worksheet </t>
    </r>
    <r>
      <rPr>
        <b/>
        <sz val="11"/>
        <color theme="1"/>
        <rFont val="Calibri"/>
        <family val="2"/>
        <scheme val="minor"/>
      </rPr>
      <t>S.3</t>
    </r>
    <r>
      <rPr>
        <sz val="11"/>
        <color theme="1"/>
        <rFont val="Calibri"/>
        <family val="2"/>
        <scheme val="minor"/>
      </rPr>
      <t xml:space="preserve"> enables/disables the use of scheduled contributions and withdrawals by </t>
    </r>
  </si>
  <si>
    <t>software uses static models and static rates of return, CPI, etc. that are entered, it will not track actual market values</t>
  </si>
  <si>
    <t xml:space="preserve">overwriting the demonstration data. Save your spreadsheet with a new file name as you make changes. The demonstration </t>
  </si>
  <si>
    <r>
      <t xml:space="preserve"> </t>
    </r>
    <r>
      <rPr>
        <sz val="11"/>
        <color rgb="FFFF0000"/>
        <rFont val="Calibri"/>
        <family val="2"/>
      </rPr>
      <t>($1,234)</t>
    </r>
    <r>
      <rPr>
        <sz val="11"/>
        <color indexed="8"/>
        <rFont val="Calibri"/>
        <family val="2"/>
      </rPr>
      <t xml:space="preserve"> rather than -$1,234, and should not be edited.</t>
    </r>
  </si>
  <si>
    <t>data provides examples of answers to give an idea of typical values. Note that negative numbers are shown as red</t>
  </si>
  <si>
    <r>
      <t>set of data  worksheets that are applicable to you,  where you select either "</t>
    </r>
    <r>
      <rPr>
        <b/>
        <sz val="11"/>
        <color indexed="10"/>
        <rFont val="Calibri"/>
        <family val="2"/>
      </rPr>
      <t>use</t>
    </r>
    <r>
      <rPr>
        <sz val="11"/>
        <color indexed="8"/>
        <rFont val="Calibri"/>
        <family val="2"/>
      </rPr>
      <t>" or "</t>
    </r>
    <r>
      <rPr>
        <b/>
        <sz val="11"/>
        <color indexed="10"/>
        <rFont val="Calibri"/>
        <family val="2"/>
      </rPr>
      <t>ignore</t>
    </r>
    <r>
      <rPr>
        <sz val="11"/>
        <color indexed="8"/>
        <rFont val="Calibri"/>
        <family val="2"/>
      </rPr>
      <t>".  In</t>
    </r>
    <r>
      <rPr>
        <b/>
        <sz val="11"/>
        <color indexed="10"/>
        <rFont val="Calibri"/>
        <family val="2"/>
      </rPr>
      <t xml:space="preserve"> </t>
    </r>
    <r>
      <rPr>
        <b/>
        <sz val="11"/>
        <rFont val="Calibri"/>
        <family val="2"/>
      </rPr>
      <t>S. Setup</t>
    </r>
    <r>
      <rPr>
        <b/>
        <sz val="11"/>
        <color indexed="10"/>
        <rFont val="Calibri"/>
        <family val="2"/>
      </rPr>
      <t xml:space="preserve"> </t>
    </r>
    <r>
      <rPr>
        <sz val="11"/>
        <rFont val="Calibri"/>
        <family val="2"/>
      </rPr>
      <t>section</t>
    </r>
    <r>
      <rPr>
        <b/>
        <sz val="11"/>
        <color indexed="10"/>
        <rFont val="Calibri"/>
        <family val="2"/>
      </rPr>
      <t xml:space="preserve"> </t>
    </r>
    <r>
      <rPr>
        <b/>
        <sz val="11"/>
        <rFont val="Calibri"/>
        <family val="2"/>
      </rPr>
      <t xml:space="preserve">S.2 </t>
    </r>
  </si>
  <si>
    <t>configure the worksheets to use irregular contributions and withdrawals for investment accounts and the expenses</t>
  </si>
  <si>
    <r>
      <t xml:space="preserve">account. In </t>
    </r>
    <r>
      <rPr>
        <b/>
        <sz val="11"/>
        <color indexed="8"/>
        <rFont val="Calibri"/>
        <family val="2"/>
      </rPr>
      <t>S.3</t>
    </r>
    <r>
      <rPr>
        <sz val="11"/>
        <color indexed="8"/>
        <rFont val="Calibri"/>
        <family val="2"/>
      </rPr>
      <t xml:space="preserve"> you configure the spreadsheet to use scheduled contributions and withdrawals for the investment accounts.</t>
    </r>
  </si>
  <si>
    <r>
      <t xml:space="preserve">After setting the initial configuration in the </t>
    </r>
    <r>
      <rPr>
        <b/>
        <sz val="11"/>
        <color indexed="8"/>
        <rFont val="Calibri"/>
        <family val="2"/>
      </rPr>
      <t>S. Setup,</t>
    </r>
    <r>
      <rPr>
        <sz val="11"/>
        <color indexed="8"/>
        <rFont val="Calibri"/>
        <family val="2"/>
      </rPr>
      <t xml:space="preserve"> </t>
    </r>
    <r>
      <rPr>
        <b/>
        <sz val="11"/>
        <color indexed="8"/>
        <rFont val="Calibri"/>
        <family val="2"/>
      </rPr>
      <t>1. AgeData</t>
    </r>
    <r>
      <rPr>
        <sz val="11"/>
        <color indexed="8"/>
        <rFont val="Calibri"/>
        <family val="2"/>
      </rPr>
      <t xml:space="preserve"> and </t>
    </r>
    <r>
      <rPr>
        <b/>
        <sz val="11"/>
        <color indexed="8"/>
        <rFont val="Calibri"/>
        <family val="2"/>
      </rPr>
      <t>2. TaxData</t>
    </r>
    <r>
      <rPr>
        <sz val="11"/>
        <color indexed="8"/>
        <rFont val="Calibri"/>
        <family val="2"/>
      </rPr>
      <t xml:space="preserve"> worksheets, enter the rest of your</t>
    </r>
  </si>
  <si>
    <r>
      <t xml:space="preserve">The spreadsheet as it is distributed has demonstration data entered in </t>
    </r>
    <r>
      <rPr>
        <b/>
        <sz val="11"/>
        <color rgb="FFFF0000"/>
        <rFont val="Calibri"/>
        <family val="2"/>
      </rPr>
      <t>red</t>
    </r>
    <r>
      <rPr>
        <sz val="11"/>
        <color indexed="8"/>
        <rFont val="Calibri"/>
        <family val="2"/>
      </rPr>
      <t xml:space="preserve"> cells through the worksheet. Enter data by</t>
    </r>
  </si>
  <si>
    <r>
      <t>data in the data worksheets</t>
    </r>
    <r>
      <rPr>
        <b/>
        <sz val="11"/>
        <color indexed="8"/>
        <rFont val="Calibri"/>
        <family val="2"/>
      </rPr>
      <t xml:space="preserve"> 3. WorkData</t>
    </r>
    <r>
      <rPr>
        <sz val="11"/>
        <color indexed="8"/>
        <rFont val="Calibri"/>
        <family val="2"/>
      </rPr>
      <t xml:space="preserve"> through </t>
    </r>
    <r>
      <rPr>
        <b/>
        <sz val="11"/>
        <color indexed="8"/>
        <rFont val="Calibri"/>
        <family val="2"/>
      </rPr>
      <t>10. ExpensesData</t>
    </r>
    <r>
      <rPr>
        <sz val="11"/>
        <color indexed="8"/>
        <rFont val="Calibri"/>
        <family val="2"/>
      </rPr>
      <t xml:space="preserve"> have selected (see section</t>
    </r>
    <r>
      <rPr>
        <b/>
        <sz val="11"/>
        <color indexed="8"/>
        <rFont val="Calibri"/>
        <family val="2"/>
      </rPr>
      <t xml:space="preserve"> 1.4 </t>
    </r>
    <r>
      <rPr>
        <sz val="11"/>
        <color indexed="8"/>
        <rFont val="Calibri"/>
        <family val="2"/>
      </rPr>
      <t>above for a list of data</t>
    </r>
  </si>
  <si>
    <r>
      <t>entry worksheets). Again, only enter data in the red cells on the worksheets. Switch between worksheets either by clicking</t>
    </r>
    <r>
      <rPr>
        <b/>
        <sz val="11"/>
        <color indexed="8"/>
        <rFont val="Calibri"/>
        <family val="2"/>
      </rPr>
      <t/>
    </r>
  </si>
  <si>
    <r>
      <t>This section elaborates on the discussion in the above. "</t>
    </r>
    <r>
      <rPr>
        <b/>
        <sz val="12"/>
        <color indexed="8"/>
        <rFont val="Calibri"/>
        <family val="2"/>
      </rPr>
      <t>1.3 How the spreadsheet works</t>
    </r>
    <r>
      <rPr>
        <sz val="12"/>
        <color indexed="8"/>
        <rFont val="Calibri"/>
        <family val="2"/>
      </rPr>
      <t>" section.</t>
    </r>
  </si>
  <si>
    <t>This list of frequently asked questions provides answers to some common questions about the SIPT.</t>
  </si>
  <si>
    <r>
      <t>Expenses and tax deductions are entered in the</t>
    </r>
    <r>
      <rPr>
        <b/>
        <sz val="11"/>
        <color indexed="8"/>
        <rFont val="Calibri"/>
        <family val="2"/>
      </rPr>
      <t xml:space="preserve"> 10. ExpensesData</t>
    </r>
    <r>
      <rPr>
        <sz val="11"/>
        <color theme="1"/>
        <rFont val="Calibri"/>
        <family val="2"/>
        <scheme val="minor"/>
      </rPr>
      <t xml:space="preserve"> worksheet. Taxes are then estimated on the total taxable</t>
    </r>
  </si>
  <si>
    <t xml:space="preserve">income. All data worksheets require  you specify the age when the incomes, contributions and withdrawals or expenses </t>
  </si>
  <si>
    <t>start as well as when they end. Investment contributions and withdrawals as well as expenses and tax deductions are specified</t>
  </si>
  <si>
    <t>Q.2 Will the money being saved for college expenses (or a new home or cars, etc.) be adequate?</t>
  </si>
  <si>
    <t>Q.4 When should I retire, claim Social Security, and how will this affect my savings?</t>
  </si>
  <si>
    <t>Q.5 How will irregular expenses affect my future income stream  through retirement?</t>
  </si>
  <si>
    <t>Q.6 How much more income could I earn long term if I have a more aggressive stock portfolio (more stocks)?</t>
  </si>
  <si>
    <t>Q.7 What is the effect of different levels of inflation on my savings over time?</t>
  </si>
  <si>
    <t>Q.8 What would the effect be of adding annuities during retirement? What if I started them at different times?</t>
  </si>
  <si>
    <t xml:space="preserve">   Q.1 Will I run out of money during retirement?</t>
  </si>
  <si>
    <t xml:space="preserve">   Q.2 Will the money being saved for college expenses (or a new home or cars, etc.) be adequate?</t>
  </si>
  <si>
    <t xml:space="preserve">   Q.3 When should I do withdrawals on my tax-deferred IRAs?</t>
  </si>
  <si>
    <t xml:space="preserve">   Q.4 When should I retire, claim Social Security, and how will this affect my savings?</t>
  </si>
  <si>
    <t xml:space="preserve">   Q.5 How will irregular expenses affect my future income stream  through retirement?</t>
  </si>
  <si>
    <t xml:space="preserve">   Q.6 How much more income could I earn long term if I have a more aggressive stock portfolio (more stocks)?</t>
  </si>
  <si>
    <t xml:space="preserve">   Q.7 What is the effect of different levels of inflation on my savings over time?</t>
  </si>
  <si>
    <t xml:space="preserve">   Q.8 What would the effect be of adding annuities during retirement? What if I started them at different times?</t>
  </si>
  <si>
    <t xml:space="preserve">Here are some examples of questions that might be answered using the SIPT. The details on the questions are </t>
  </si>
  <si>
    <t>described in the appendix FAQ number 13.</t>
  </si>
  <si>
    <r>
      <t xml:space="preserve">There is some limited error checking. See the </t>
    </r>
    <r>
      <rPr>
        <b/>
        <sz val="11"/>
        <color indexed="8"/>
        <rFont val="Calibri"/>
        <family val="2"/>
      </rPr>
      <t>FAQ</t>
    </r>
    <r>
      <rPr>
        <sz val="11"/>
        <color indexed="8"/>
        <rFont val="Calibri"/>
        <family val="2"/>
      </rPr>
      <t xml:space="preserve"> number 15. for details.</t>
    </r>
  </si>
  <si>
    <r>
      <t xml:space="preserve">saving the spreadsheet often is a good idea. See section </t>
    </r>
    <r>
      <rPr>
        <b/>
        <sz val="11"/>
        <color indexed="8"/>
        <rFont val="Calibri"/>
        <family val="2"/>
      </rPr>
      <t xml:space="preserve">3. </t>
    </r>
    <r>
      <rPr>
        <sz val="11"/>
        <color indexed="8"/>
        <rFont val="Calibri"/>
        <family val="2"/>
      </rPr>
      <t>for a more detailed description on using the spreadsheet.</t>
    </r>
  </si>
  <si>
    <t>3. Detailed directions for using the spreadsheet</t>
  </si>
  <si>
    <r>
      <t xml:space="preserve"> - - - &gt; DO </t>
    </r>
    <r>
      <rPr>
        <b/>
        <u/>
        <sz val="12"/>
        <color rgb="FFFF0000"/>
        <rFont val="Calibri"/>
        <family val="2"/>
        <scheme val="minor"/>
      </rPr>
      <t>NOT</t>
    </r>
    <r>
      <rPr>
        <b/>
        <sz val="12"/>
        <color rgb="FFFF0000"/>
        <rFont val="Calibri"/>
        <family val="2"/>
        <scheme val="minor"/>
      </rPr>
      <t xml:space="preserve"> CHANGE ANY VALUES in the following tables in this worksheet. &lt; - - - </t>
    </r>
  </si>
  <si>
    <r>
      <t>See the</t>
    </r>
    <r>
      <rPr>
        <b/>
        <sz val="11"/>
        <color theme="1"/>
        <rFont val="Calibri"/>
        <family val="2"/>
        <scheme val="minor"/>
      </rPr>
      <t/>
    </r>
  </si>
  <si>
    <t xml:space="preserve">FAQ </t>
  </si>
  <si>
    <t>lists  more information about the current status including a list of things TODO and the ongoing REVISION-LIST history.</t>
  </si>
  <si>
    <t xml:space="preserve">different ages, or leave out or reduce certain expenses, etc. See </t>
  </si>
  <si>
    <r>
      <rPr>
        <i/>
        <sz val="11"/>
        <color theme="1"/>
        <rFont val="Calibri"/>
        <family val="2"/>
        <scheme val="minor"/>
      </rPr>
      <t>using this spreadsheet?</t>
    </r>
    <r>
      <rPr>
        <sz val="11"/>
        <color theme="1"/>
        <rFont val="Calibri"/>
        <family val="2"/>
        <scheme val="minor"/>
      </rPr>
      <t>" entry for some suggestions.</t>
    </r>
  </si>
  <si>
    <t>"13. What types of questions might be investigated</t>
  </si>
  <si>
    <r>
      <t>currently working on.  In addition, the user entered data is accumulated in an</t>
    </r>
    <r>
      <rPr>
        <b/>
        <sz val="11"/>
        <color indexed="8"/>
        <rFont val="Calibri"/>
        <family val="2"/>
      </rPr>
      <t/>
    </r>
  </si>
  <si>
    <t xml:space="preserve"> worksheet.</t>
  </si>
  <si>
    <r>
      <t xml:space="preserve">it to incorporate those changes. In particular, they will be reflected in the </t>
    </r>
    <r>
      <rPr>
        <b/>
        <sz val="11"/>
        <color indexed="8"/>
        <rFont val="Calibri"/>
        <family val="2"/>
      </rPr>
      <t/>
    </r>
  </si>
  <si>
    <r>
      <t xml:space="preserve">First configure the spreadsheet to your personal situation. This is done in the </t>
    </r>
    <r>
      <rPr>
        <b/>
        <sz val="11"/>
        <color indexed="8"/>
        <rFont val="Calibri"/>
        <family val="2"/>
      </rPr>
      <t/>
    </r>
  </si>
  <si>
    <r>
      <t xml:space="preserve"> worksheet sections</t>
    </r>
    <r>
      <rPr>
        <b/>
        <sz val="11"/>
        <color indexed="8"/>
        <rFont val="Calibri"/>
        <family val="2"/>
      </rPr>
      <t xml:space="preserve"> S.1</t>
    </r>
    <r>
      <rPr>
        <sz val="11"/>
        <color indexed="8"/>
        <rFont val="Calibri"/>
        <family val="2"/>
      </rPr>
      <t xml:space="preserve"> to </t>
    </r>
    <r>
      <rPr>
        <b/>
        <sz val="11"/>
        <color indexed="8"/>
        <rFont val="Calibri"/>
        <family val="2"/>
      </rPr>
      <t>S.3</t>
    </r>
    <r>
      <rPr>
        <sz val="11"/>
        <color indexed="8"/>
        <rFont val="Calibri"/>
        <family val="2"/>
      </rPr>
      <t>.</t>
    </r>
  </si>
  <si>
    <t xml:space="preserve">1. AgeData </t>
  </si>
  <si>
    <r>
      <t xml:space="preserve">and </t>
    </r>
    <r>
      <rPr>
        <b/>
        <sz val="11"/>
        <color indexed="8"/>
        <rFont val="Calibri"/>
        <family val="2"/>
      </rPr>
      <t/>
    </r>
  </si>
  <si>
    <r>
      <t>worksheets since these are used by the other data worksheets. In table</t>
    </r>
    <r>
      <rPr>
        <b/>
        <sz val="11"/>
        <color indexed="8"/>
        <rFont val="Calibri"/>
        <family val="2"/>
      </rPr>
      <t xml:space="preserve"> S. Setup S.1</t>
    </r>
    <r>
      <rPr>
        <sz val="11"/>
        <color indexed="8"/>
        <rFont val="Calibri"/>
        <family val="2"/>
      </rPr>
      <t xml:space="preserve"> declares the</t>
    </r>
  </si>
  <si>
    <r>
      <t>INSTRUCTIONS:</t>
    </r>
    <r>
      <rPr>
        <sz val="11"/>
        <color theme="1"/>
        <rFont val="Calibri"/>
        <family val="2"/>
        <scheme val="minor"/>
      </rPr>
      <t xml:space="preserve"> Select the data worksheets that correspond to your personal data and ignore those that don't. </t>
    </r>
  </si>
  <si>
    <r>
      <t xml:space="preserve">Section </t>
    </r>
    <r>
      <rPr>
        <b/>
        <sz val="11"/>
        <color indexed="8"/>
        <rFont val="Calibri"/>
        <family val="2"/>
      </rPr>
      <t>S.1</t>
    </r>
    <r>
      <rPr>
        <sz val="11"/>
        <color theme="1"/>
        <rFont val="Calibri"/>
        <family val="2"/>
        <scheme val="minor"/>
      </rPr>
      <t xml:space="preserve"> configures the spreadsheet to use or ignore some of the data worksheets. Section </t>
    </r>
    <r>
      <rPr>
        <b/>
        <sz val="11"/>
        <color indexed="8"/>
        <rFont val="Calibri"/>
        <family val="2"/>
      </rPr>
      <t>S.2</t>
    </r>
    <r>
      <rPr>
        <sz val="11"/>
        <color theme="1"/>
        <rFont val="Calibri"/>
        <family val="2"/>
        <scheme val="minor"/>
      </rPr>
      <t xml:space="preserve"> enables/disables</t>
    </r>
  </si>
  <si>
    <t>Withdrawals.</t>
  </si>
  <si>
    <r>
      <t xml:space="preserve">the use of Irregular Contributions and Withdrawals. Section </t>
    </r>
    <r>
      <rPr>
        <b/>
        <sz val="11"/>
        <color indexed="8"/>
        <rFont val="Calibri"/>
        <family val="2"/>
      </rPr>
      <t>S.3</t>
    </r>
    <r>
      <rPr>
        <sz val="11"/>
        <color theme="1"/>
        <rFont val="Calibri"/>
        <family val="2"/>
        <scheme val="minor"/>
      </rPr>
      <t xml:space="preserve"> enables/disables Scheduled Contributions and</t>
    </r>
  </si>
  <si>
    <t>Select the data worksheets that correspond to your data. Use or ignore various Income and Investment accounts</t>
  </si>
  <si>
    <t>that are or are not applicable to your situation. If a worksheet, is ignred, then you do not have to visit or fill out</t>
  </si>
  <si>
    <r>
      <t xml:space="preserve">those worksheets. Enter or select either </t>
    </r>
    <r>
      <rPr>
        <b/>
        <sz val="11"/>
        <color indexed="10"/>
        <rFont val="Calibri"/>
        <family val="2"/>
      </rPr>
      <t>used</t>
    </r>
    <r>
      <rPr>
        <sz val="11"/>
        <color indexed="8"/>
        <rFont val="Calibri"/>
        <family val="2"/>
      </rPr>
      <t xml:space="preserve"> or </t>
    </r>
    <r>
      <rPr>
        <b/>
        <sz val="11"/>
        <color indexed="10"/>
        <rFont val="Calibri"/>
        <family val="2"/>
      </rPr>
      <t>ignored</t>
    </r>
    <r>
      <rPr>
        <sz val="11"/>
        <rFont val="Calibri"/>
        <family val="2"/>
      </rPr>
      <t xml:space="preserve"> as follows:  </t>
    </r>
  </si>
  <si>
    <t>for the tax-deferred IRA, Roth IRA, and Savings. You may also toggle using irregular expenses. Enter or select either</t>
  </si>
  <si>
    <r>
      <rPr>
        <b/>
        <sz val="11"/>
        <color indexed="10"/>
        <rFont val="Calibri"/>
        <family val="2"/>
      </rPr>
      <t>yes</t>
    </r>
    <r>
      <rPr>
        <sz val="11"/>
        <color indexed="8"/>
        <rFont val="Calibri"/>
        <family val="2"/>
      </rPr>
      <t xml:space="preserve"> or </t>
    </r>
    <r>
      <rPr>
        <b/>
        <sz val="11"/>
        <color indexed="10"/>
        <rFont val="Calibri"/>
        <family val="2"/>
      </rPr>
      <t>no</t>
    </r>
    <r>
      <rPr>
        <sz val="11"/>
        <rFont val="Calibri"/>
        <family val="2"/>
      </rPr>
      <t xml:space="preserve"> as follows:</t>
    </r>
    <r>
      <rPr>
        <sz val="11"/>
        <color indexed="8"/>
        <rFont val="Calibri"/>
        <family val="2"/>
      </rPr>
      <t xml:space="preserve">  </t>
    </r>
  </si>
  <si>
    <t>Edit the irregular data in the corresponding worksheets. Select whether to rebalance cash between S1 and S2 in</t>
  </si>
  <si>
    <r>
      <t xml:space="preserve">the </t>
    </r>
    <r>
      <rPr>
        <b/>
        <sz val="11"/>
        <color indexed="8"/>
        <rFont val="Calibri"/>
        <family val="2"/>
      </rPr>
      <t>CashData</t>
    </r>
    <r>
      <rPr>
        <sz val="11"/>
        <color indexed="8"/>
        <rFont val="Calibri"/>
        <family val="2"/>
      </rPr>
      <t xml:space="preserve"> account (see </t>
    </r>
    <r>
      <rPr>
        <b/>
        <sz val="11"/>
        <color indexed="8"/>
        <rFont val="Calibri"/>
        <family val="2"/>
      </rPr>
      <t>CashData</t>
    </r>
    <r>
      <rPr>
        <sz val="11"/>
        <color indexed="8"/>
        <rFont val="Calibri"/>
        <family val="2"/>
      </rPr>
      <t xml:space="preserve"> for more details). Edit the irregular data in the corresponding worksheets.</t>
    </r>
  </si>
  <si>
    <t>for the tax-deferred IRA, Roth IRA, and Savings accounts. Select whether scheduled expenses are used. Then enter</t>
  </si>
  <si>
    <r>
      <t xml:space="preserve">or select either </t>
    </r>
    <r>
      <rPr>
        <b/>
        <sz val="11"/>
        <color indexed="10"/>
        <rFont val="Calibri"/>
        <family val="2"/>
      </rPr>
      <t>yes</t>
    </r>
    <r>
      <rPr>
        <sz val="11"/>
        <color indexed="8"/>
        <rFont val="Calibri"/>
        <family val="2"/>
      </rPr>
      <t xml:space="preserve"> or</t>
    </r>
    <r>
      <rPr>
        <b/>
        <sz val="11"/>
        <color indexed="10"/>
        <rFont val="Calibri"/>
        <family val="2"/>
      </rPr>
      <t xml:space="preserve"> no</t>
    </r>
    <r>
      <rPr>
        <b/>
        <sz val="11"/>
        <rFont val="Calibri"/>
        <family val="2"/>
      </rPr>
      <t>, or  either</t>
    </r>
    <r>
      <rPr>
        <b/>
        <sz val="11"/>
        <color indexed="10"/>
        <rFont val="Calibri"/>
        <family val="2"/>
      </rPr>
      <t xml:space="preserve"> keep</t>
    </r>
    <r>
      <rPr>
        <sz val="11"/>
        <rFont val="Calibri"/>
        <family val="2"/>
      </rPr>
      <t xml:space="preserve"> or </t>
    </r>
    <r>
      <rPr>
        <b/>
        <sz val="11"/>
        <color indexed="10"/>
        <rFont val="Calibri"/>
        <family val="2"/>
      </rPr>
      <t xml:space="preserve">remove </t>
    </r>
    <r>
      <rPr>
        <sz val="11"/>
        <rFont val="Calibri"/>
        <family val="2"/>
      </rPr>
      <t>as follows (</t>
    </r>
    <r>
      <rPr>
        <b/>
        <sz val="11"/>
        <color rgb="FFFF0000"/>
        <rFont val="Calibri"/>
        <family val="2"/>
      </rPr>
      <t>yes/no</t>
    </r>
    <r>
      <rPr>
        <sz val="11"/>
        <color indexed="10"/>
        <rFont val="Calibri"/>
        <family val="2"/>
      </rPr>
      <t xml:space="preserve"> </t>
    </r>
    <r>
      <rPr>
        <sz val="11"/>
        <rFont val="Calibri"/>
        <family val="2"/>
      </rPr>
      <t>as in</t>
    </r>
    <r>
      <rPr>
        <sz val="11"/>
        <color indexed="10"/>
        <rFont val="Calibri"/>
        <family val="2"/>
      </rPr>
      <t xml:space="preserve"> </t>
    </r>
    <r>
      <rPr>
        <b/>
        <sz val="11"/>
        <rFont val="Calibri"/>
        <family val="2"/>
      </rPr>
      <t>S.2</t>
    </r>
    <r>
      <rPr>
        <sz val="11"/>
        <rFont val="Calibri"/>
        <family val="2"/>
      </rPr>
      <t>):</t>
    </r>
  </si>
  <si>
    <t xml:space="preserve">worksheets is the current value entered here. Finally enter the estimate of future total stock market, total bond </t>
  </si>
  <si>
    <r>
      <t xml:space="preserve">market, and cash Rates Of Returns (RORs) in section </t>
    </r>
    <r>
      <rPr>
        <b/>
        <sz val="11"/>
        <color indexed="8"/>
        <rFont val="Calibri"/>
        <family val="2"/>
      </rPr>
      <t>1.3</t>
    </r>
    <r>
      <rPr>
        <sz val="11"/>
        <color indexed="8"/>
        <rFont val="Calibri"/>
        <family val="2"/>
      </rPr>
      <t>. The default values are reasonable estimates for the near term.</t>
    </r>
  </si>
  <si>
    <r>
      <t xml:space="preserve">table used for the calculations is shown in blue on the lower right of section </t>
    </r>
    <r>
      <rPr>
        <b/>
        <sz val="11"/>
        <color indexed="8"/>
        <rFont val="Calibri"/>
        <family val="2"/>
      </rPr>
      <t>2.2</t>
    </r>
    <r>
      <rPr>
        <sz val="11"/>
        <color indexed="8"/>
        <rFont val="Calibri"/>
        <family val="2"/>
      </rPr>
      <t>. Because future income (future value FV)  is</t>
    </r>
  </si>
  <si>
    <t>The tax filing status, tax COLA, and several other parameters including a simple state tax estimate are entered here. The tax</t>
  </si>
  <si>
    <t xml:space="preserve">assumptions are made that will introduce some errors - especially for those in the highest tax bracket or for those with large </t>
  </si>
  <si>
    <t xml:space="preserve">numbers of deductions with higher income that will begin to phase out. It does not deal with any special tax-credits or </t>
  </si>
  <si>
    <r>
      <t xml:space="preserve">deductions that vary considerably year to year. There is a glossary of financial/tax terms in </t>
    </r>
    <r>
      <rPr>
        <b/>
        <sz val="11"/>
        <color indexed="8"/>
        <rFont val="Calibri"/>
        <family val="2"/>
      </rPr>
      <t xml:space="preserve">Appendix C </t>
    </r>
    <r>
      <rPr>
        <sz val="11"/>
        <color indexed="8"/>
        <rFont val="Calibri"/>
        <family val="2"/>
      </rPr>
      <t xml:space="preserve">(Glossary and </t>
    </r>
  </si>
  <si>
    <r>
      <rPr>
        <b/>
        <sz val="12"/>
        <color indexed="8"/>
        <rFont val="Calibri"/>
        <family val="2"/>
      </rPr>
      <t>INSTRUCTIONS:</t>
    </r>
    <r>
      <rPr>
        <sz val="11"/>
        <color indexed="8"/>
        <rFont val="Calibri"/>
        <family val="2"/>
      </rPr>
      <t xml:space="preserve"> Enter data in section </t>
    </r>
    <r>
      <rPr>
        <b/>
        <sz val="11"/>
        <color indexed="8"/>
        <rFont val="Calibri"/>
        <family val="2"/>
      </rPr>
      <t>2.1</t>
    </r>
    <r>
      <rPr>
        <sz val="11"/>
        <color indexed="8"/>
        <rFont val="Calibri"/>
        <family val="2"/>
      </rPr>
      <t>. You can specify how much each spouse will subtract from their accounts for the</t>
    </r>
  </si>
  <si>
    <t>tax. If one pays more than 1/2, specify the percentages adding up to 100%. Then specify the Federal income tax filing</t>
  </si>
  <si>
    <r>
      <t>status in section</t>
    </r>
    <r>
      <rPr>
        <b/>
        <sz val="11"/>
        <color indexed="8"/>
        <rFont val="Calibri"/>
        <family val="2"/>
      </rPr>
      <t xml:space="preserve"> 2.2</t>
    </r>
    <r>
      <rPr>
        <sz val="11"/>
        <color indexed="8"/>
        <rFont val="Calibri"/>
        <family val="2"/>
      </rPr>
      <t xml:space="preserve">. You do not normally need to edit the tax-rate tables (red cells) in section </t>
    </r>
    <r>
      <rPr>
        <b/>
        <sz val="11"/>
        <color indexed="8"/>
        <rFont val="Calibri"/>
        <family val="2"/>
      </rPr>
      <t>2.2</t>
    </r>
    <r>
      <rPr>
        <sz val="11"/>
        <color indexed="8"/>
        <rFont val="Calibri"/>
        <family val="2"/>
      </rPr>
      <t xml:space="preserve"> unless they change</t>
    </r>
  </si>
  <si>
    <t>as would happen each year when they are  changed by the IRS.</t>
  </si>
  <si>
    <t xml:space="preserve">  Overide the CPI enter another value here else 0% =</t>
  </si>
  <si>
    <t xml:space="preserve">Click on the red filing status entry below, and a popup selector like </t>
  </si>
  <si>
    <t xml:space="preserve">The Total taxable income comes from various income sources that are taxed at the marginal rate. </t>
  </si>
  <si>
    <r>
      <t xml:space="preserve">capital gains distributions are entered in </t>
    </r>
    <r>
      <rPr>
        <b/>
        <sz val="11"/>
        <color indexed="8"/>
        <rFont val="Calibri"/>
        <family val="2"/>
      </rPr>
      <t>9. SavingsData</t>
    </r>
    <r>
      <rPr>
        <sz val="11"/>
        <color indexed="8"/>
        <rFont val="Calibri"/>
        <family val="2"/>
      </rPr>
      <t xml:space="preserve"> section </t>
    </r>
    <r>
      <rPr>
        <b/>
        <sz val="11"/>
        <color indexed="8"/>
        <rFont val="Calibri"/>
        <family val="2"/>
      </rPr>
      <t>9.2</t>
    </r>
    <r>
      <rPr>
        <sz val="11"/>
        <color indexed="8"/>
        <rFont val="Calibri"/>
        <family val="2"/>
      </rPr>
      <t xml:space="preserve">  as a percentage of the savings account balance each year.</t>
    </r>
  </si>
  <si>
    <t>No irregular LTCG and STCG are allowed in the current model  (nor specific assets or lots etc.) can be specified at this time.</t>
  </si>
  <si>
    <t>This worksheet adds up all sources of taxable income from work, rental etc. income that are taxed at the marginal tax rate.</t>
  </si>
  <si>
    <t xml:space="preserve">You can enter multiple jobs per spouse for different age ranges. E.g. a childcare provider leaves and later returns to the </t>
  </si>
  <si>
    <t>workforce,  half-time jobs during child rearing, person retires, then works fewer hours, people with multiple jobs, etc.</t>
  </si>
  <si>
    <r>
      <rPr>
        <b/>
        <sz val="12"/>
        <color indexed="8"/>
        <rFont val="Calibri"/>
        <family val="2"/>
      </rPr>
      <t>INSTRUCTIONS:</t>
    </r>
    <r>
      <rPr>
        <sz val="11"/>
        <color indexed="8"/>
        <rFont val="Calibri"/>
        <family val="2"/>
      </rPr>
      <t xml:space="preserve"> Enter work taxable income data (if any) in section </t>
    </r>
    <r>
      <rPr>
        <b/>
        <sz val="11"/>
        <color indexed="8"/>
        <rFont val="Calibri"/>
        <family val="2"/>
      </rPr>
      <t>3.1</t>
    </r>
    <r>
      <rPr>
        <sz val="11"/>
        <color indexed="8"/>
        <rFont val="Calibri"/>
        <family val="2"/>
      </rPr>
      <t xml:space="preserve">.  Do not include FICA, Medicare taxes, or tax-deferred </t>
    </r>
  </si>
  <si>
    <t>tax-deferred IRAs (or 401(k), 403(b), 457 type plans) contributions that were withheld.  Tax-deferred contributions are</t>
  </si>
  <si>
    <r>
      <t xml:space="preserve">handled in the </t>
    </r>
    <r>
      <rPr>
        <b/>
        <sz val="11"/>
        <color indexed="8"/>
        <rFont val="Calibri"/>
        <family val="2"/>
      </rPr>
      <t>7. IRAdata</t>
    </r>
    <r>
      <rPr>
        <sz val="11"/>
        <color indexed="8"/>
        <rFont val="Calibri"/>
        <family val="2"/>
      </rPr>
      <t xml:space="preserve"> worksheet. Because Federal taxes are taken out in the</t>
    </r>
    <r>
      <rPr>
        <b/>
        <sz val="11"/>
        <color indexed="8"/>
        <rFont val="Calibri"/>
        <family val="2"/>
      </rPr>
      <t xml:space="preserve"> 2. TaxData</t>
    </r>
    <r>
      <rPr>
        <sz val="11"/>
        <color indexed="8"/>
        <rFont val="Calibri"/>
        <family val="2"/>
      </rPr>
      <t xml:space="preserve"> worksheet calculations, do not</t>
    </r>
  </si>
  <si>
    <t>subtract Federal taxes in this worksheet that were withheld. If your income has a COLA (Cost Of Living Adjustment), you can</t>
  </si>
  <si>
    <t>specify it, otherwise use 0.00%. Then specify the age you start working and the age you stop working.  If your are currently</t>
  </si>
  <si>
    <t>working, you start age is your current age. A flat state tax may be optionally specified. The spreadsheet does not handle</t>
  </si>
  <si>
    <t>more complex state tax models.</t>
  </si>
  <si>
    <t>Enter up to 3 jobs per spouse for different age ranges. You may enter job ages outside the age range of the</t>
  </si>
  <si>
    <r>
      <t xml:space="preserve">spreadsheet and they are ignored. If you change the current ages in the </t>
    </r>
    <r>
      <rPr>
        <b/>
        <sz val="12"/>
        <color theme="1"/>
        <rFont val="Calibri"/>
        <family val="2"/>
        <scheme val="minor"/>
      </rPr>
      <t xml:space="preserve">2. AgeData </t>
    </r>
    <r>
      <rPr>
        <sz val="12"/>
        <color theme="1"/>
        <rFont val="Calibri"/>
        <family val="2"/>
        <scheme val="minor"/>
      </rPr>
      <t>worksheet so the jobs are</t>
    </r>
  </si>
  <si>
    <t>within the range, then these job ranges will be used. Entries for job dates less than the current ages are ignored.</t>
  </si>
  <si>
    <t>Enter any work and rental income (rental income is treated as work income) for S1 and S2. Up to three jobs may be</t>
  </si>
  <si>
    <t xml:space="preserve">entered for each spouse S1 or S2. The jobs may be concurrent or sequential. Jobs may also be specified in the future </t>
  </si>
  <si>
    <t>as in a post retirement job.</t>
  </si>
  <si>
    <t>Enter any pension data for S1 and S2. The pension(s) may be currently  in effect or take place in the future.</t>
  </si>
  <si>
    <t xml:space="preserve">    Override Age S1 pension starts=</t>
  </si>
  <si>
    <t xml:space="preserve">   Override the COLA, enter another value here=</t>
  </si>
  <si>
    <t xml:space="preserve">    Override Age S2 pension starts=</t>
  </si>
  <si>
    <r>
      <rPr>
        <b/>
        <sz val="12"/>
        <color indexed="8"/>
        <rFont val="Calibri"/>
        <family val="2"/>
      </rPr>
      <t>INSTRUCTIONS:</t>
    </r>
    <r>
      <rPr>
        <sz val="12"/>
        <color indexed="8"/>
        <rFont val="Calibri"/>
        <family val="2"/>
      </rPr>
      <t xml:space="preserve"> </t>
    </r>
    <r>
      <rPr>
        <sz val="11"/>
        <color indexed="8"/>
        <rFont val="Calibri"/>
        <family val="2"/>
      </rPr>
      <t xml:space="preserve">Enter Social Security benefits data (if any, $0 if none) data in section </t>
    </r>
    <r>
      <rPr>
        <b/>
        <sz val="11"/>
        <color indexed="8"/>
        <rFont val="Calibri"/>
        <family val="2"/>
      </rPr>
      <t>5.1</t>
    </r>
    <r>
      <rPr>
        <sz val="11"/>
        <color indexed="8"/>
        <rFont val="Calibri"/>
        <family val="2"/>
      </rPr>
      <t>. First enter the age</t>
    </r>
  </si>
  <si>
    <t xml:space="preserve">    Override Age S1 claims (starts) Social Security=</t>
  </si>
  <si>
    <t xml:space="preserve">   Override Age S2 claims (starts) Social Security=</t>
  </si>
  <si>
    <t xml:space="preserve">    Override increased SS return benefits/yr delay claiming=</t>
  </si>
  <si>
    <t xml:space="preserve">   Override the CPI, enter another value here=</t>
  </si>
  <si>
    <t xml:space="preserve">(Note: to calculate your benefit for when you claim it, enter the value(s) specified in your </t>
  </si>
  <si>
    <r>
      <t xml:space="preserve">See </t>
    </r>
    <r>
      <rPr>
        <u/>
        <sz val="11"/>
        <rFont val="Calibri"/>
        <family val="2"/>
      </rPr>
      <t>SSA to get your estimated benefits statement online</t>
    </r>
    <r>
      <rPr>
        <sz val="11"/>
        <rFont val="Calibri"/>
        <family val="2"/>
      </rPr>
      <t xml:space="preserve"> at:</t>
    </r>
  </si>
  <si>
    <t>get an additional two-thirds of 1% more for each month of delay. You could get about 70% more by waiting until 70.</t>
  </si>
  <si>
    <r>
      <rPr>
        <b/>
        <sz val="12"/>
        <color indexed="8"/>
        <rFont val="Calibri"/>
        <family val="2"/>
      </rPr>
      <t>INSTRUCTIONS:</t>
    </r>
    <r>
      <rPr>
        <sz val="11"/>
        <color indexed="8"/>
        <rFont val="Calibri"/>
        <family val="2"/>
      </rPr>
      <t xml:space="preserve"> Enter annuity income data (if any) in sections </t>
    </r>
    <r>
      <rPr>
        <b/>
        <sz val="11"/>
        <color indexed="8"/>
        <rFont val="Calibri"/>
        <family val="2"/>
      </rPr>
      <t xml:space="preserve">6.1 </t>
    </r>
    <r>
      <rPr>
        <sz val="11"/>
        <color indexed="8"/>
        <rFont val="Calibri"/>
        <family val="2"/>
      </rPr>
      <t xml:space="preserve">and </t>
    </r>
    <r>
      <rPr>
        <b/>
        <sz val="11"/>
        <color indexed="8"/>
        <rFont val="Calibri"/>
        <family val="2"/>
      </rPr>
      <t>6.2</t>
    </r>
    <r>
      <rPr>
        <sz val="11"/>
        <color indexed="8"/>
        <rFont val="Calibri"/>
        <family val="2"/>
      </rPr>
      <t>.  The spreadsheet allows up to</t>
    </r>
  </si>
  <si>
    <t xml:space="preserve">     Override Age S1 Annuity 2=</t>
  </si>
  <si>
    <t xml:space="preserve">     Override Age S2 Annuity 2=</t>
  </si>
  <si>
    <t xml:space="preserve">     Override Age S1 Annuity 2 income=</t>
  </si>
  <si>
    <t xml:space="preserve">     Override Age S2 Annuity 2 income=</t>
  </si>
  <si>
    <t xml:space="preserve">    Override Age S1 starts annuity 1 income=</t>
  </si>
  <si>
    <t xml:space="preserve">    Override Age S2 starts annuity 1 income=</t>
  </si>
  <si>
    <t xml:space="preserve">     Override Age S1 Annuity 1=</t>
  </si>
  <si>
    <t xml:space="preserve">     Override Age S2 Annuity 1=</t>
  </si>
  <si>
    <t>Note that 401(k), (403(b), 457(b), Rollover-IRA and Traditional-IRA accounts data should be entered and a "virtual" tax-deductible</t>
  </si>
  <si>
    <t>Using a "Virtual deductible IRA" to approximate data from multiple tax-deferred accounts</t>
  </si>
  <si>
    <r>
      <t xml:space="preserve">it computes an asset weighted average in table </t>
    </r>
    <r>
      <rPr>
        <b/>
        <sz val="11"/>
        <color indexed="8"/>
        <rFont val="Calibri"/>
        <family val="2"/>
      </rPr>
      <t>7.1.1.1</t>
    </r>
    <r>
      <rPr>
        <sz val="11"/>
        <color indexed="8"/>
        <rFont val="Calibri"/>
        <family val="2"/>
      </rPr>
      <t xml:space="preserve"> to estimate and effective deductible IRA:</t>
    </r>
  </si>
  <si>
    <t xml:space="preserve">A "virtual" deductible IRA  to approximate the data from 401(k), 403(b), 457(b), Rollover-IRA and Traditional-IRA accounts. </t>
  </si>
  <si>
    <t>There will some error associated with using the average "virtual" deductible IRA, which generally not be that significant</t>
  </si>
  <si>
    <r>
      <t xml:space="preserve">Note this </t>
    </r>
    <r>
      <rPr>
        <b/>
        <sz val="11"/>
        <color indexed="8"/>
        <rFont val="Calibri"/>
        <family val="2"/>
      </rPr>
      <t>7. IRAdata</t>
    </r>
    <r>
      <rPr>
        <sz val="11"/>
        <color indexed="8"/>
        <rFont val="Calibri"/>
        <family val="2"/>
      </rPr>
      <t xml:space="preserve"> worksheet does not include Roth IRAS. See the </t>
    </r>
    <r>
      <rPr>
        <b/>
        <sz val="11"/>
        <color indexed="8"/>
        <rFont val="Calibri"/>
        <family val="2"/>
      </rPr>
      <t>8. RothData</t>
    </r>
    <r>
      <rPr>
        <sz val="11"/>
        <color indexed="8"/>
        <rFont val="Calibri"/>
        <family val="2"/>
      </rPr>
      <t xml:space="preserve"> worksheet to enter that type of data.</t>
    </r>
    <r>
      <rPr>
        <b/>
        <sz val="11"/>
        <color indexed="8"/>
        <rFont val="Calibri"/>
        <family val="2"/>
      </rPr>
      <t/>
    </r>
  </si>
  <si>
    <t xml:space="preserve">spouse. Estimates of the Rates Of Return (RORs) for S1 and S2 based on their overall asset allocation from the various tax-deferred </t>
  </si>
  <si>
    <r>
      <t xml:space="preserve">one Scheduled Contribution and one Scheduled Withdrawal for both S1 and S2 in section </t>
    </r>
    <r>
      <rPr>
        <b/>
        <sz val="11"/>
        <color indexed="8"/>
        <rFont val="Calibri"/>
        <family val="2"/>
      </rPr>
      <t>7.1.2</t>
    </r>
    <r>
      <rPr>
        <sz val="11"/>
        <color indexed="8"/>
        <rFont val="Calibri"/>
        <family val="2"/>
      </rPr>
      <t xml:space="preserve"> for deductible-IRA accounts. </t>
    </r>
  </si>
  <si>
    <r>
      <rPr>
        <b/>
        <sz val="11"/>
        <color indexed="8"/>
        <rFont val="Calibri"/>
        <family val="2"/>
      </rPr>
      <t>INSTRUCTIONS:</t>
    </r>
    <r>
      <rPr>
        <sz val="11"/>
        <color indexed="8"/>
        <rFont val="Calibri"/>
        <family val="2"/>
      </rPr>
      <t xml:space="preserve"> Enter  IRA data (if any) in tables </t>
    </r>
    <r>
      <rPr>
        <b/>
        <sz val="11"/>
        <color indexed="8"/>
        <rFont val="Calibri"/>
        <family val="2"/>
      </rPr>
      <t xml:space="preserve">7.1 </t>
    </r>
    <r>
      <rPr>
        <sz val="11"/>
        <color indexed="8"/>
        <rFont val="Calibri"/>
        <family val="2"/>
      </rPr>
      <t xml:space="preserve">through </t>
    </r>
    <r>
      <rPr>
        <b/>
        <sz val="11"/>
        <color indexed="8"/>
        <rFont val="Calibri"/>
        <family val="2"/>
      </rPr>
      <t>7.2</t>
    </r>
    <r>
      <rPr>
        <sz val="11"/>
        <color indexed="8"/>
        <rFont val="Calibri"/>
        <family val="2"/>
      </rPr>
      <t xml:space="preserve"> - </t>
    </r>
    <r>
      <rPr>
        <u/>
        <sz val="11"/>
        <color indexed="8"/>
        <rFont val="Calibri"/>
        <family val="2"/>
      </rPr>
      <t>only in the red cells</t>
    </r>
    <r>
      <rPr>
        <sz val="11"/>
        <color indexed="8"/>
        <rFont val="Calibri"/>
        <family val="2"/>
      </rPr>
      <t>.  First enter the total value of the</t>
    </r>
  </si>
  <si>
    <r>
      <t xml:space="preserve">IRAs as well as the estimated Rate Of Return (ROR) for each spouse's accounts. Part of table </t>
    </r>
    <r>
      <rPr>
        <b/>
        <sz val="11"/>
        <color indexed="8"/>
        <rFont val="Calibri"/>
        <family val="2"/>
      </rPr>
      <t>7.1.1</t>
    </r>
    <r>
      <rPr>
        <sz val="11"/>
        <color indexed="8"/>
        <rFont val="Calibri"/>
        <family val="2"/>
      </rPr>
      <t xml:space="preserve">  estimates the RORs </t>
    </r>
  </si>
  <si>
    <r>
      <t xml:space="preserve">based on your overall Stock:Bond asset allocation using total market averages that you entered in the </t>
    </r>
    <r>
      <rPr>
        <b/>
        <sz val="11"/>
        <color indexed="8"/>
        <rFont val="Calibri"/>
        <family val="2"/>
      </rPr>
      <t>1. AgeData</t>
    </r>
    <r>
      <rPr>
        <sz val="11"/>
        <color indexed="8"/>
        <rFont val="Calibri"/>
        <family val="2"/>
      </rPr>
      <t xml:space="preserve"> </t>
    </r>
  </si>
  <si>
    <t xml:space="preserve">worksheet. Enter any Scheduled Contributions or Withdrawals in section 7.1.2. You may also specify increases to those </t>
  </si>
  <si>
    <t xml:space="preserve">contributions where the starting ages must be greater or equal to the current age(s). Enter any Irregular Contributions </t>
  </si>
  <si>
    <r>
      <t xml:space="preserve">or Withdrawals in the table GUI in section </t>
    </r>
    <r>
      <rPr>
        <b/>
        <sz val="11"/>
        <color indexed="8"/>
        <rFont val="Calibri"/>
        <family val="2"/>
      </rPr>
      <t>7.2</t>
    </r>
    <r>
      <rPr>
        <sz val="11"/>
        <color indexed="8"/>
        <rFont val="Calibri"/>
        <family val="2"/>
      </rPr>
      <t xml:space="preserve"> as separate events for S1 and S2. An event consists of several parameters</t>
    </r>
  </si>
  <si>
    <t>(event-type, IRA-account-type, age-of-event, present-value-of-event). The spreadsheet computes the future value for that</t>
  </si>
  <si>
    <r>
      <t>event which is then used in the calculations. The event-types are (</t>
    </r>
    <r>
      <rPr>
        <b/>
        <sz val="11"/>
        <color indexed="10"/>
        <rFont val="Calibri"/>
        <family val="2"/>
      </rPr>
      <t>U</t>
    </r>
    <r>
      <rPr>
        <sz val="11"/>
        <color indexed="8"/>
        <rFont val="Calibri"/>
        <family val="2"/>
      </rPr>
      <t xml:space="preserve"> for unused, </t>
    </r>
    <r>
      <rPr>
        <b/>
        <sz val="11"/>
        <color indexed="10"/>
        <rFont val="Calibri"/>
        <family val="2"/>
      </rPr>
      <t>C</t>
    </r>
    <r>
      <rPr>
        <sz val="11"/>
        <color indexed="8"/>
        <rFont val="Calibri"/>
        <family val="2"/>
      </rPr>
      <t xml:space="preserve"> for Contribution or </t>
    </r>
    <r>
      <rPr>
        <b/>
        <sz val="11"/>
        <color indexed="10"/>
        <rFont val="Calibri"/>
        <family val="2"/>
      </rPr>
      <t>W</t>
    </r>
    <r>
      <rPr>
        <sz val="11"/>
        <color indexed="8"/>
        <rFont val="Calibri"/>
        <family val="2"/>
      </rPr>
      <t xml:space="preserve"> for Withdrawal, </t>
    </r>
    <r>
      <rPr>
        <b/>
        <sz val="11"/>
        <color rgb="FFFF0000"/>
        <rFont val="Calibri"/>
        <family val="2"/>
      </rPr>
      <t>FC</t>
    </r>
    <r>
      <rPr>
        <sz val="11"/>
        <color indexed="8"/>
        <rFont val="Calibri"/>
        <family val="2"/>
      </rPr>
      <t xml:space="preserve"> for </t>
    </r>
  </si>
  <si>
    <r>
      <t xml:space="preserve">Fixed-Contribution, </t>
    </r>
    <r>
      <rPr>
        <b/>
        <sz val="11"/>
        <color rgb="FFFF0000"/>
        <rFont val="Calibri"/>
        <family val="2"/>
      </rPr>
      <t>FW</t>
    </r>
    <r>
      <rPr>
        <sz val="11"/>
        <color indexed="8"/>
        <rFont val="Calibri"/>
        <family val="2"/>
      </rPr>
      <t xml:space="preserve"> for Fixed-Withdrawal). Select the IRA type to either </t>
    </r>
    <r>
      <rPr>
        <b/>
        <sz val="11"/>
        <color rgb="FFFF0000"/>
        <rFont val="Calibri"/>
        <family val="2"/>
      </rPr>
      <t>IRA</t>
    </r>
    <r>
      <rPr>
        <sz val="11"/>
        <color indexed="8"/>
        <rFont val="Calibri"/>
        <family val="2"/>
      </rPr>
      <t xml:space="preserve">, </t>
    </r>
    <r>
      <rPr>
        <b/>
        <sz val="11"/>
        <color rgb="FFFF0000"/>
        <rFont val="Calibri"/>
        <family val="2"/>
      </rPr>
      <t>inter-5yr</t>
    </r>
    <r>
      <rPr>
        <sz val="11"/>
        <color indexed="8"/>
        <rFont val="Calibri"/>
        <family val="2"/>
      </rPr>
      <t>,</t>
    </r>
    <r>
      <rPr>
        <sz val="11"/>
        <color rgb="FFFF0000"/>
        <rFont val="Calibri"/>
        <family val="2"/>
      </rPr>
      <t xml:space="preserve">  </t>
    </r>
    <r>
      <rPr>
        <b/>
        <sz val="11"/>
        <color rgb="FFFF0000"/>
        <rFont val="Calibri"/>
        <family val="2"/>
      </rPr>
      <t>inter-Life</t>
    </r>
    <r>
      <rPr>
        <sz val="11"/>
        <color indexed="8"/>
        <rFont val="Calibri"/>
        <family val="2"/>
      </rPr>
      <t>, or</t>
    </r>
    <r>
      <rPr>
        <b/>
        <sz val="11"/>
        <color rgb="FFFF0000"/>
        <rFont val="Calibri"/>
        <family val="2"/>
      </rPr>
      <t xml:space="preserve"> non-deduct</t>
    </r>
    <r>
      <rPr>
        <sz val="11"/>
        <color indexed="8"/>
        <rFont val="Calibri"/>
        <family val="2"/>
      </rPr>
      <t>.</t>
    </r>
  </si>
  <si>
    <t>Then enter the age at the time of the event, the reason for the event, and the present value (PV) of the Contribution or</t>
  </si>
  <si>
    <r>
      <t xml:space="preserve">Withdrawal in the </t>
    </r>
    <r>
      <rPr>
        <u/>
        <sz val="11"/>
        <color indexed="8"/>
        <rFont val="Calibri"/>
        <family val="2"/>
      </rPr>
      <t>red</t>
    </r>
    <r>
      <rPr>
        <sz val="11"/>
        <color indexed="8"/>
        <rFont val="Calibri"/>
        <family val="2"/>
      </rPr>
      <t xml:space="preserve"> cells only.  Additional tables </t>
    </r>
    <r>
      <rPr>
        <b/>
        <sz val="11"/>
        <color indexed="8"/>
        <rFont val="Calibri"/>
        <family val="2"/>
      </rPr>
      <t>7.3</t>
    </r>
    <r>
      <rPr>
        <sz val="11"/>
        <color indexed="8"/>
        <rFont val="Calibri"/>
        <family val="2"/>
      </rPr>
      <t xml:space="preserve"> through </t>
    </r>
    <r>
      <rPr>
        <b/>
        <sz val="11"/>
        <color indexed="8"/>
        <rFont val="Calibri"/>
        <family val="2"/>
      </rPr>
      <t xml:space="preserve">7.6 </t>
    </r>
    <r>
      <rPr>
        <sz val="11"/>
        <color indexed="8"/>
        <rFont val="Calibri"/>
        <family val="2"/>
      </rPr>
      <t xml:space="preserve">below are computed from the entered data and </t>
    </r>
  </si>
  <si>
    <t xml:space="preserve">and there is no Cash. Or you can just  override them. We use bond to indicate fixed-income which can include </t>
  </si>
  <si>
    <t xml:space="preserve">Note: estimate the Rate Of Return (ROR) entries by entering the percent stocks. It assumes bonds are (100% - % stocks) </t>
  </si>
  <si>
    <t>The default ROR is estimated as (Ps*Rs + Pb*Rb)/(Ps+Pb) with Ps (% stocks) and Pb (% bonds).</t>
  </si>
  <si>
    <t>Enter data for any of these accounts that apply. Enter $0 for any account you do not have.</t>
  </si>
  <si>
    <t>Enter data for any of these inherited-IRA accounts that apply. Enter $0 for any account that does not apply.</t>
  </si>
  <si>
    <t>withdrawal, the end age  must be greater than the start age. The spreadsheet assumes that the RMD for inherited-IRA</t>
  </si>
  <si>
    <t>starts on that year it is inherited. The Start/End withdrawal ages are different than the RMD age assuming scheduled</t>
  </si>
  <si>
    <t xml:space="preserve">withdrawals are made. Note: the start date for inherited-IRAs is the RMD date. The start date for deductible-IRAs </t>
  </si>
  <si>
    <t xml:space="preserve">is 70 1/2. Note RMDs are used in addition to scheduled withdrawals for the all IRAs. </t>
  </si>
  <si>
    <t>Enter data for any of these accounts that are applicable. Enter $0 for any account that is not applicable.</t>
  </si>
  <si>
    <t>Enter data for any of these inherited-IRA accounts that are applicable. Enter $0 for any accounts that are not applicable</t>
  </si>
  <si>
    <r>
      <t xml:space="preserve">Note (4) enable/disable using irregular contributions and withdrawals in the </t>
    </r>
    <r>
      <rPr>
        <b/>
        <sz val="11"/>
        <color indexed="8"/>
        <rFont val="Calibri"/>
        <family val="2"/>
      </rPr>
      <t>Setup</t>
    </r>
    <r>
      <rPr>
        <sz val="11"/>
        <color theme="1"/>
        <rFont val="Calibri"/>
        <family val="2"/>
        <scheme val="minor"/>
      </rPr>
      <t xml:space="preserve"> worksheet </t>
    </r>
    <r>
      <rPr>
        <b/>
        <sz val="11"/>
        <color indexed="8"/>
        <rFont val="Calibri"/>
        <family val="2"/>
      </rPr>
      <t>S.2</t>
    </r>
    <r>
      <rPr>
        <sz val="11"/>
        <color theme="1"/>
        <rFont val="Calibri"/>
        <family val="2"/>
        <scheme val="minor"/>
      </rPr>
      <t>.</t>
    </r>
  </si>
  <si>
    <t>Note(5) The spreadsheet does not handle non-deductible IRAs.</t>
  </si>
  <si>
    <t>Note (1) Contributions and/or withdrawals can be entered for the same year by adding additional events.</t>
  </si>
  <si>
    <r>
      <t xml:space="preserve">For entering your data, we recommend using the </t>
    </r>
    <r>
      <rPr>
        <b/>
        <i/>
        <sz val="11"/>
        <color indexed="8"/>
        <rFont val="Calibri"/>
        <family val="2"/>
      </rPr>
      <t>-User-</t>
    </r>
    <r>
      <rPr>
        <sz val="11"/>
        <color indexed="8"/>
        <rFont val="Calibri"/>
        <family val="2"/>
      </rPr>
      <t xml:space="preserve"> file version of the spreadsheet. Alternatively, delete the</t>
    </r>
  </si>
  <si>
    <r>
      <t>current entries in the -</t>
    </r>
    <r>
      <rPr>
        <b/>
        <sz val="11"/>
        <color indexed="8"/>
        <rFont val="Calibri"/>
        <family val="2"/>
      </rPr>
      <t>Demo</t>
    </r>
    <r>
      <rPr>
        <sz val="11"/>
        <color indexed="8"/>
        <rFont val="Calibri"/>
        <family val="2"/>
      </rPr>
      <t>- version and replace them with "</t>
    </r>
    <r>
      <rPr>
        <b/>
        <sz val="11"/>
        <color rgb="FFFF0000"/>
        <rFont val="Calibri"/>
        <family val="2"/>
      </rPr>
      <t>E  0 &lt;blank&gt; $0</t>
    </r>
    <r>
      <rPr>
        <sz val="11"/>
        <color indexed="8"/>
        <rFont val="Calibri"/>
        <family val="2"/>
      </rPr>
      <t>" for each entry (in the rows below</t>
    </r>
  </si>
  <si>
    <t>be taxed are the marginal tax rate  (as required).</t>
  </si>
  <si>
    <r>
      <t>IRA is computed used in further calculations. It is assumed that when entered work Income (</t>
    </r>
    <r>
      <rPr>
        <b/>
        <sz val="11"/>
        <color indexed="8"/>
        <rFont val="Calibri"/>
        <family val="2"/>
      </rPr>
      <t xml:space="preserve">3. WorkData </t>
    </r>
    <r>
      <rPr>
        <sz val="11"/>
        <color indexed="8"/>
        <rFont val="Calibri"/>
        <family val="2"/>
      </rPr>
      <t>worksheet) the</t>
    </r>
  </si>
  <si>
    <t xml:space="preserve">amount being contributed to the tax-deferred retirement account  is subtracted from the work account to avoid double counting </t>
  </si>
  <si>
    <r>
      <t xml:space="preserve">it. Enter that amount being contribute and withdrawn in section </t>
    </r>
    <r>
      <rPr>
        <b/>
        <sz val="11"/>
        <color indexed="8"/>
        <rFont val="Calibri"/>
        <family val="2"/>
      </rPr>
      <t>7.1.2</t>
    </r>
    <r>
      <rPr>
        <sz val="11"/>
        <color indexed="8"/>
        <rFont val="Calibri"/>
        <family val="2"/>
      </rPr>
      <t>. Then withdrawals and RMDs from IRA accounts will</t>
    </r>
  </si>
  <si>
    <t>Enter data for Roth, inherited-Roth or 401(k)-Roth type nondeductible accounts.</t>
  </si>
  <si>
    <t xml:space="preserve">         8.1.1 Enter the current tax-free deferred values for Roth accounts</t>
  </si>
  <si>
    <t>8.1.1 Enter the current tax-free deferred values for Roth accounts</t>
  </si>
  <si>
    <t>A.1 Worksheets where data is entered</t>
  </si>
  <si>
    <t xml:space="preserve"> A.1 Worksheets where data is entered</t>
  </si>
  <si>
    <t>(worksheets where data may be entered)</t>
  </si>
  <si>
    <r>
      <t xml:space="preserve">You must </t>
    </r>
    <r>
      <rPr>
        <b/>
        <u/>
        <sz val="11"/>
        <color indexed="8"/>
        <rFont val="Calibri"/>
        <family val="2"/>
      </rPr>
      <t>first</t>
    </r>
    <r>
      <rPr>
        <b/>
        <sz val="11"/>
        <color indexed="8"/>
        <rFont val="Calibri"/>
        <family val="2"/>
      </rPr>
      <t xml:space="preserve"> state preferences for which types of accounts will be used for subsequent entering data</t>
    </r>
  </si>
  <si>
    <t xml:space="preserve">   S.1 Configure the spreadsheet so that it applies to your situation.</t>
  </si>
  <si>
    <t xml:space="preserve">Worksheets where data may be entered for Income Sources, Investment Accounts, and Expenses. </t>
  </si>
  <si>
    <t>Data may be entered in any order.</t>
  </si>
  <si>
    <t>Enter several types of taxable-IRAs per spouse: traditional Roth/401(k)-Roth, inherited-Roth.</t>
  </si>
  <si>
    <t>Enter data for Roth, inherited-Roth or 401(k)-Roth type nondeductible accounts data. Roth withdrawals are tax-free.</t>
  </si>
  <si>
    <t xml:space="preserve">Other types of tax-deferred retirement savings accounts such as tax-deferred deductible-IRAs. 403(b), 457(b) </t>
  </si>
  <si>
    <r>
      <t xml:space="preserve">accounts are entered in the </t>
    </r>
    <r>
      <rPr>
        <b/>
        <sz val="11"/>
        <color indexed="8"/>
        <rFont val="Calibri"/>
        <family val="2"/>
      </rPr>
      <t>7. IRAdata</t>
    </r>
    <r>
      <rPr>
        <sz val="11"/>
        <color indexed="8"/>
        <rFont val="Calibri"/>
        <family val="2"/>
      </rPr>
      <t xml:space="preserve"> worksheet, Non-retirement investment accounts are entered in the taxable</t>
    </r>
    <r>
      <rPr>
        <b/>
        <sz val="11"/>
        <color indexed="8"/>
        <rFont val="Calibri"/>
        <family val="2"/>
      </rPr>
      <t/>
    </r>
  </si>
  <si>
    <r>
      <rPr>
        <b/>
        <sz val="11"/>
        <color theme="1"/>
        <rFont val="Calibri"/>
        <family val="2"/>
        <scheme val="minor"/>
      </rPr>
      <t>9. SavingsData</t>
    </r>
    <r>
      <rPr>
        <sz val="11"/>
        <color theme="1"/>
        <rFont val="Calibri"/>
        <family val="2"/>
        <scheme val="minor"/>
      </rPr>
      <t xml:space="preserve"> account. If each spouse S1 and S2 has multiple accounts of the same type of Roth, then use the totals</t>
    </r>
  </si>
  <si>
    <r>
      <t xml:space="preserve">for each. Data is entered in the table-GUIs in sections </t>
    </r>
    <r>
      <rPr>
        <b/>
        <sz val="11"/>
        <color indexed="8"/>
        <rFont val="Calibri"/>
        <family val="2"/>
      </rPr>
      <t>8.1.1</t>
    </r>
    <r>
      <rPr>
        <sz val="11"/>
        <color indexed="8"/>
        <rFont val="Calibri"/>
        <family val="2"/>
      </rPr>
      <t xml:space="preserve"> and</t>
    </r>
    <r>
      <rPr>
        <b/>
        <sz val="11"/>
        <color indexed="8"/>
        <rFont val="Calibri"/>
        <family val="2"/>
      </rPr>
      <t xml:space="preserve"> 8.1.2</t>
    </r>
    <r>
      <rPr>
        <sz val="11"/>
        <color indexed="8"/>
        <rFont val="Calibri"/>
        <family val="2"/>
      </rPr>
      <t xml:space="preserve"> below.  If applicable, enter data for scheduled</t>
    </r>
  </si>
  <si>
    <t>contributions and withdrawals for each account. Enter the Rates Of Return (ROR) for each account for S1 and S2 by</t>
  </si>
  <si>
    <t>specifying the % stocks (the % bonds is estimated at 100% - % stocks). The spreadsheet estimates the ROR that you</t>
  </si>
  <si>
    <r>
      <t xml:space="preserve">section </t>
    </r>
    <r>
      <rPr>
        <b/>
        <sz val="11"/>
        <color indexed="8"/>
        <rFont val="Calibri"/>
        <family val="2"/>
      </rPr>
      <t xml:space="preserve">8.1.2 </t>
    </r>
    <r>
      <rPr>
        <sz val="11"/>
        <color indexed="8"/>
        <rFont val="Calibri"/>
        <family val="2"/>
      </rPr>
      <t>for deductible-IRA. accounts. If you have more scheduled events then you must enter them as</t>
    </r>
  </si>
  <si>
    <r>
      <t xml:space="preserve">irregular contributions and/or withdrawals in the table </t>
    </r>
    <r>
      <rPr>
        <b/>
        <sz val="11"/>
        <color indexed="8"/>
        <rFont val="Calibri"/>
        <family val="2"/>
      </rPr>
      <t>8.2</t>
    </r>
    <r>
      <rPr>
        <sz val="11"/>
        <color indexed="8"/>
        <rFont val="Calibri"/>
        <family val="2"/>
      </rPr>
      <t>. This worksheet computes additional tables that are used</t>
    </r>
  </si>
  <si>
    <t>in the R. Results worksheet. RMDs for the inherited Roths and the 401(k) Roths will begin at age 70, with some</t>
  </si>
  <si>
    <t>inherited-Roths' RMDs starting when they are inherited.</t>
  </si>
  <si>
    <r>
      <t xml:space="preserve">then used in the </t>
    </r>
    <r>
      <rPr>
        <b/>
        <sz val="11"/>
        <color indexed="8"/>
        <rFont val="Calibri"/>
        <family val="2"/>
      </rPr>
      <t>R. Results</t>
    </r>
    <r>
      <rPr>
        <sz val="11"/>
        <color indexed="8"/>
        <rFont val="Calibri"/>
        <family val="2"/>
      </rPr>
      <t xml:space="preserve"> worksheet. Table</t>
    </r>
    <r>
      <rPr>
        <b/>
        <sz val="11"/>
        <color indexed="8"/>
        <rFont val="Calibri"/>
        <family val="2"/>
      </rPr>
      <t xml:space="preserve"> 7.3</t>
    </r>
    <r>
      <rPr>
        <sz val="11"/>
        <color indexed="8"/>
        <rFont val="Calibri"/>
        <family val="2"/>
      </rPr>
      <t xml:space="preserve">  is a summary of yearly values and total values of all IRA accounts for S1 and S2.</t>
    </r>
  </si>
  <si>
    <r>
      <rPr>
        <b/>
        <sz val="11"/>
        <color indexed="8"/>
        <rFont val="Calibri"/>
        <family val="2"/>
      </rPr>
      <t>INSTRUCTIONS:</t>
    </r>
    <r>
      <rPr>
        <sz val="11"/>
        <color indexed="8"/>
        <rFont val="Calibri"/>
        <family val="2"/>
      </rPr>
      <t xml:space="preserve"> Enter  Roth data (if any) in tables </t>
    </r>
    <r>
      <rPr>
        <b/>
        <sz val="11"/>
        <color indexed="8"/>
        <rFont val="Calibri"/>
        <family val="2"/>
      </rPr>
      <t xml:space="preserve">8.1 </t>
    </r>
    <r>
      <rPr>
        <sz val="11"/>
        <color indexed="8"/>
        <rFont val="Calibri"/>
        <family val="2"/>
      </rPr>
      <t xml:space="preserve">through </t>
    </r>
    <r>
      <rPr>
        <b/>
        <sz val="11"/>
        <color indexed="8"/>
        <rFont val="Calibri"/>
        <family val="2"/>
      </rPr>
      <t>8.2</t>
    </r>
    <r>
      <rPr>
        <sz val="11"/>
        <color indexed="8"/>
        <rFont val="Calibri"/>
        <family val="2"/>
      </rPr>
      <t xml:space="preserve"> - </t>
    </r>
    <r>
      <rPr>
        <u/>
        <sz val="11"/>
        <color indexed="8"/>
        <rFont val="Calibri"/>
        <family val="2"/>
      </rPr>
      <t>only in the red cells</t>
    </r>
    <r>
      <rPr>
        <sz val="11"/>
        <color indexed="8"/>
        <rFont val="Calibri"/>
        <family val="2"/>
      </rPr>
      <t>.  First enter the total value of the</t>
    </r>
  </si>
  <si>
    <r>
      <t xml:space="preserve">Roths as well as the estimated Rate Of Return (ROR) for each spouse's accounts. Part of table </t>
    </r>
    <r>
      <rPr>
        <b/>
        <sz val="11"/>
        <color indexed="8"/>
        <rFont val="Calibri"/>
        <family val="2"/>
      </rPr>
      <t>8.1.1</t>
    </r>
    <r>
      <rPr>
        <sz val="11"/>
        <color indexed="8"/>
        <rFont val="Calibri"/>
        <family val="2"/>
      </rPr>
      <t xml:space="preserve">  estimates the RORs </t>
    </r>
  </si>
  <si>
    <r>
      <t xml:space="preserve">Fixed-Contribution, </t>
    </r>
    <r>
      <rPr>
        <b/>
        <sz val="11"/>
        <color rgb="FFFF0000"/>
        <rFont val="Calibri"/>
        <family val="2"/>
      </rPr>
      <t>FW</t>
    </r>
    <r>
      <rPr>
        <sz val="11"/>
        <color indexed="8"/>
        <rFont val="Calibri"/>
        <family val="2"/>
      </rPr>
      <t xml:space="preserve"> for Fixed-Withdrawal). Select the Roth type to either </t>
    </r>
    <r>
      <rPr>
        <b/>
        <sz val="11"/>
        <color rgb="FFFF0000"/>
        <rFont val="Calibri"/>
        <family val="2"/>
      </rPr>
      <t>Roth,</t>
    </r>
    <r>
      <rPr>
        <sz val="11"/>
        <color indexed="8"/>
        <rFont val="Calibri"/>
        <family val="2"/>
      </rPr>
      <t xml:space="preserve"> </t>
    </r>
    <r>
      <rPr>
        <b/>
        <sz val="11"/>
        <color rgb="FFFF0000"/>
        <rFont val="Calibri"/>
        <family val="2"/>
      </rPr>
      <t>inter-5yr</t>
    </r>
    <r>
      <rPr>
        <sz val="11"/>
        <color indexed="8"/>
        <rFont val="Calibri"/>
        <family val="2"/>
      </rPr>
      <t>,</t>
    </r>
    <r>
      <rPr>
        <sz val="11"/>
        <color rgb="FFFF0000"/>
        <rFont val="Calibri"/>
        <family val="2"/>
      </rPr>
      <t xml:space="preserve">  </t>
    </r>
    <r>
      <rPr>
        <b/>
        <sz val="11"/>
        <color rgb="FFFF0000"/>
        <rFont val="Calibri"/>
        <family val="2"/>
      </rPr>
      <t>inter-Life</t>
    </r>
    <r>
      <rPr>
        <sz val="11"/>
        <color indexed="8"/>
        <rFont val="Calibri"/>
        <family val="2"/>
      </rPr>
      <t>, or</t>
    </r>
    <r>
      <rPr>
        <b/>
        <sz val="11"/>
        <color rgb="FFFF0000"/>
        <rFont val="Calibri"/>
        <family val="2"/>
      </rPr>
      <t xml:space="preserve"> non-deduct</t>
    </r>
    <r>
      <rPr>
        <sz val="11"/>
        <color indexed="8"/>
        <rFont val="Calibri"/>
        <family val="2"/>
      </rPr>
      <t>.</t>
    </r>
  </si>
  <si>
    <r>
      <t xml:space="preserve">or Withdrawals in the table GUI in section </t>
    </r>
    <r>
      <rPr>
        <b/>
        <sz val="11"/>
        <color indexed="8"/>
        <rFont val="Calibri"/>
        <family val="2"/>
      </rPr>
      <t>8.2</t>
    </r>
    <r>
      <rPr>
        <sz val="11"/>
        <color indexed="8"/>
        <rFont val="Calibri"/>
        <family val="2"/>
      </rPr>
      <t xml:space="preserve"> as separate events for S1 and S2. An event consists of several parameters</t>
    </r>
  </si>
  <si>
    <r>
      <t xml:space="preserve">worksheet. Enter any scheduled contributions or withdrawals in section </t>
    </r>
    <r>
      <rPr>
        <b/>
        <sz val="11"/>
        <color indexed="8"/>
        <rFont val="Calibri"/>
        <family val="2"/>
      </rPr>
      <t>8.1.2</t>
    </r>
    <r>
      <rPr>
        <sz val="11"/>
        <color indexed="8"/>
        <rFont val="Calibri"/>
        <family val="2"/>
      </rPr>
      <t xml:space="preserve">. You may also specify increases to those </t>
    </r>
  </si>
  <si>
    <r>
      <t xml:space="preserve">Withdrawal in the </t>
    </r>
    <r>
      <rPr>
        <u/>
        <sz val="11"/>
        <color indexed="8"/>
        <rFont val="Calibri"/>
        <family val="2"/>
      </rPr>
      <t>red</t>
    </r>
    <r>
      <rPr>
        <sz val="11"/>
        <color indexed="8"/>
        <rFont val="Calibri"/>
        <family val="2"/>
      </rPr>
      <t xml:space="preserve"> cells only.  Additional tables </t>
    </r>
    <r>
      <rPr>
        <b/>
        <sz val="11"/>
        <color indexed="8"/>
        <rFont val="Calibri"/>
        <family val="2"/>
      </rPr>
      <t>8.3</t>
    </r>
    <r>
      <rPr>
        <sz val="11"/>
        <color indexed="8"/>
        <rFont val="Calibri"/>
        <family val="2"/>
      </rPr>
      <t xml:space="preserve"> through </t>
    </r>
    <r>
      <rPr>
        <b/>
        <sz val="11"/>
        <color indexed="8"/>
        <rFont val="Calibri"/>
        <family val="2"/>
      </rPr>
      <t xml:space="preserve">8.6 </t>
    </r>
    <r>
      <rPr>
        <sz val="11"/>
        <color indexed="8"/>
        <rFont val="Calibri"/>
        <family val="2"/>
      </rPr>
      <t>below are computed from the entered data and then</t>
    </r>
  </si>
  <si>
    <r>
      <t xml:space="preserve">used in the </t>
    </r>
    <r>
      <rPr>
        <b/>
        <sz val="11"/>
        <color indexed="8"/>
        <rFont val="Calibri"/>
        <family val="2"/>
      </rPr>
      <t>R. Results</t>
    </r>
    <r>
      <rPr>
        <sz val="11"/>
        <color indexed="8"/>
        <rFont val="Calibri"/>
        <family val="2"/>
      </rPr>
      <t xml:space="preserve"> worksheet. Table</t>
    </r>
    <r>
      <rPr>
        <b/>
        <sz val="11"/>
        <color indexed="8"/>
        <rFont val="Calibri"/>
        <family val="2"/>
      </rPr>
      <t xml:space="preserve"> 8.3</t>
    </r>
    <r>
      <rPr>
        <sz val="11"/>
        <color indexed="8"/>
        <rFont val="Calibri"/>
        <family val="2"/>
      </rPr>
      <t xml:space="preserve">  is a summary of yearly values and total values of all Roth accounts for S1 and S2.</t>
    </r>
  </si>
  <si>
    <r>
      <t>This worksheet adds up all sources of non-</t>
    </r>
    <r>
      <rPr>
        <u/>
        <sz val="12"/>
        <color indexed="8"/>
        <rFont val="Calibri"/>
        <family val="2"/>
        <scheme val="minor"/>
      </rPr>
      <t>taxable Roth IRA assets</t>
    </r>
    <r>
      <rPr>
        <sz val="12"/>
        <color indexed="8"/>
        <rFont val="Calibri"/>
        <family val="2"/>
        <scheme val="minor"/>
      </rPr>
      <t xml:space="preserve"> such as Roths, inherited-Roths, and 401(k)-Roths. </t>
    </r>
  </si>
  <si>
    <t xml:space="preserve">Only the Roth type IRA does not require distributions in your lifetime. The 401(k)-Roth uses the standard </t>
  </si>
  <si>
    <t>This worksheet estimates the Rate Of Return (ROR) entries for each type of Roth account by entering the percent of</t>
  </si>
  <si>
    <t>to indicate fixed-income which can include bonds, bond funds, CDs, money markets, cash, etc.</t>
  </si>
  <si>
    <r>
      <t xml:space="preserve">Enter data in the </t>
    </r>
    <r>
      <rPr>
        <b/>
        <u/>
        <sz val="11"/>
        <color rgb="FFFF0000"/>
        <rFont val="Calibri"/>
        <family val="2"/>
        <scheme val="minor"/>
      </rPr>
      <t>red cells</t>
    </r>
    <r>
      <rPr>
        <b/>
        <sz val="11"/>
        <color theme="1"/>
        <rFont val="Calibri"/>
        <family val="2"/>
        <scheme val="minor"/>
      </rPr>
      <t xml:space="preserve"> in the following tables for your types of Roths. Ignore any cells with a gray background</t>
    </r>
  </si>
  <si>
    <r>
      <t xml:space="preserve">Enter data in the following table in the </t>
    </r>
    <r>
      <rPr>
        <u val="singleAccounting"/>
        <sz val="11"/>
        <color rgb="FFFF6600"/>
        <rFont val="Calibri"/>
        <family val="2"/>
      </rPr>
      <t>red</t>
    </r>
    <r>
      <rPr>
        <sz val="11"/>
        <rFont val="Calibri"/>
        <family val="2"/>
      </rPr>
      <t xml:space="preserve"> cells. If there is a contribution or withdrawal, the end age  must</t>
    </r>
  </si>
  <si>
    <t>be greater than the start age. We assume that the RMD for inherited-Roths starts on that year it is inherited.</t>
  </si>
  <si>
    <r>
      <t xml:space="preserve">Note RMDs are used </t>
    </r>
    <r>
      <rPr>
        <u val="singleAccounting"/>
        <sz val="11"/>
        <rFont val="Calibri"/>
        <family val="2"/>
      </rPr>
      <t xml:space="preserve">in addition to </t>
    </r>
    <r>
      <rPr>
        <sz val="11"/>
        <rFont val="Calibri"/>
        <family val="2"/>
      </rPr>
      <t>scheduled withdrawals for the inherited-Roths and 401-(k)-Roth.</t>
    </r>
  </si>
  <si>
    <t xml:space="preserve"> Note: the start date for inherited-Roths is the RMD date. The start date for inherited-Roths is 70 1/2.</t>
  </si>
  <si>
    <t xml:space="preserve"> Note RMDs are used in addition to scheduled withdrawals for the all IRAs. </t>
  </si>
  <si>
    <t>Enter data for irregular contributions and withdrawals for the four different types of Roth accounts, except that the inherited-</t>
  </si>
  <si>
    <t>Roths may not accept contributions. The money that is withdrawn is put into the Cash account where expenses will be deducted.</t>
  </si>
  <si>
    <t>Note (1) contributions and/or withdrawals may be entered for the same year by adding additional events.</t>
  </si>
  <si>
    <r>
      <t xml:space="preserve">Note (3) The following table shows some examples. Set the red S1 and S2 </t>
    </r>
    <r>
      <rPr>
        <b/>
        <sz val="11"/>
        <color indexed="10"/>
        <rFont val="Calibri"/>
        <family val="2"/>
      </rPr>
      <t>age</t>
    </r>
    <r>
      <rPr>
        <sz val="11"/>
        <color theme="1"/>
        <rFont val="Calibri"/>
        <family val="2"/>
        <scheme val="minor"/>
      </rPr>
      <t xml:space="preserve"> values to 0 and  </t>
    </r>
  </si>
  <si>
    <r>
      <t xml:space="preserve">Note (4) Enable/disable using irregular contributions and withdrawals in the </t>
    </r>
    <r>
      <rPr>
        <b/>
        <sz val="11"/>
        <color indexed="8"/>
        <rFont val="Calibri"/>
        <family val="2"/>
      </rPr>
      <t>Setup</t>
    </r>
    <r>
      <rPr>
        <sz val="11"/>
        <color theme="1"/>
        <rFont val="Calibri"/>
        <family val="2"/>
        <scheme val="minor"/>
      </rPr>
      <t xml:space="preserve"> worksheet </t>
    </r>
    <r>
      <rPr>
        <b/>
        <sz val="11"/>
        <color indexed="8"/>
        <rFont val="Calibri"/>
        <family val="2"/>
      </rPr>
      <t>S.2.</t>
    </r>
  </si>
  <si>
    <t xml:space="preserve">deductible IRAs in this spreadsheet. Enter data in the following table in the red cells. If there is a contribution or </t>
  </si>
  <si>
    <t xml:space="preserve">accounts, and CDs. </t>
  </si>
  <si>
    <t>Enter data for taxable savings for S1 and S2. This includes taxable investment accounts, bank accounts, money market</t>
  </si>
  <si>
    <t>Enter data for taxable savings for S1 and S2. This includes taxable investment accounts, bank accounts, money market accounts,</t>
  </si>
  <si>
    <r>
      <t xml:space="preserve">and CDs. You must enter tax-deferred IRA data in the </t>
    </r>
    <r>
      <rPr>
        <b/>
        <sz val="11"/>
        <color indexed="8"/>
        <rFont val="Calibri"/>
        <family val="2"/>
      </rPr>
      <t>7. IRAdata</t>
    </r>
    <r>
      <rPr>
        <sz val="11"/>
        <color theme="1"/>
        <rFont val="Calibri"/>
        <family val="2"/>
        <scheme val="minor"/>
      </rPr>
      <t xml:space="preserve"> worksheet and Roth IRA data in the </t>
    </r>
    <r>
      <rPr>
        <b/>
        <sz val="11"/>
        <color indexed="8"/>
        <rFont val="Calibri"/>
        <family val="2"/>
      </rPr>
      <t>8. RothData</t>
    </r>
    <r>
      <rPr>
        <sz val="11"/>
        <color indexed="8"/>
        <rFont val="Calibri"/>
        <family val="2"/>
      </rPr>
      <t xml:space="preserve"> worksheet.</t>
    </r>
  </si>
  <si>
    <t xml:space="preserve">If each spouse S1 and S2 has multiple accounts, then use the totals for each spouse accounts. The Rate Of Returns (ROR) for S1 </t>
  </si>
  <si>
    <r>
      <t>accounts. Override the computed estimates for the default RORs computed in the data-entry table-GUI</t>
    </r>
    <r>
      <rPr>
        <b/>
        <sz val="11"/>
        <color indexed="8"/>
        <rFont val="Calibri"/>
        <family val="2"/>
      </rPr>
      <t xml:space="preserve"> 7.1.1</t>
    </r>
    <r>
      <rPr>
        <sz val="11"/>
        <color indexed="8"/>
        <rFont val="Calibri"/>
        <family val="2"/>
      </rPr>
      <t>.  Optionally enter</t>
    </r>
  </si>
  <si>
    <r>
      <t>tables below using the data entered in  Sections</t>
    </r>
    <r>
      <rPr>
        <b/>
        <sz val="11"/>
        <rFont val="Calibri"/>
        <family val="2"/>
        <scheme val="minor"/>
      </rPr>
      <t xml:space="preserve"> 7.1</t>
    </r>
    <r>
      <rPr>
        <sz val="11"/>
        <rFont val="Calibri"/>
        <family val="2"/>
        <scheme val="minor"/>
      </rPr>
      <t xml:space="preserve"> and </t>
    </r>
    <r>
      <rPr>
        <b/>
        <sz val="11"/>
        <rFont val="Calibri"/>
        <family val="2"/>
        <scheme val="minor"/>
      </rPr>
      <t xml:space="preserve">7.2 </t>
    </r>
    <r>
      <rPr>
        <sz val="11"/>
        <rFont val="Calibri"/>
        <family val="2"/>
        <scheme val="minor"/>
      </rPr>
      <t>where intermediate results are computed for the scheduled</t>
    </r>
  </si>
  <si>
    <t xml:space="preserve">override. If applicable, enter one scheduled contribution and one scheduled withdrawal for both S1 and S2 in </t>
  </si>
  <si>
    <t xml:space="preserve">stocks. It assumes bonds are (100% - % stocks). However, the computed RPR can be overridden in table 8.1.1. We use bond </t>
  </si>
  <si>
    <r>
      <t>and S2 are estimated in section</t>
    </r>
    <r>
      <rPr>
        <b/>
        <sz val="11"/>
        <color theme="1"/>
        <rFont val="Calibri"/>
        <family val="2"/>
        <scheme val="minor"/>
      </rPr>
      <t xml:space="preserve"> </t>
    </r>
    <r>
      <rPr>
        <b/>
        <sz val="11"/>
        <color indexed="8"/>
        <rFont val="Calibri"/>
        <family val="2"/>
      </rPr>
      <t>9.1.1</t>
    </r>
    <r>
      <rPr>
        <sz val="11"/>
        <color theme="1"/>
        <rFont val="Calibri"/>
        <family val="2"/>
        <scheme val="minor"/>
      </rPr>
      <t xml:space="preserve"> by entering the percentages of stocks, bonds and cash. Estimated RORs may be overridden.</t>
    </r>
  </si>
  <si>
    <t>If applicable, enter one scheduled Contribution and one scheduled Withdrawal each for S1 and S2. If there are additional</t>
  </si>
  <si>
    <t>contribution or withdrawal events then enter them as irregular contributions and/or withdrawals.</t>
  </si>
  <si>
    <r>
      <rPr>
        <b/>
        <sz val="11"/>
        <color indexed="8"/>
        <rFont val="Calibri"/>
        <family val="2"/>
      </rPr>
      <t>INSTRUCTIONS:</t>
    </r>
    <r>
      <rPr>
        <sz val="11"/>
        <color indexed="8"/>
        <rFont val="Calibri"/>
        <family val="2"/>
      </rPr>
      <t xml:space="preserve"> Enter taxable savings data (if any) in tables </t>
    </r>
    <r>
      <rPr>
        <b/>
        <sz val="11"/>
        <color indexed="8"/>
        <rFont val="Calibri"/>
        <family val="2"/>
      </rPr>
      <t xml:space="preserve">9.1 </t>
    </r>
    <r>
      <rPr>
        <sz val="11"/>
        <color indexed="8"/>
        <rFont val="Calibri"/>
        <family val="2"/>
      </rPr>
      <t xml:space="preserve">through </t>
    </r>
    <r>
      <rPr>
        <b/>
        <sz val="11"/>
        <color indexed="8"/>
        <rFont val="Calibri"/>
        <family val="2"/>
      </rPr>
      <t>9.2</t>
    </r>
    <r>
      <rPr>
        <sz val="11"/>
        <color indexed="8"/>
        <rFont val="Calibri"/>
        <family val="2"/>
      </rPr>
      <t xml:space="preserve"> - </t>
    </r>
    <r>
      <rPr>
        <u/>
        <sz val="11"/>
        <color indexed="8"/>
        <rFont val="Calibri"/>
        <family val="2"/>
      </rPr>
      <t>only in the red cells</t>
    </r>
    <r>
      <rPr>
        <sz val="11"/>
        <color indexed="8"/>
        <rFont val="Calibri"/>
        <family val="2"/>
      </rPr>
      <t>.  First enter the total value of</t>
    </r>
  </si>
  <si>
    <r>
      <t xml:space="preserve">the savings as well as the estimated Rate Of Return (ROR) for each spouse's accounts. Part of table </t>
    </r>
    <r>
      <rPr>
        <b/>
        <sz val="11"/>
        <color indexed="8"/>
        <rFont val="Calibri"/>
        <family val="2"/>
      </rPr>
      <t>9.1.1</t>
    </r>
    <r>
      <rPr>
        <sz val="11"/>
        <color indexed="8"/>
        <rFont val="Calibri"/>
        <family val="2"/>
      </rPr>
      <t xml:space="preserve">  estimates the RORs </t>
    </r>
  </si>
  <si>
    <r>
      <t>worksheet. Enter any scheduled contributions or withdrawals in section 9</t>
    </r>
    <r>
      <rPr>
        <b/>
        <sz val="11"/>
        <color indexed="8"/>
        <rFont val="Calibri"/>
        <family val="2"/>
      </rPr>
      <t>.1.2</t>
    </r>
    <r>
      <rPr>
        <sz val="11"/>
        <color indexed="8"/>
        <rFont val="Calibri"/>
        <family val="2"/>
      </rPr>
      <t xml:space="preserve">. You may also specify increases to those </t>
    </r>
  </si>
  <si>
    <r>
      <t xml:space="preserve">Fixed-Contribution, </t>
    </r>
    <r>
      <rPr>
        <b/>
        <sz val="11"/>
        <color rgb="FFFF0000"/>
        <rFont val="Calibri"/>
        <family val="2"/>
      </rPr>
      <t>FW</t>
    </r>
    <r>
      <rPr>
        <sz val="11"/>
        <color indexed="8"/>
        <rFont val="Calibri"/>
        <family val="2"/>
      </rPr>
      <t xml:space="preserve"> for Fixed-Withdrawal). Then enter the age at the time of the event, the reason for the event, and the</t>
    </r>
  </si>
  <si>
    <r>
      <t>present value (PV) of the Contribution or Withdrawal in the red cells only.  Additional tables</t>
    </r>
    <r>
      <rPr>
        <b/>
        <sz val="11"/>
        <color indexed="8"/>
        <rFont val="Calibri"/>
        <family val="2"/>
      </rPr>
      <t xml:space="preserve"> 9.3</t>
    </r>
    <r>
      <rPr>
        <sz val="11"/>
        <color indexed="8"/>
        <rFont val="Calibri"/>
        <family val="2"/>
      </rPr>
      <t xml:space="preserve"> through </t>
    </r>
    <r>
      <rPr>
        <b/>
        <sz val="11"/>
        <color indexed="8"/>
        <rFont val="Calibri"/>
        <family val="2"/>
      </rPr>
      <t>9.6</t>
    </r>
    <r>
      <rPr>
        <sz val="11"/>
        <color indexed="8"/>
        <rFont val="Calibri"/>
        <family val="2"/>
      </rPr>
      <t xml:space="preserve"> below are </t>
    </r>
  </si>
  <si>
    <r>
      <t xml:space="preserve">computed from the entered data and then used in the </t>
    </r>
    <r>
      <rPr>
        <b/>
        <sz val="11"/>
        <color indexed="8"/>
        <rFont val="Calibri"/>
        <family val="2"/>
      </rPr>
      <t>R. Results</t>
    </r>
    <r>
      <rPr>
        <sz val="11"/>
        <color indexed="8"/>
        <rFont val="Calibri"/>
        <family val="2"/>
      </rPr>
      <t xml:space="preserve"> worksheet. Table </t>
    </r>
    <r>
      <rPr>
        <b/>
        <sz val="11"/>
        <color indexed="8"/>
        <rFont val="Calibri"/>
        <family val="2"/>
      </rPr>
      <t>9.3</t>
    </r>
    <r>
      <rPr>
        <sz val="11"/>
        <color indexed="8"/>
        <rFont val="Calibri"/>
        <family val="2"/>
      </rPr>
      <t xml:space="preserve">  is a summary of yearly values and</t>
    </r>
  </si>
  <si>
    <t>total values of all savings accounts for S1 and S2.</t>
  </si>
  <si>
    <t xml:space="preserve">Note: the Investment Account (Inv. Acct) could include taxable stocks, bond, funds as well as tax-free investments, e.g., </t>
  </si>
  <si>
    <t>below or optionally override the estimated rates of returns.</t>
  </si>
  <si>
    <r>
      <t xml:space="preserve">This computation is optional and is </t>
    </r>
    <r>
      <rPr>
        <u/>
        <sz val="11"/>
        <color indexed="8"/>
        <rFont val="Calibri"/>
        <family val="2"/>
      </rPr>
      <t>only needed</t>
    </r>
    <r>
      <rPr>
        <sz val="11"/>
        <color indexed="8"/>
        <rFont val="Calibri"/>
        <family val="2"/>
      </rPr>
      <t xml:space="preserve"> if you want to estimate the Rate-Of-Return ROR used</t>
    </r>
  </si>
  <si>
    <r>
      <t xml:space="preserve">for the above </t>
    </r>
    <r>
      <rPr>
        <b/>
        <sz val="11"/>
        <color indexed="8"/>
        <rFont val="Calibri"/>
        <family val="2"/>
      </rPr>
      <t>9.1</t>
    </r>
    <r>
      <rPr>
        <sz val="11"/>
        <color indexed="8"/>
        <rFont val="Calibri"/>
        <family val="2"/>
      </rPr>
      <t xml:space="preserve"> entries. The default estimated average total market stock ROR and average total bond</t>
    </r>
  </si>
  <si>
    <t>Since we don't know what the future distributed capital gains might be, we use a very crude approximation, the</t>
  </si>
  <si>
    <t>percentage of assets. One  might use the saverage values reported on 1099s if there is not too much account</t>
  </si>
  <si>
    <t>turnover over time. These are the amounts estimated yearly without selling any assets that could result</t>
  </si>
  <si>
    <t xml:space="preserve">in additional taxed distributions. It does not take into account the increasing values of the undistributed </t>
  </si>
  <si>
    <t>Enter $0 if there is no scheduled contributing.</t>
  </si>
  <si>
    <t>Enter $0 if there is no scheduled withdrawing.</t>
  </si>
  <si>
    <r>
      <t>For each entry, first set the event type using the pull-down selector with options (</t>
    </r>
    <r>
      <rPr>
        <b/>
        <sz val="11"/>
        <color rgb="FFFF0000"/>
        <rFont val="Calibri"/>
        <family val="2"/>
      </rPr>
      <t>C, W, FC, FW, U</t>
    </r>
    <r>
      <rPr>
        <sz val="11"/>
        <color indexed="8"/>
        <rFont val="Calibri"/>
        <family val="2"/>
      </rPr>
      <t xml:space="preserve">). </t>
    </r>
  </si>
  <si>
    <r>
      <t xml:space="preserve">See table </t>
    </r>
    <r>
      <rPr>
        <b/>
        <sz val="11"/>
        <color indexed="8"/>
        <rFont val="Calibri"/>
        <family val="2"/>
      </rPr>
      <t>9.4.2</t>
    </r>
    <r>
      <rPr>
        <sz val="11"/>
        <color indexed="8"/>
        <rFont val="Calibri"/>
        <family val="2"/>
      </rPr>
      <t xml:space="preserve"> below for the irregular contributions and withdrawals for S1 and S2 sorted by age.</t>
    </r>
  </si>
  <si>
    <r>
      <t xml:space="preserve">For entering your data, we recommend using the </t>
    </r>
    <r>
      <rPr>
        <b/>
        <i/>
        <sz val="11"/>
        <color indexed="8"/>
        <rFont val="Calibri"/>
        <family val="2"/>
      </rPr>
      <t>-User-</t>
    </r>
    <r>
      <rPr>
        <sz val="11"/>
        <color indexed="8"/>
        <rFont val="Calibri"/>
        <family val="2"/>
      </rPr>
      <t xml:space="preserve"> file version of the spreadsheet rather than the</t>
    </r>
    <r>
      <rPr>
        <b/>
        <sz val="11"/>
        <color indexed="8"/>
        <rFont val="Calibri"/>
        <family val="2"/>
      </rPr>
      <t xml:space="preserve"> -</t>
    </r>
    <r>
      <rPr>
        <b/>
        <i/>
        <sz val="11"/>
        <color indexed="8"/>
        <rFont val="Calibri"/>
        <family val="2"/>
      </rPr>
      <t>Demo</t>
    </r>
    <r>
      <rPr>
        <b/>
        <sz val="11"/>
        <color indexed="8"/>
        <rFont val="Calibri"/>
        <family val="2"/>
      </rPr>
      <t>-</t>
    </r>
    <r>
      <rPr>
        <sz val="11"/>
        <color indexed="8"/>
        <rFont val="Calibri"/>
        <family val="2"/>
      </rPr>
      <t xml:space="preserve"> </t>
    </r>
  </si>
  <si>
    <r>
      <t>version. Alternatively, delete the current entries in the -</t>
    </r>
    <r>
      <rPr>
        <b/>
        <sz val="11"/>
        <color indexed="8"/>
        <rFont val="Calibri"/>
        <family val="2"/>
      </rPr>
      <t>Demo</t>
    </r>
    <r>
      <rPr>
        <sz val="11"/>
        <color indexed="8"/>
        <rFont val="Calibri"/>
        <family val="2"/>
      </rPr>
      <t>- version and replace them with "</t>
    </r>
    <r>
      <rPr>
        <b/>
        <sz val="11"/>
        <color rgb="FFFF0000"/>
        <rFont val="Calibri"/>
        <family val="2"/>
      </rPr>
      <t>U 0 &lt;blank&gt; $0</t>
    </r>
    <r>
      <rPr>
        <sz val="11"/>
        <color indexed="8"/>
        <rFont val="Calibri"/>
        <family val="2"/>
      </rPr>
      <t>"</t>
    </r>
  </si>
  <si>
    <t>for each entry (in the rows below containing  demo data).</t>
  </si>
  <si>
    <r>
      <t>version. Alternatively, delete the current entries in the -</t>
    </r>
    <r>
      <rPr>
        <b/>
        <sz val="11"/>
        <color indexed="8"/>
        <rFont val="Calibri"/>
        <family val="2"/>
      </rPr>
      <t>Demo</t>
    </r>
    <r>
      <rPr>
        <sz val="11"/>
        <color indexed="8"/>
        <rFont val="Calibri"/>
        <family val="2"/>
      </rPr>
      <t>- version and replace them with "</t>
    </r>
    <r>
      <rPr>
        <b/>
        <sz val="11"/>
        <color rgb="FFFF0000"/>
        <rFont val="Calibri"/>
        <family val="2"/>
      </rPr>
      <t>U IRA 0 &lt;blank&gt; $0</t>
    </r>
    <r>
      <rPr>
        <sz val="11"/>
        <color indexed="8"/>
        <rFont val="Calibri"/>
        <family val="2"/>
      </rPr>
      <t>"</t>
    </r>
  </si>
  <si>
    <r>
      <t>version. Alternatively, delete the current entries in the -</t>
    </r>
    <r>
      <rPr>
        <b/>
        <sz val="11"/>
        <color indexed="8"/>
        <rFont val="Calibri"/>
        <family val="2"/>
      </rPr>
      <t>Demo</t>
    </r>
    <r>
      <rPr>
        <sz val="11"/>
        <color indexed="8"/>
        <rFont val="Calibri"/>
        <family val="2"/>
      </rPr>
      <t>- version and replace them with "</t>
    </r>
    <r>
      <rPr>
        <b/>
        <sz val="11"/>
        <color rgb="FFFF0000"/>
        <rFont val="Calibri"/>
        <family val="2"/>
      </rPr>
      <t>U Roth 0 &lt;blank&gt; $0</t>
    </r>
    <r>
      <rPr>
        <sz val="11"/>
        <color indexed="8"/>
        <rFont val="Calibri"/>
        <family val="2"/>
      </rPr>
      <t>"</t>
    </r>
  </si>
  <si>
    <t xml:space="preserve">     Override Age S1 starts expenses=</t>
  </si>
  <si>
    <t xml:space="preserve">      Override Age S2 starts expenses=</t>
  </si>
  <si>
    <t xml:space="preserve">     Override Age S1 stops expenses=</t>
  </si>
  <si>
    <t xml:space="preserve">     Override Age S2 stops expenses=</t>
  </si>
  <si>
    <t>Enter data for expenses and deductions for S1 and S2. The data may be specified as either "scheduled"</t>
  </si>
  <si>
    <t>Enter data for expenses and deductions for S1 and S2. The data may be specified as either "scheduled" or "irregular" events</t>
  </si>
  <si>
    <r>
      <t xml:space="preserve">specified the age it occurs or both. Expenses (and taxes) will be taken yearly from the </t>
    </r>
    <r>
      <rPr>
        <b/>
        <sz val="11"/>
        <color theme="1"/>
        <rFont val="Calibri"/>
        <family val="2"/>
        <scheme val="minor"/>
      </rPr>
      <t>11. CashData</t>
    </r>
    <r>
      <rPr>
        <sz val="11"/>
        <color theme="1"/>
        <rFont val="Calibri"/>
        <family val="2"/>
        <scheme val="minor"/>
      </rPr>
      <t xml:space="preserve"> account. In the spreadsheet</t>
    </r>
  </si>
  <si>
    <t xml:space="preserve">calculations, all income is added to the the Cash account and expenses and taxes subtracted. If there is a shortfall, then </t>
  </si>
  <si>
    <r>
      <t xml:space="preserve">additional withdrawals may need to be made from the </t>
    </r>
    <r>
      <rPr>
        <b/>
        <sz val="11"/>
        <color theme="1"/>
        <rFont val="Calibri"/>
        <family val="2"/>
        <scheme val="minor"/>
      </rPr>
      <t>9. SavingsData</t>
    </r>
    <r>
      <rPr>
        <sz val="11"/>
        <color theme="1"/>
        <rFont val="Calibri"/>
        <family val="2"/>
        <scheme val="minor"/>
      </rPr>
      <t xml:space="preserve">. Note that Federal taxes and State taxes  (if any) are not </t>
    </r>
  </si>
  <si>
    <r>
      <t xml:space="preserve">included in the </t>
    </r>
    <r>
      <rPr>
        <b/>
        <sz val="11"/>
        <color theme="1"/>
        <rFont val="Calibri"/>
        <family val="2"/>
        <scheme val="minor"/>
      </rPr>
      <t>10. ExpensesData</t>
    </r>
    <r>
      <rPr>
        <sz val="11"/>
        <color theme="1"/>
        <rFont val="Calibri"/>
        <family val="2"/>
        <scheme val="minor"/>
      </rPr>
      <t xml:space="preserve"> worksheet since they are calculated in</t>
    </r>
    <r>
      <rPr>
        <b/>
        <sz val="11"/>
        <color theme="1"/>
        <rFont val="Calibri"/>
        <family val="2"/>
        <scheme val="minor"/>
      </rPr>
      <t xml:space="preserve"> 2. TaxData</t>
    </r>
    <r>
      <rPr>
        <sz val="11"/>
        <color theme="1"/>
        <rFont val="Calibri"/>
        <family val="2"/>
        <scheme val="minor"/>
      </rPr>
      <t xml:space="preserve"> and used in </t>
    </r>
    <r>
      <rPr>
        <b/>
        <sz val="11"/>
        <color theme="1"/>
        <rFont val="Calibri"/>
        <family val="2"/>
        <scheme val="minor"/>
      </rPr>
      <t xml:space="preserve">11.CashData </t>
    </r>
    <r>
      <rPr>
        <sz val="11"/>
        <color theme="1"/>
        <rFont val="Calibri"/>
        <family val="2"/>
        <scheme val="minor"/>
      </rPr>
      <t>worksheets.</t>
    </r>
  </si>
  <si>
    <r>
      <t xml:space="preserve">for scheduled expenses. Then if there are any Irregular Expenses, enter them separately in table </t>
    </r>
    <r>
      <rPr>
        <b/>
        <sz val="11"/>
        <color indexed="8"/>
        <rFont val="Calibri"/>
        <family val="2"/>
      </rPr>
      <t>10.2</t>
    </r>
    <r>
      <rPr>
        <sz val="11"/>
        <color indexed="8"/>
        <rFont val="Calibri"/>
        <family val="2"/>
      </rPr>
      <t xml:space="preserve"> for each spouse</t>
    </r>
  </si>
  <si>
    <r>
      <t>deductions select (</t>
    </r>
    <r>
      <rPr>
        <b/>
        <sz val="11"/>
        <color rgb="FFFF0000"/>
        <rFont val="Calibri"/>
        <family val="2"/>
      </rPr>
      <t>D</t>
    </r>
    <r>
      <rPr>
        <sz val="11"/>
        <color indexed="8"/>
        <rFont val="Calibri"/>
        <family val="2"/>
      </rPr>
      <t xml:space="preserve"> for deduction with a COLA, </t>
    </r>
    <r>
      <rPr>
        <b/>
        <sz val="11"/>
        <color rgb="FFFF0000"/>
        <rFont val="Calibri"/>
        <family val="2"/>
      </rPr>
      <t>FD</t>
    </r>
    <r>
      <rPr>
        <sz val="11"/>
        <color indexed="8"/>
        <rFont val="Calibri"/>
        <family val="2"/>
      </rPr>
      <t xml:space="preserve"> for Fixed-Deduction). Then enter the age at the time of the event,</t>
    </r>
  </si>
  <si>
    <t xml:space="preserve">the reason for the event, and the present value (PV) of the Expenses. The blue entry to the right are the computed future </t>
  </si>
  <si>
    <t xml:space="preserve">  (enter current values, or $0 if none)</t>
  </si>
  <si>
    <t xml:space="preserve">   or your starting age if not working)</t>
  </si>
  <si>
    <r>
      <t xml:space="preserve">Note (3) Enable/disable subtracting the unscheduled expense and deductions in the </t>
    </r>
    <r>
      <rPr>
        <b/>
        <sz val="12"/>
        <color indexed="8"/>
        <rFont val="Calibri"/>
        <family val="2"/>
      </rPr>
      <t>Results</t>
    </r>
    <r>
      <rPr>
        <sz val="11"/>
        <color indexed="8"/>
        <rFont val="Calibri"/>
        <family val="2"/>
      </rPr>
      <t xml:space="preserve"> worksheet.</t>
    </r>
  </si>
  <si>
    <t>Note (1) Expenses for the same year can be shared , but they should be entered by the ages of S1 and S2.</t>
  </si>
  <si>
    <r>
      <t xml:space="preserve">For each entry, must set the </t>
    </r>
    <r>
      <rPr>
        <u/>
        <sz val="11"/>
        <color indexed="8"/>
        <rFont val="Calibri"/>
        <family val="2"/>
      </rPr>
      <t>Event Type</t>
    </r>
    <r>
      <rPr>
        <sz val="11"/>
        <color indexed="8"/>
        <rFont val="Calibri"/>
        <family val="2"/>
      </rPr>
      <t>:</t>
    </r>
    <r>
      <rPr>
        <b/>
        <sz val="11"/>
        <color rgb="FFFF0000"/>
        <rFont val="Calibri"/>
        <family val="2"/>
      </rPr>
      <t xml:space="preserve"> E </t>
    </r>
    <r>
      <rPr>
        <sz val="11"/>
        <color indexed="8"/>
        <rFont val="Calibri"/>
        <family val="2"/>
      </rPr>
      <t>is for an expense that will increase (FV using the COLA), and</t>
    </r>
  </si>
  <si>
    <t>and (optional) State taxes are subtracted. Each year it computes:</t>
  </si>
  <si>
    <r>
      <t xml:space="preserve">The results are then used in the </t>
    </r>
    <r>
      <rPr>
        <b/>
        <sz val="11"/>
        <color indexed="8"/>
        <rFont val="Calibri"/>
        <family val="2"/>
      </rPr>
      <t>R. Results</t>
    </r>
    <r>
      <rPr>
        <sz val="11"/>
        <color indexed="8"/>
        <rFont val="Calibri"/>
        <family val="2"/>
      </rPr>
      <t xml:space="preserve"> worksheet.</t>
    </r>
  </si>
  <si>
    <r>
      <t xml:space="preserve"> S2 has a negative  balance. Do this by enabling </t>
    </r>
    <r>
      <rPr>
        <b/>
        <sz val="11"/>
        <rFont val="Calibri"/>
        <family val="2"/>
      </rPr>
      <t xml:space="preserve"> </t>
    </r>
    <r>
      <rPr>
        <sz val="11"/>
        <rFont val="Calibri"/>
        <family val="2"/>
      </rPr>
      <t>S. Setup section S.2  setting "Use rebalancing +/-cash between S1 to S2 and</t>
    </r>
  </si>
  <si>
    <t>If positive cash is left over in S1 and/or S2 "Adjusted cash", it is added to the next years taxable Saving account</t>
  </si>
  <si>
    <t>This non-editable worksheet specifies the IRS Required Minimum Distributions (RMD) distribution tables.</t>
  </si>
  <si>
    <t>There are three different tables depending on your age and retirement account type.</t>
  </si>
  <si>
    <t xml:space="preserve">This is a list of Web references (articles, literature, web sites) and books for some of the key computations used in the </t>
  </si>
  <si>
    <t>The following is a list of terms used throughout the spreadsheet. The glossary may be useful if you need to look up</t>
  </si>
  <si>
    <t xml:space="preserve">Language edit for clarity including the Summary. </t>
  </si>
  <si>
    <t>This Excel spreadsheet is designed for people who want to plan for future income, saving, and spending needs. It calculates rough</t>
  </si>
  <si>
    <t>457(b), IRAs, Roths, and savings investment accounts. The spreadsheet estimates yearly investment returns, taxes on</t>
  </si>
  <si>
    <t>"calc", Google "sheet". The spreadsheet doesn't use Microsoft Visual Basic as VBA is not available in all spreadsheet</t>
  </si>
  <si>
    <t>of a simpler model. As statistician George Box noted, "All models are wrong, but some are useful." To illustrate the concept of</t>
  </si>
  <si>
    <t>software. Absolutely no warranty is offered for this software and no responsibility is taken for any errors in. or use of</t>
  </si>
  <si>
    <t>List of all worksheets, describing their tables and sections</t>
  </si>
  <si>
    <t xml:space="preserve">While saving for future expenditures such as retirement, a new house, or a college education for your children you </t>
  </si>
  <si>
    <t>during your accumulation phase? How rapidly are your savings being depleted during retirement? It can be useful</t>
  </si>
  <si>
    <t>to periodically check how you are doing to make sure you're still on track to reach your goals and, if not, what</t>
  </si>
  <si>
    <t>The complete SIPT spreadsheet described below provides a much more accurate and detailed analysis because it takes</t>
  </si>
  <si>
    <t>into account many other financial factors over time.  Play with the SimpleCalc "toy" glide-path calculator first. If this looks</t>
  </si>
  <si>
    <t>the future but it may provide a better understanding of your financial situation, which may be useful in doing financial</t>
  </si>
  <si>
    <t>interesting, then you might try using this SIPT spreadsheet. It is described in more detail below. Of course it can't predict</t>
  </si>
  <si>
    <t>expenses come and go over time. Results are calculated at the end of each year. It uses a yearly "cash flow" calculation defined</t>
  </si>
  <si>
    <t xml:space="preserve">as the sum of income and withdrawals, and subtraction of expenses, contributions and estimated taxes are subtracted.  Any </t>
  </si>
  <si>
    <t xml:space="preserve">funds left over each year in the cash account are saved back into the investment taxable savings account for the next year. </t>
  </si>
  <si>
    <t>Similarly, in years with a cash shortfalls, funds are taken from the savings account the next year. The spreadsheet</t>
  </si>
  <si>
    <t>One or more income sources can be defined and include: work income, pensions, Social Security, and annuity payouts. There</t>
  </si>
  <si>
    <t>Both scheduled and irregular withdrawals taken from the tax-deferred IRA, Roth IRA, and savings accounts are added to the</t>
  </si>
  <si>
    <t xml:space="preserve">          Cash(y) = Income(y) + Withdrawals(y) - SavingsContributions(y) - Expenses(y) - Taxes(y) + Insurance Payout(y)</t>
  </si>
  <si>
    <t xml:space="preserve">          Withdrawals(y) = SavingsWithdrawals(y) + IRAwithdrawals(y) + ROTHwithdrawals(y)</t>
  </si>
  <si>
    <t xml:space="preserve">          Savings(y+1) = [Savings(y) + SavingsContribution(y) - SavingsWithdrawal(y)] *  (1+SAVINGSreturn)  + Cash(y)</t>
  </si>
  <si>
    <t>savings account on either a specific schedule (e.g., 1%/year) or on an irregular basis such as a particular withdrawal for a new car</t>
  </si>
  <si>
    <t>the calculations.] The investment returns for the investment account (IRA, Roth, and savings accounts) from the</t>
  </si>
  <si>
    <t>Enter data for tax-deferred deductible retirement investment accounts for traditional-IRAs, Rollover-IRAs, inherited-IRAs.</t>
  </si>
  <si>
    <t>You may enter several types of deductible accounts per spouse: traditional IRA/401(k), inherited-IRA, deductible-IRA.</t>
  </si>
  <si>
    <t>S2non-deductible  IRA RMD</t>
  </si>
  <si>
    <t>rules, etc.</t>
  </si>
  <si>
    <t>are three types of investment accounts including:  tax-deferred deductible IRA, Roth IRA, and savings (taxable investments), bank</t>
  </si>
  <si>
    <t>for a nice definition.) The spreadsheet calculates your remaining assets yearly so you can use this for planning future expenses.</t>
  </si>
  <si>
    <t xml:space="preserve">IRAs, Roth IRAs, and savings investment accounts. Contributions, and withdrawals may be specified from investment accounts.  </t>
  </si>
  <si>
    <t>If the cash-flow is ever negative for a particular year,the spreadsheet  takes the shortfall from the taxable savings account</t>
  </si>
  <si>
    <t xml:space="preserve">   Q.3 When should I take withdrawals on my tax-deferred IRAs?</t>
  </si>
  <si>
    <t>Q.3 When should I take withdrawals on my tax-deferred IRAs?</t>
  </si>
  <si>
    <t>1.2 Types of personal data required</t>
  </si>
  <si>
    <t xml:space="preserve">    1.2 Types of personal data required</t>
  </si>
  <si>
    <r>
      <t>(</t>
    </r>
    <r>
      <rPr>
        <b/>
        <sz val="11"/>
        <color theme="1"/>
        <rFont val="Calibri"/>
        <family val="2"/>
        <scheme val="minor"/>
      </rPr>
      <t>9. SavingsData</t>
    </r>
    <r>
      <rPr>
        <sz val="11"/>
        <color theme="1"/>
        <rFont val="Calibri"/>
        <family val="2"/>
        <scheme val="minor"/>
      </rPr>
      <t>). If this is a problem, one could possibly increase some of the income sources (IRA or ROTH) other than</t>
    </r>
  </si>
  <si>
    <t xml:space="preserve">(fixed income) in your investment portfolio. Historically, approximately 90% of your portfolio return is determined by your </t>
  </si>
  <si>
    <t>asset allocation  (roughly the stock:bond ratio). In addition, specify (the same or different) Cost Of Living Adjustments</t>
  </si>
  <si>
    <t>Similarly, specify the age ranges for scheduled investment (IRA, Roth, taxable savings) contributions and withdrawals for S1</t>
  </si>
  <si>
    <r>
      <t xml:space="preserve">and S2. The IRA and Roth accounts are optional, but </t>
    </r>
    <r>
      <rPr>
        <u/>
        <sz val="11"/>
        <color theme="1"/>
        <rFont val="Calibri"/>
        <family val="2"/>
        <scheme val="minor"/>
      </rPr>
      <t>the savings account is required</t>
    </r>
    <r>
      <rPr>
        <sz val="11"/>
        <color theme="1"/>
        <rFont val="Calibri"/>
        <family val="2"/>
        <scheme val="minor"/>
      </rPr>
      <t xml:space="preserve"> since it is used to reconcile the cash-flow</t>
    </r>
  </si>
  <si>
    <t>and where insurance payouts (if any) are deposited. You may optionally specifyeither or both scheduled contributions as a</t>
  </si>
  <si>
    <t xml:space="preserve">fixed amount and withdrawals as a percentage each year that increase by a COLA if desired. You may also specify optional </t>
  </si>
  <si>
    <t>irregular contributions and withdrawal events that can occur at any age or have several events the same year independently</t>
  </si>
  <si>
    <t>for both S1 and S2. For example, one could withdraw money to buy a new car, pay for kids college,  take a big trip and buy a</t>
  </si>
  <si>
    <t>sum of the scheduled and irregular contributions and withdrawals respectively each year. These are tracked separately for</t>
  </si>
  <si>
    <t>S1 and S2.</t>
  </si>
  <si>
    <t>to be tax-deferred IRAs. Similarly a Roth-401(k) is considered a Roth IRA.   This is because after you retire, retirement  accounts</t>
  </si>
  <si>
    <t>may  be rolled over to "Rollover-IRA" and Rollover-Roth" accounts. You may make both scheduled and irregular contributions/</t>
  </si>
  <si>
    <t>withdrawals to each of the spreadsheet investment accounts. An irregular event is an upcoming one-time event occurring</t>
  </si>
  <si>
    <t xml:space="preserve">in a particular year. You may specify expenses as both scheduled and irregular events.  You might think about your list of future </t>
  </si>
  <si>
    <r>
      <t xml:space="preserve">gifts, etc. (See the discussion of the 2007 comedy film </t>
    </r>
    <r>
      <rPr>
        <b/>
        <u/>
        <sz val="11"/>
        <color theme="1"/>
        <rFont val="Calibri"/>
        <family val="2"/>
        <scheme val="minor"/>
      </rPr>
      <t>The Bucket List</t>
    </r>
  </si>
  <si>
    <t xml:space="preserve">irregular expenses as a  planning tool for your future expenses in your "Bucket List" - such as college expenses, retirement, trips, </t>
  </si>
  <si>
    <t xml:space="preserve">new house at the same year. You specify the age (e.g., 59) rather than the year (e.g., 2019) for the events.  It computes the </t>
  </si>
  <si>
    <t xml:space="preserve">not address the problem of sequence of returns and sequence of withdrawals that can radically affect long-term returns.  The </t>
  </si>
  <si>
    <t xml:space="preserve">reality is that all future rates  of returns, CPIs, COLAs, tax rates, tax rules and schedules, deduction schedules, etc., are unknown. </t>
  </si>
  <si>
    <t xml:space="preserve">methods are beyond the scope of this spreadsheet. Black Swan events do happen - think 9/11 and the 2008 Great Recession. </t>
  </si>
  <si>
    <t xml:space="preserve">or randomized sequences of actual past returns can improve the model, but still cannot guarantee returns. Such advanced </t>
  </si>
  <si>
    <t>First, enter your personal configuration of the spreadsheet using the "S. Setup: worksheet"</t>
  </si>
  <si>
    <r>
      <t xml:space="preserve">After editing the </t>
    </r>
    <r>
      <rPr>
        <b/>
        <sz val="11"/>
        <color indexed="8"/>
        <rFont val="Calibri"/>
        <family val="2"/>
      </rPr>
      <t>S. Setup</t>
    </r>
    <r>
      <rPr>
        <sz val="11"/>
        <color indexed="8"/>
        <rFont val="Calibri"/>
        <family val="2"/>
      </rPr>
      <t xml:space="preserve"> worksheet, you should  edit the </t>
    </r>
    <r>
      <rPr>
        <b/>
        <sz val="11"/>
        <color indexed="8"/>
        <rFont val="Calibri"/>
        <family val="2"/>
      </rPr>
      <t>1. AgeData</t>
    </r>
    <r>
      <rPr>
        <sz val="11"/>
        <color indexed="8"/>
        <rFont val="Calibri"/>
        <family val="2"/>
      </rPr>
      <t xml:space="preserve"> worksheet, and  enter basic tax filing data in the </t>
    </r>
    <r>
      <rPr>
        <b/>
        <sz val="11"/>
        <color indexed="8"/>
        <rFont val="Calibri"/>
        <family val="2"/>
      </rPr>
      <t>2. TaxData</t>
    </r>
    <r>
      <rPr>
        <sz val="11"/>
        <color indexed="8"/>
        <rFont val="Calibri"/>
        <family val="2"/>
      </rPr>
      <t xml:space="preserve"> </t>
    </r>
  </si>
  <si>
    <t xml:space="preserve">Visit each of the other data-entry worksheets that apply to you and enter your data. Ignore the other ones  which can have </t>
  </si>
  <si>
    <t>Finally, view the final results in the "R. Results" worksheet after all your data is entered</t>
  </si>
  <si>
    <r>
      <t xml:space="preserve">After all data is entered, view the results, which are summarized in the </t>
    </r>
    <r>
      <rPr>
        <b/>
        <sz val="11"/>
        <color indexed="8"/>
        <rFont val="Calibri"/>
        <family val="2"/>
      </rPr>
      <t>R. Results</t>
    </r>
    <r>
      <rPr>
        <sz val="11"/>
        <color indexed="8"/>
        <rFont val="Calibri"/>
        <family val="2"/>
      </rPr>
      <t xml:space="preserve"> worksheet. The R. Results worksheet presents</t>
    </r>
  </si>
  <si>
    <t>glide-paths for the different accounts and computed results on a year-by-year basis.</t>
  </si>
  <si>
    <t xml:space="preserve"> additional documentation</t>
  </si>
  <si>
    <t xml:space="preserve"> elementary glide-path calculator</t>
  </si>
  <si>
    <t xml:space="preserve"> summary list of all settings by user in the other worksheets</t>
  </si>
  <si>
    <r>
      <t xml:space="preserve"> summarizes spreadsheet glide-path results </t>
    </r>
    <r>
      <rPr>
        <b/>
        <i/>
        <sz val="11"/>
        <rFont val="Calibri"/>
        <family val="2"/>
      </rPr>
      <t>after</t>
    </r>
    <r>
      <rPr>
        <i/>
        <sz val="11"/>
        <rFont val="Calibri"/>
        <family val="2"/>
      </rPr>
      <t xml:space="preserve"> entering your data</t>
    </r>
  </si>
  <si>
    <t xml:space="preserve"> used to configure entire spreadsheet (indicate which sheets are used)</t>
  </si>
  <si>
    <t xml:space="preserve"> enter age, CPI,  market returns, insurance used throughout spreadsheet</t>
  </si>
  <si>
    <t xml:space="preserve"> enter Federal tax data and filing status</t>
  </si>
  <si>
    <t xml:space="preserve"> enter current or future work income data, if any</t>
  </si>
  <si>
    <t xml:space="preserve"> enter current or future pension income data, if any</t>
  </si>
  <si>
    <t xml:space="preserve"> enter current or future Social Security income data, if any</t>
  </si>
  <si>
    <t xml:space="preserve"> enter current or future  annuity income data, if any</t>
  </si>
  <si>
    <t xml:space="preserve"> enter tax-deferred IRA accounts data, if any (current or future)</t>
  </si>
  <si>
    <t xml:space="preserve"> enter Roth IRA accounts data, if any (current or future)</t>
  </si>
  <si>
    <t xml:space="preserve"> enter taxable savings accounts data, if any (current or future)</t>
  </si>
  <si>
    <t xml:space="preserve"> enter expenses data (current or future)</t>
  </si>
  <si>
    <t xml:space="preserve"> summarizes the cash flow from the other worksheets</t>
  </si>
  <si>
    <t xml:space="preserve"> contains the IRS Required Minimum Distribution data</t>
  </si>
  <si>
    <r>
      <t xml:space="preserve">Don't edit the </t>
    </r>
    <r>
      <rPr>
        <b/>
        <sz val="11"/>
        <color indexed="8"/>
        <rFont val="Calibri"/>
        <family val="2"/>
      </rPr>
      <t>RMDtable</t>
    </r>
    <r>
      <rPr>
        <sz val="11"/>
        <color indexed="8"/>
        <rFont val="Calibri"/>
        <family val="2"/>
      </rPr>
      <t xml:space="preserve"> worksheet unless the IRS updates its RMD data.</t>
    </r>
  </si>
  <si>
    <r>
      <t>State taxes (</t>
    </r>
    <r>
      <rPr>
        <b/>
        <sz val="11"/>
        <color theme="1"/>
        <rFont val="Calibri"/>
        <family val="2"/>
        <scheme val="minor"/>
      </rPr>
      <t xml:space="preserve">2. TaxData </t>
    </r>
    <r>
      <rPr>
        <sz val="11"/>
        <color theme="1"/>
        <rFont val="Calibri"/>
        <family val="2"/>
        <scheme val="minor"/>
      </rPr>
      <t>worksheet) are taken from the cash account. The following equations give a top-level explaination of the</t>
    </r>
  </si>
  <si>
    <t xml:space="preserve">If large future expenses planned, you may want to lower expenses and/or withdraw some of the money  </t>
  </si>
  <si>
    <r>
      <t xml:space="preserve">them for a year in which one of them has a negative balance. This is enabled in the </t>
    </r>
    <r>
      <rPr>
        <b/>
        <sz val="11"/>
        <color theme="1"/>
        <rFont val="Calibri"/>
        <family val="2"/>
        <scheme val="minor"/>
      </rPr>
      <t>Setup S.2</t>
    </r>
    <r>
      <rPr>
        <sz val="11"/>
        <color theme="1"/>
        <rFont val="Calibri"/>
        <family val="2"/>
        <scheme val="minor"/>
      </rPr>
      <t xml:space="preserve"> worksheet. If the cash flow for</t>
    </r>
  </si>
  <si>
    <t>out the other who has a negative balance.</t>
  </si>
  <si>
    <t xml:space="preserve">either S1 or S2 is negative, it then subtracts the negative amount from the positive one so the one  with extra cash may help </t>
  </si>
  <si>
    <r>
      <t xml:space="preserve">If there is a life insurance payout for S1 and/or S2 for policies described in </t>
    </r>
    <r>
      <rPr>
        <b/>
        <sz val="11"/>
        <color theme="1"/>
        <rFont val="Calibri"/>
        <family val="2"/>
        <scheme val="minor"/>
      </rPr>
      <t xml:space="preserve">1. AgeData </t>
    </r>
    <r>
      <rPr>
        <sz val="11"/>
        <color theme="1"/>
        <rFont val="Calibri"/>
        <family val="2"/>
        <scheme val="minor"/>
      </rPr>
      <t xml:space="preserve">section </t>
    </r>
    <r>
      <rPr>
        <b/>
        <sz val="11"/>
        <color theme="1"/>
        <rFont val="Calibri"/>
        <family val="2"/>
        <scheme val="minor"/>
      </rPr>
      <t>1.4</t>
    </r>
    <r>
      <rPr>
        <sz val="11"/>
        <color theme="1"/>
        <rFont val="Calibri"/>
        <family val="2"/>
        <scheme val="minor"/>
      </rPr>
      <t>, the payout is added to the income</t>
    </r>
  </si>
  <si>
    <r>
      <t xml:space="preserve">in  </t>
    </r>
    <r>
      <rPr>
        <b/>
        <sz val="11"/>
        <color theme="1"/>
        <rFont val="Calibri"/>
        <family val="2"/>
        <scheme val="minor"/>
      </rPr>
      <t>9. SavingsData</t>
    </r>
    <r>
      <rPr>
        <sz val="11"/>
        <color theme="1"/>
        <rFont val="Calibri"/>
        <family val="2"/>
        <scheme val="minor"/>
      </rPr>
      <t xml:space="preserve"> table </t>
    </r>
    <r>
      <rPr>
        <b/>
        <sz val="11"/>
        <color theme="1"/>
        <rFont val="Calibri"/>
        <family val="2"/>
        <scheme val="minor"/>
      </rPr>
      <t>9.4.2.1</t>
    </r>
    <r>
      <rPr>
        <sz val="11"/>
        <color theme="1"/>
        <rFont val="Calibri"/>
        <family val="2"/>
        <scheme val="minor"/>
      </rPr>
      <t xml:space="preserve"> tax-free to the savings according to the payee (S1, S2 or Other).</t>
    </r>
  </si>
  <si>
    <r>
      <t xml:space="preserve">The demonstration </t>
    </r>
    <r>
      <rPr>
        <b/>
        <sz val="11"/>
        <color theme="1"/>
        <rFont val="Calibri"/>
        <family val="2"/>
        <scheme val="minor"/>
      </rPr>
      <t>(Demo)</t>
    </r>
    <r>
      <rPr>
        <sz val="11"/>
        <color theme="1"/>
        <rFont val="Calibri"/>
        <family val="2"/>
        <scheme val="minor"/>
      </rPr>
      <t xml:space="preserve"> version has all  data-entry worksheets data set up for demonstration purposes to gives</t>
    </r>
  </si>
  <si>
    <r>
      <t xml:space="preserve">typical examples of reasonable values.  However, to make it easier to enter your data, a </t>
    </r>
    <r>
      <rPr>
        <b/>
        <sz val="11"/>
        <color theme="1"/>
        <rFont val="Calibri"/>
        <family val="2"/>
        <scheme val="minor"/>
      </rPr>
      <t>User</t>
    </r>
    <r>
      <rPr>
        <sz val="11"/>
        <color theme="1"/>
        <rFont val="Calibri"/>
        <family val="2"/>
        <scheme val="minor"/>
      </rPr>
      <t xml:space="preserve"> version is provided with all data</t>
    </r>
  </si>
  <si>
    <t>not as an AGI-dependent, marginal tax rate. Different states may also have various deduction levels associated with different</t>
  </si>
  <si>
    <t xml:space="preserve">fixed income returns whereas in reality these all change year to year, introducing major changes in the actual results.  It does </t>
  </si>
  <si>
    <t>These results are really ball-park estimates, but still  may be useful for planning.</t>
  </si>
  <si>
    <t>investment  returns, and expenses. Next, yearly Federal tax rates and resulting cash-flows are estimated. The spreadsheet allows</t>
  </si>
  <si>
    <r>
      <t xml:space="preserve">By ignoring any worksheets specified in </t>
    </r>
    <r>
      <rPr>
        <b/>
        <sz val="11"/>
        <color indexed="8"/>
        <rFont val="Calibri"/>
        <family val="2"/>
      </rPr>
      <t>S. Setup</t>
    </r>
    <r>
      <rPr>
        <sz val="11"/>
        <color indexed="8"/>
        <rFont val="Calibri"/>
        <family val="2"/>
      </rPr>
      <t xml:space="preserve"> section S.1, the spreadsheet will ignores that data. Enter data in</t>
    </r>
  </si>
  <si>
    <r>
      <t xml:space="preserve">in any worksheet affects the results by going back and forth between the </t>
    </r>
    <r>
      <rPr>
        <b/>
        <sz val="11"/>
        <color indexed="8"/>
        <rFont val="Calibri"/>
        <family val="2"/>
      </rPr>
      <t>R. Results</t>
    </r>
    <r>
      <rPr>
        <sz val="11"/>
        <color indexed="8"/>
        <rFont val="Calibri"/>
        <family val="2"/>
      </rPr>
      <t xml:space="preserve"> worksheet and the data worksheet you are</t>
    </r>
  </si>
  <si>
    <t>worksheet. You can see how changes</t>
  </si>
  <si>
    <t>worksheet provides answers to some Frequently Asked Questions.</t>
  </si>
  <si>
    <r>
      <t xml:space="preserve">might be changed to improve your retirement glide path. This </t>
    </r>
    <r>
      <rPr>
        <b/>
        <sz val="11"/>
        <color theme="1"/>
        <rFont val="Calibri"/>
        <family val="2"/>
        <scheme val="minor"/>
      </rPr>
      <t>Introduction</t>
    </r>
    <r>
      <rPr>
        <sz val="11"/>
        <color theme="1"/>
        <rFont val="Calibri"/>
        <family val="2"/>
        <scheme val="minor"/>
      </rPr>
      <t xml:space="preserve"> worksheet gives an overview and a </t>
    </r>
    <r>
      <rPr>
        <b/>
        <sz val="11"/>
        <color theme="1"/>
        <rFont val="Calibri"/>
        <family val="2"/>
        <scheme val="minor"/>
      </rPr>
      <t>FAQ</t>
    </r>
    <r>
      <rPr>
        <sz val="11"/>
        <color theme="1"/>
        <rFont val="Calibri"/>
        <family val="2"/>
        <scheme val="minor"/>
      </rPr>
      <t xml:space="preserve"> </t>
    </r>
  </si>
  <si>
    <t>summarizes data computed on the other data worksheets both as tables and as graphs of the data in the tables. The results</t>
  </si>
  <si>
    <t>are updated when data is changed in any of the other data entry worksheets.</t>
  </si>
  <si>
    <r>
      <t xml:space="preserve">Depending on your level of expertise and familiarity with financial terms, you may want to read the </t>
    </r>
    <r>
      <rPr>
        <b/>
        <sz val="11"/>
        <color theme="1"/>
        <rFont val="Calibri"/>
        <family val="2"/>
        <scheme val="minor"/>
      </rPr>
      <t xml:space="preserve">Appendix C </t>
    </r>
    <r>
      <rPr>
        <sz val="11"/>
        <color theme="1"/>
        <rFont val="Calibri"/>
        <family val="2"/>
        <scheme val="minor"/>
      </rPr>
      <t>worksheet</t>
    </r>
    <r>
      <rPr>
        <b/>
        <sz val="11"/>
        <color theme="1"/>
        <rFont val="Calibri"/>
        <family val="2"/>
        <scheme val="minor"/>
      </rPr>
      <t xml:space="preserve"> </t>
    </r>
  </si>
  <si>
    <r>
      <t xml:space="preserve">(glossary of 'financial terms used in the SIPT spreadsheet) </t>
    </r>
    <r>
      <rPr>
        <u/>
        <sz val="11"/>
        <color indexed="8"/>
        <rFont val="Calibri"/>
        <family val="2"/>
      </rPr>
      <t>before</t>
    </r>
    <r>
      <rPr>
        <sz val="11"/>
        <color theme="1"/>
        <rFont val="Calibri"/>
        <family val="2"/>
        <scheme val="minor"/>
      </rPr>
      <t xml:space="preserve"> entering your data. In addition, this spreadsheet requires you</t>
    </r>
  </si>
  <si>
    <r>
      <t xml:space="preserve">to switch between different worksheets that focus on </t>
    </r>
    <r>
      <rPr>
        <i/>
        <sz val="11"/>
        <color theme="1"/>
        <rFont val="Calibri"/>
        <family val="2"/>
        <scheme val="minor"/>
      </rPr>
      <t>particular</t>
    </r>
    <r>
      <rPr>
        <sz val="11"/>
        <color theme="1"/>
        <rFont val="Calibri"/>
        <family val="2"/>
        <scheme val="minor"/>
      </rPr>
      <t xml:space="preserve"> types of data (e.g., work income, Social Security benefits, IRAs</t>
    </r>
  </si>
  <si>
    <t>R.5 Value of Savings, Capital Gains, Dividends, Contributions minus Withdrawals (Scheduled &amp; Irregular)</t>
  </si>
  <si>
    <t xml:space="preserve">        asset by ROR</t>
  </si>
  <si>
    <t xml:space="preserve">B.4 Calculator estimating FV of ongoing fixed contribution, withdrawal,expense by COLA , or investment </t>
  </si>
  <si>
    <t>be in a higher tax bracket in retirement than they are now" (from investopia.com). It is treated as a Roth with</t>
  </si>
  <si>
    <t>the contribution limit of the plan. This type of investment account is well-suited to people who think they will</t>
  </si>
  <si>
    <t xml:space="preserve">This worksheet describes a wish-list of possible things to do in the future. It also contains a revision list history of the </t>
  </si>
  <si>
    <t>status of  previous versions. Finally it contains a dependency table showing which sub-tables depend on other worksheet</t>
  </si>
  <si>
    <t>sub-tables.</t>
  </si>
  <si>
    <r>
      <t xml:space="preserve">[ ] Implement Pension and Annuity </t>
    </r>
    <r>
      <rPr>
        <i/>
        <sz val="11"/>
        <color theme="1"/>
        <rFont val="Calibri"/>
        <family val="2"/>
        <scheme val="minor"/>
      </rPr>
      <t>Exclusion-Ratio tax deduction</t>
    </r>
    <r>
      <rPr>
        <sz val="11"/>
        <color theme="1"/>
        <rFont val="Calibri"/>
        <family val="2"/>
        <scheme val="minor"/>
      </rPr>
      <t xml:space="preserve"> calculations in </t>
    </r>
    <r>
      <rPr>
        <b/>
        <sz val="11"/>
        <color indexed="8"/>
        <rFont val="Calibri"/>
        <family val="2"/>
      </rPr>
      <t>3. PensionData</t>
    </r>
    <r>
      <rPr>
        <sz val="11"/>
        <color theme="1"/>
        <rFont val="Calibri"/>
        <family val="2"/>
        <scheme val="minor"/>
      </rPr>
      <t xml:space="preserve"> &amp; </t>
    </r>
    <r>
      <rPr>
        <b/>
        <sz val="11"/>
        <color indexed="8"/>
        <rFont val="Calibri"/>
        <family val="2"/>
      </rPr>
      <t>4. AnnuityData</t>
    </r>
    <r>
      <rPr>
        <sz val="11"/>
        <color indexed="8"/>
        <rFont val="Calibri"/>
        <family val="2"/>
      </rPr>
      <t xml:space="preserve"> currently N.A.</t>
    </r>
  </si>
  <si>
    <t>(ROR) entries in 9. SavingsData. Added pointer to  Appendix B.5 in 10. Expenses to the optional calculators.</t>
  </si>
  <si>
    <t>Cleaned up a data option bug in 2. TaxData.  Added optional ROR overrides for estimated Rate Of Return</t>
  </si>
  <si>
    <r>
      <t xml:space="preserve">Cleaned up the Social Security calculation and description in </t>
    </r>
    <r>
      <rPr>
        <b/>
        <sz val="11"/>
        <color indexed="8"/>
        <rFont val="Calibri"/>
        <family val="2"/>
      </rPr>
      <t>5. SocSocData 5.1</t>
    </r>
    <r>
      <rPr>
        <sz val="11"/>
        <color indexed="8"/>
        <rFont val="Calibri"/>
        <family val="2"/>
      </rPr>
      <t xml:space="preserve"> and </t>
    </r>
    <r>
      <rPr>
        <b/>
        <sz val="11"/>
        <color indexed="8"/>
        <rFont val="Calibri"/>
        <family val="2"/>
      </rPr>
      <t>5.2 showing</t>
    </r>
    <r>
      <rPr>
        <sz val="11"/>
        <color indexed="8"/>
        <rFont val="Calibri"/>
        <family val="2"/>
      </rPr>
      <t xml:space="preserve"> the delayed</t>
    </r>
  </si>
  <si>
    <t>claim benefit and the additional CPI added on.</t>
  </si>
  <si>
    <r>
      <t xml:space="preserve">Added Cash ROR to </t>
    </r>
    <r>
      <rPr>
        <b/>
        <sz val="11"/>
        <color indexed="8"/>
        <rFont val="Calibri"/>
        <family val="2"/>
      </rPr>
      <t>1. AgeData 1.3</t>
    </r>
    <r>
      <rPr>
        <sz val="11"/>
        <color indexed="8"/>
        <rFont val="Calibri"/>
        <family val="2"/>
      </rPr>
      <t>. Then added Cash to</t>
    </r>
    <r>
      <rPr>
        <b/>
        <sz val="11"/>
        <color indexed="8"/>
        <rFont val="Calibri"/>
        <family val="2"/>
      </rPr>
      <t xml:space="preserve"> 9. SavingsData 9.1.1</t>
    </r>
    <r>
      <rPr>
        <sz val="11"/>
        <color indexed="8"/>
        <rFont val="Calibri"/>
        <family val="2"/>
      </rPr>
      <t xml:space="preserve"> estimates of ROR for S1 and S2</t>
    </r>
  </si>
  <si>
    <r>
      <t xml:space="preserve">portfolios. Added </t>
    </r>
    <r>
      <rPr>
        <b/>
        <sz val="11"/>
        <color theme="1"/>
        <rFont val="Calibri"/>
        <family val="2"/>
        <scheme val="minor"/>
      </rPr>
      <t>B.5 Expense calculator to either estimate or calculate yearly recurring expenses.</t>
    </r>
  </si>
  <si>
    <r>
      <t xml:space="preserve">Added IRS pub 590-B </t>
    </r>
    <r>
      <rPr>
        <u/>
        <sz val="11"/>
        <color indexed="8"/>
        <rFont val="Calibri"/>
        <family val="2"/>
      </rPr>
      <t xml:space="preserve"> Single Life Expectancy Table</t>
    </r>
    <r>
      <rPr>
        <sz val="11"/>
        <color indexed="8"/>
        <rFont val="Calibri"/>
        <family val="2"/>
      </rPr>
      <t xml:space="preserve"> is used by a beneficiary of an account in </t>
    </r>
    <r>
      <rPr>
        <b/>
        <sz val="11"/>
        <color indexed="8"/>
        <rFont val="Calibri"/>
        <family val="2"/>
      </rPr>
      <t>12.RMDtable</t>
    </r>
    <r>
      <rPr>
        <sz val="11"/>
        <color indexed="8"/>
        <rFont val="Calibri"/>
        <family val="2"/>
      </rPr>
      <t xml:space="preserve"> table</t>
    </r>
  </si>
  <si>
    <r>
      <t xml:space="preserve">12.2. IRS pub 590-B  </t>
    </r>
    <r>
      <rPr>
        <u/>
        <sz val="11"/>
        <color indexed="8"/>
        <rFont val="Calibri"/>
        <family val="2"/>
      </rPr>
      <t>Uniform Life Expectancy Table</t>
    </r>
    <r>
      <rPr>
        <sz val="11"/>
        <color indexed="8"/>
        <rFont val="Calibri"/>
        <family val="2"/>
      </rPr>
      <t xml:space="preserve"> is used earner is now numbered </t>
    </r>
    <r>
      <rPr>
        <b/>
        <sz val="11"/>
        <color indexed="8"/>
        <rFont val="Calibri"/>
        <family val="2"/>
      </rPr>
      <t>12.RMDtable</t>
    </r>
    <r>
      <rPr>
        <sz val="11"/>
        <color indexed="8"/>
        <rFont val="Calibri"/>
        <family val="2"/>
      </rPr>
      <t xml:space="preserve"> table</t>
    </r>
    <r>
      <rPr>
        <b/>
        <sz val="11"/>
        <color indexed="8"/>
        <rFont val="Calibri"/>
        <family val="2"/>
      </rPr>
      <t xml:space="preserve"> 12.1</t>
    </r>
    <r>
      <rPr>
        <sz val="11"/>
        <color indexed="8"/>
        <rFont val="Calibri"/>
        <family val="2"/>
      </rPr>
      <t>.</t>
    </r>
  </si>
  <si>
    <r>
      <t xml:space="preserve">Redid as a table-GUI Q&amp;A for </t>
    </r>
    <r>
      <rPr>
        <b/>
        <sz val="12"/>
        <color theme="1"/>
        <rFont val="Calibri"/>
        <family val="2"/>
        <scheme val="minor"/>
      </rPr>
      <t>7.IRAdata and added handling</t>
    </r>
    <r>
      <rPr>
        <sz val="12"/>
        <color theme="1"/>
        <rFont val="Calibri"/>
        <family val="2"/>
        <scheme val="minor"/>
      </rPr>
      <t xml:space="preserve"> inherited-IRA RMDs. Redid as</t>
    </r>
  </si>
  <si>
    <r>
      <t xml:space="preserve">table-GUI Q&amp;A for </t>
    </r>
    <r>
      <rPr>
        <b/>
        <sz val="12"/>
        <color theme="1"/>
        <rFont val="Calibri"/>
        <family val="2"/>
        <scheme val="minor"/>
      </rPr>
      <t xml:space="preserve">8.RothData </t>
    </r>
    <r>
      <rPr>
        <sz val="12"/>
        <color theme="1"/>
        <rFont val="Calibri"/>
        <family val="2"/>
        <scheme val="minor"/>
      </rPr>
      <t>and added handling for inherited Roths and 401(k)-Roths RMDs. Redid</t>
    </r>
  </si>
  <si>
    <r>
      <t>some of the</t>
    </r>
    <r>
      <rPr>
        <b/>
        <sz val="12"/>
        <color theme="1"/>
        <rFont val="Calibri"/>
        <family val="2"/>
        <scheme val="minor"/>
      </rPr>
      <t xml:space="preserve"> R.Results</t>
    </r>
    <r>
      <rPr>
        <sz val="12"/>
        <color theme="1"/>
        <rFont val="Calibri"/>
        <family val="2"/>
        <scheme val="minor"/>
      </rPr>
      <t xml:space="preserve"> tables to use the new IRA and Roth data and also added some new histograms.</t>
    </r>
  </si>
  <si>
    <r>
      <t xml:space="preserve">Redid the </t>
    </r>
    <r>
      <rPr>
        <b/>
        <sz val="12"/>
        <color theme="1"/>
        <rFont val="Calibri"/>
        <family val="2"/>
        <scheme val="minor"/>
      </rPr>
      <t>Assumptions</t>
    </r>
    <r>
      <rPr>
        <sz val="12"/>
        <color theme="1"/>
        <rFont val="Calibri"/>
        <family val="2"/>
        <scheme val="minor"/>
      </rPr>
      <t xml:space="preserve"> table to use table-GUIs for the </t>
    </r>
    <r>
      <rPr>
        <b/>
        <sz val="12"/>
        <color theme="1"/>
        <rFont val="Calibri"/>
        <family val="2"/>
        <scheme val="minor"/>
      </rPr>
      <t>1. AgeData</t>
    </r>
    <r>
      <rPr>
        <sz val="12"/>
        <color theme="1"/>
        <rFont val="Calibri"/>
        <family val="2"/>
        <scheme val="minor"/>
      </rPr>
      <t xml:space="preserve">, </t>
    </r>
    <r>
      <rPr>
        <b/>
        <sz val="12"/>
        <color theme="1"/>
        <rFont val="Calibri"/>
        <family val="2"/>
        <scheme val="minor"/>
      </rPr>
      <t>7. IRAdata</t>
    </r>
    <r>
      <rPr>
        <sz val="12"/>
        <color theme="1"/>
        <rFont val="Calibri"/>
        <family val="2"/>
        <scheme val="minor"/>
      </rPr>
      <t xml:space="preserve"> and </t>
    </r>
    <r>
      <rPr>
        <b/>
        <sz val="12"/>
        <color theme="1"/>
        <rFont val="Calibri"/>
        <family val="2"/>
        <scheme val="minor"/>
      </rPr>
      <t>8. RothData</t>
    </r>
  </si>
  <si>
    <r>
      <t xml:space="preserve">table-GUIs. Updated </t>
    </r>
    <r>
      <rPr>
        <b/>
        <sz val="12"/>
        <color theme="1"/>
        <rFont val="Calibri"/>
        <family val="2"/>
        <scheme val="minor"/>
      </rPr>
      <t>SimpleCalc</t>
    </r>
    <r>
      <rPr>
        <sz val="12"/>
        <color theme="1"/>
        <rFont val="Calibri"/>
        <family val="2"/>
        <scheme val="minor"/>
      </rPr>
      <t xml:space="preserve"> editing description, added Social Security income annuity option, added</t>
    </r>
  </si>
  <si>
    <r>
      <t>percent of Social Security percentage of expenses statistic under the plot. In the</t>
    </r>
    <r>
      <rPr>
        <b/>
        <sz val="12"/>
        <color theme="1"/>
        <rFont val="Calibri"/>
        <family val="2"/>
        <scheme val="minor"/>
      </rPr>
      <t xml:space="preserve"> 1. AgeData</t>
    </r>
    <r>
      <rPr>
        <sz val="12"/>
        <color theme="1"/>
        <rFont val="Calibri"/>
        <family val="2"/>
        <scheme val="minor"/>
      </rPr>
      <t xml:space="preserve"> worksheet, </t>
    </r>
  </si>
  <si>
    <r>
      <t xml:space="preserve">and other lifetime insurance. Added </t>
    </r>
    <r>
      <rPr>
        <b/>
        <sz val="11"/>
        <color theme="1"/>
        <rFont val="Calibri"/>
        <family val="2"/>
        <scheme val="minor"/>
      </rPr>
      <t>D.3 Dependency of Worksheets on Other Worksheets</t>
    </r>
    <r>
      <rPr>
        <sz val="11"/>
        <color theme="1"/>
        <rFont val="Calibri"/>
        <family val="2"/>
        <scheme val="minor"/>
      </rPr>
      <t xml:space="preserve"> that can</t>
    </r>
  </si>
  <si>
    <t xml:space="preserve">added two insurance policies each for S1 and S2 using a table-GUI since one policy might be term-insurance </t>
  </si>
  <si>
    <r>
      <t xml:space="preserve">Redid as table-GUI Q&amp;A for the </t>
    </r>
    <r>
      <rPr>
        <b/>
        <sz val="12"/>
        <color theme="1"/>
        <rFont val="Calibri"/>
        <family val="2"/>
        <scheme val="minor"/>
      </rPr>
      <t xml:space="preserve">7. IRAdata </t>
    </r>
    <r>
      <rPr>
        <sz val="12"/>
        <color theme="1"/>
        <rFont val="Calibri"/>
        <family val="2"/>
        <scheme val="minor"/>
      </rPr>
      <t xml:space="preserve">to handle RMDs for inherited-IRAs, and </t>
    </r>
    <r>
      <rPr>
        <b/>
        <sz val="12"/>
        <color theme="1"/>
        <rFont val="Calibri"/>
        <family val="2"/>
        <scheme val="minor"/>
      </rPr>
      <t xml:space="preserve">8.RothData </t>
    </r>
    <r>
      <rPr>
        <sz val="12"/>
        <color theme="1"/>
        <rFont val="Calibri"/>
        <family val="2"/>
        <scheme val="minor"/>
      </rPr>
      <t xml:space="preserve">to </t>
    </r>
  </si>
  <si>
    <r>
      <t>handle RMDs for inherited-Roth and 401(k)-Roths.  The new table-GUIs (</t>
    </r>
    <r>
      <rPr>
        <b/>
        <sz val="12"/>
        <color theme="1"/>
        <rFont val="Calibri"/>
        <family val="2"/>
        <scheme val="minor"/>
      </rPr>
      <t>7.1</t>
    </r>
    <r>
      <rPr>
        <sz val="12"/>
        <color theme="1"/>
        <rFont val="Calibri"/>
        <family val="2"/>
        <scheme val="minor"/>
      </rPr>
      <t xml:space="preserve"> and </t>
    </r>
    <r>
      <rPr>
        <b/>
        <sz val="12"/>
        <color theme="1"/>
        <rFont val="Calibri"/>
        <family val="2"/>
        <scheme val="minor"/>
      </rPr>
      <t>8.1</t>
    </r>
    <r>
      <rPr>
        <sz val="12"/>
        <color theme="1"/>
        <rFont val="Calibri"/>
        <family val="2"/>
        <scheme val="minor"/>
      </rPr>
      <t>) works with the</t>
    </r>
  </si>
  <si>
    <r>
      <t>regular IRA and Roths Need to finish implementing the tables (new</t>
    </r>
    <r>
      <rPr>
        <b/>
        <sz val="12"/>
        <color theme="1"/>
        <rFont val="Calibri"/>
        <family val="2"/>
        <scheme val="minor"/>
      </rPr>
      <t xml:space="preserve"> 7.2</t>
    </r>
    <r>
      <rPr>
        <sz val="12"/>
        <color theme="1"/>
        <rFont val="Calibri"/>
        <family val="2"/>
        <scheme val="minor"/>
      </rPr>
      <t xml:space="preserve"> and </t>
    </r>
    <r>
      <rPr>
        <b/>
        <sz val="12"/>
        <color theme="1"/>
        <rFont val="Calibri"/>
        <family val="2"/>
        <scheme val="minor"/>
      </rPr>
      <t>8.2</t>
    </r>
    <r>
      <rPr>
        <sz val="12"/>
        <color theme="1"/>
        <rFont val="Calibri"/>
        <family val="2"/>
        <scheme val="minor"/>
      </rPr>
      <t>) for the other types of</t>
    </r>
  </si>
  <si>
    <t>IRAs and Roths.</t>
  </si>
  <si>
    <r>
      <rPr>
        <b/>
        <sz val="11"/>
        <color theme="1"/>
        <rFont val="Calibri"/>
        <family val="2"/>
        <scheme val="minor"/>
      </rPr>
      <t>9. SavingsData</t>
    </r>
    <r>
      <rPr>
        <sz val="11"/>
        <color theme="1"/>
        <rFont val="Calibri"/>
        <family val="2"/>
        <scheme val="minor"/>
      </rPr>
      <t xml:space="preserve"> tables </t>
    </r>
    <r>
      <rPr>
        <b/>
        <sz val="11"/>
        <color theme="1"/>
        <rFont val="Calibri"/>
        <family val="2"/>
        <scheme val="minor"/>
      </rPr>
      <t>9.4.2</t>
    </r>
    <r>
      <rPr>
        <sz val="11"/>
        <color theme="1"/>
        <rFont val="Calibri"/>
        <family val="2"/>
        <scheme val="minor"/>
      </rPr>
      <t xml:space="preserve"> and summed into Savings(y) in table </t>
    </r>
    <r>
      <rPr>
        <b/>
        <sz val="11"/>
        <color theme="1"/>
        <rFont val="Calibri"/>
        <family val="2"/>
        <scheme val="minor"/>
      </rPr>
      <t>9.5</t>
    </r>
    <r>
      <rPr>
        <sz val="11"/>
        <color theme="1"/>
        <rFont val="Calibri"/>
        <family val="2"/>
        <scheme val="minor"/>
      </rPr>
      <t xml:space="preserve">. Changed to Table-GUI </t>
    </r>
  </si>
  <si>
    <t>RMDs for inherited-Roth and 401(k)-Roths. They may have a different RMD schedules than the regular IRAs</t>
  </si>
  <si>
    <r>
      <t xml:space="preserve">(but </t>
    </r>
    <r>
      <rPr>
        <u/>
        <sz val="11"/>
        <color theme="1"/>
        <rFont val="Calibri"/>
        <family val="2"/>
        <scheme val="minor"/>
      </rPr>
      <t>no code yet</t>
    </r>
    <r>
      <rPr>
        <sz val="11"/>
        <color theme="1"/>
        <rFont val="Calibri"/>
        <family val="2"/>
        <scheme val="minor"/>
      </rPr>
      <t xml:space="preserve">) for redoing the </t>
    </r>
    <r>
      <rPr>
        <b/>
        <sz val="11"/>
        <color theme="1"/>
        <rFont val="Calibri"/>
        <family val="2"/>
        <scheme val="minor"/>
      </rPr>
      <t xml:space="preserve">7. IRAdata </t>
    </r>
    <r>
      <rPr>
        <sz val="11"/>
        <color theme="1"/>
        <rFont val="Calibri"/>
        <family val="2"/>
        <scheme val="minor"/>
      </rPr>
      <t xml:space="preserve">to handle RMDs for inherited-IRAs, and </t>
    </r>
    <r>
      <rPr>
        <b/>
        <sz val="11"/>
        <color theme="1"/>
        <rFont val="Calibri"/>
        <family val="2"/>
        <scheme val="minor"/>
      </rPr>
      <t xml:space="preserve">8.RothData </t>
    </r>
    <r>
      <rPr>
        <sz val="11"/>
        <color theme="1"/>
        <rFont val="Calibri"/>
        <family val="2"/>
        <scheme val="minor"/>
      </rPr>
      <t xml:space="preserve">to handle </t>
    </r>
  </si>
  <si>
    <t>and Roths, and depend on a number of factors. But might be able to specify some of the factors as part of a</t>
  </si>
  <si>
    <t xml:space="preserve">table entry  (account-name, value, est. ROR, RMD-schedules, etc.). Need to handle non-standard RMDs for </t>
  </si>
  <si>
    <t>inherited IRA/Roths.</t>
  </si>
  <si>
    <r>
      <t xml:space="preserve">Added graph to </t>
    </r>
    <r>
      <rPr>
        <b/>
        <sz val="11"/>
        <color theme="1"/>
        <rFont val="Calibri"/>
        <family val="2"/>
        <scheme val="minor"/>
      </rPr>
      <t>R. Results</t>
    </r>
    <r>
      <rPr>
        <sz val="11"/>
        <color theme="1"/>
        <rFont val="Calibri"/>
        <family val="2"/>
        <scheme val="minor"/>
      </rPr>
      <t xml:space="preserve"> to included more data </t>
    </r>
    <r>
      <rPr>
        <b/>
        <sz val="11"/>
        <color theme="1"/>
        <rFont val="Calibri"/>
        <family val="2"/>
        <scheme val="minor"/>
      </rPr>
      <t>R.1.2 Graph of summary values over time of table R.1 cols [J:N].</t>
    </r>
  </si>
  <si>
    <r>
      <t xml:space="preserve">will not increase with time.  Similarly, for </t>
    </r>
    <r>
      <rPr>
        <b/>
        <sz val="11"/>
        <color indexed="8"/>
        <rFont val="Calibri"/>
        <family val="2"/>
      </rPr>
      <t>9. SavingsData</t>
    </r>
    <r>
      <rPr>
        <sz val="11"/>
        <color indexed="8"/>
        <rFont val="Calibri"/>
        <family val="2"/>
      </rPr>
      <t>,  entries that are not being used, set the Event Type</t>
    </r>
  </si>
  <si>
    <r>
      <t>to "</t>
    </r>
    <r>
      <rPr>
        <b/>
        <sz val="11"/>
        <color rgb="FFFF0000"/>
        <rFont val="Calibri"/>
        <family val="2"/>
      </rPr>
      <t>U</t>
    </r>
    <r>
      <rPr>
        <sz val="11"/>
        <color indexed="8"/>
        <rFont val="Calibri"/>
        <family val="2"/>
      </rPr>
      <t>".  For Contributions set it to "C", for Withdrawals set it to "</t>
    </r>
    <r>
      <rPr>
        <b/>
        <sz val="11"/>
        <color rgb="FFFF0000"/>
        <rFont val="Calibri"/>
        <family val="2"/>
      </rPr>
      <t>W</t>
    </r>
    <r>
      <rPr>
        <sz val="11"/>
        <color indexed="8"/>
        <rFont val="Calibri"/>
        <family val="2"/>
      </rPr>
      <t>". For fixed-contributions (with no COLA)</t>
    </r>
  </si>
  <si>
    <r>
      <t>use "</t>
    </r>
    <r>
      <rPr>
        <b/>
        <sz val="11"/>
        <color rgb="FFFF0000"/>
        <rFont val="Calibri"/>
        <family val="2"/>
      </rPr>
      <t>FC</t>
    </r>
    <r>
      <rPr>
        <sz val="11"/>
        <color indexed="8"/>
        <rFont val="Calibri"/>
        <family val="2"/>
      </rPr>
      <t>".  For fixed-withdrawals (with no-COLA) set it to "</t>
    </r>
    <r>
      <rPr>
        <b/>
        <sz val="11"/>
        <color indexed="10"/>
        <rFont val="Calibri"/>
        <family val="2"/>
      </rPr>
      <t>W</t>
    </r>
    <r>
      <rPr>
        <sz val="11"/>
        <color indexed="8"/>
        <rFont val="Calibri"/>
        <family val="2"/>
      </rPr>
      <t>". For fixed-contributions (with no COLA) use "</t>
    </r>
    <r>
      <rPr>
        <b/>
        <sz val="11"/>
        <color rgb="FFFF0000"/>
        <rFont val="Calibri"/>
        <family val="2"/>
      </rPr>
      <t>FC</t>
    </r>
    <r>
      <rPr>
        <sz val="11"/>
        <color indexed="8"/>
        <rFont val="Calibri"/>
        <family val="2"/>
      </rPr>
      <t xml:space="preserve">". </t>
    </r>
  </si>
  <si>
    <r>
      <t>For fixed-withdrawals (with no-COLA) use "</t>
    </r>
    <r>
      <rPr>
        <b/>
        <sz val="11"/>
        <color rgb="FFFF0000"/>
        <rFont val="Calibri"/>
        <family val="2"/>
      </rPr>
      <t>FW</t>
    </r>
    <r>
      <rPr>
        <sz val="11"/>
        <color indexed="8"/>
        <rFont val="Calibri"/>
        <family val="2"/>
      </rPr>
      <t xml:space="preserve">". </t>
    </r>
  </si>
  <si>
    <r>
      <rPr>
        <u/>
        <sz val="11"/>
        <color indexed="8"/>
        <rFont val="Calibri"/>
        <family val="2"/>
      </rPr>
      <t>Type</t>
    </r>
    <r>
      <rPr>
        <sz val="11"/>
        <color indexed="8"/>
        <rFont val="Calibri"/>
        <family val="2"/>
      </rPr>
      <t>:</t>
    </r>
    <r>
      <rPr>
        <b/>
        <sz val="11"/>
        <color rgb="FFFF0000"/>
        <rFont val="Calibri"/>
        <family val="2"/>
      </rPr>
      <t xml:space="preserve"> E </t>
    </r>
    <r>
      <rPr>
        <sz val="11"/>
        <color indexed="8"/>
        <rFont val="Calibri"/>
        <family val="2"/>
      </rPr>
      <t>is for an expense that will increase (FV using the COLA) with time, code "</t>
    </r>
    <r>
      <rPr>
        <b/>
        <sz val="11"/>
        <color rgb="FFFF0000"/>
        <rFont val="Calibri"/>
        <family val="2"/>
      </rPr>
      <t>FE</t>
    </r>
    <r>
      <rPr>
        <sz val="11"/>
        <color indexed="8"/>
        <rFont val="Calibri"/>
        <family val="2"/>
      </rPr>
      <t xml:space="preserve">" is a fixed-expense that </t>
    </r>
  </si>
  <si>
    <r>
      <t xml:space="preserve">Mortgage P+I expenses, etc. For each </t>
    </r>
    <r>
      <rPr>
        <b/>
        <sz val="11"/>
        <color theme="1"/>
        <rFont val="Calibri"/>
        <family val="2"/>
        <scheme val="minor"/>
      </rPr>
      <t xml:space="preserve">10.ExpensesData Irregular </t>
    </r>
    <r>
      <rPr>
        <sz val="11"/>
        <color theme="1"/>
        <rFont val="Calibri"/>
        <family val="2"/>
        <scheme val="minor"/>
      </rPr>
      <t xml:space="preserve">Expenses entry, you must set the </t>
    </r>
    <r>
      <rPr>
        <u/>
        <sz val="11"/>
        <color theme="1"/>
        <rFont val="Calibri"/>
        <family val="2"/>
        <scheme val="minor"/>
      </rPr>
      <t xml:space="preserve">Event </t>
    </r>
  </si>
  <si>
    <t>The Tax tables were updated to the 2016 versions and references to 2015 were changed to 2016 where</t>
  </si>
  <si>
    <t xml:space="preserve">appropriate. Some of the optional override specifications had incorrect code that showed up with $0 data. </t>
  </si>
  <si>
    <t>These were corrected.</t>
  </si>
  <si>
    <t>Added Excel protected cells except for red cells where user enter data for all worksheets where data are</t>
  </si>
  <si>
    <r>
      <t xml:space="preserve">entered: </t>
    </r>
    <r>
      <rPr>
        <b/>
        <sz val="11"/>
        <color indexed="8"/>
        <rFont val="Calibri"/>
        <family val="2"/>
      </rPr>
      <t>S. Setup</t>
    </r>
    <r>
      <rPr>
        <sz val="11"/>
        <color indexed="8"/>
        <rFont val="Calibri"/>
        <family val="2"/>
      </rPr>
      <t xml:space="preserve"> through </t>
    </r>
    <r>
      <rPr>
        <b/>
        <sz val="11"/>
        <color indexed="8"/>
        <rFont val="Calibri"/>
        <family val="2"/>
      </rPr>
      <t>10. Expenses</t>
    </r>
    <r>
      <rPr>
        <sz val="11"/>
        <color indexed="8"/>
        <rFont val="Calibri"/>
        <family val="2"/>
      </rPr>
      <t>. Protected entire worksheets for</t>
    </r>
    <r>
      <rPr>
        <b/>
        <sz val="11"/>
        <color indexed="8"/>
        <rFont val="Calibri"/>
        <family val="2"/>
      </rPr>
      <t xml:space="preserve"> A. Assumptions, R. Results, </t>
    </r>
  </si>
  <si>
    <r>
      <rPr>
        <b/>
        <sz val="11"/>
        <color indexed="8"/>
        <rFont val="Calibri"/>
        <family val="2"/>
      </rPr>
      <t>11. CashData</t>
    </r>
    <r>
      <rPr>
        <sz val="11"/>
        <color indexed="8"/>
        <rFont val="Calibri"/>
        <family val="2"/>
      </rPr>
      <t xml:space="preserve">,  and </t>
    </r>
    <r>
      <rPr>
        <b/>
        <sz val="11"/>
        <color indexed="8"/>
        <rFont val="Calibri"/>
        <family val="2"/>
      </rPr>
      <t>12. RMDtable</t>
    </r>
    <r>
      <rPr>
        <sz val="11"/>
        <color indexed="8"/>
        <rFont val="Calibri"/>
        <family val="2"/>
      </rPr>
      <t>.</t>
    </r>
  </si>
  <si>
    <r>
      <t>This prevents "divide by 0" problems. The</t>
    </r>
    <r>
      <rPr>
        <b/>
        <sz val="11"/>
        <color theme="1"/>
        <rFont val="Calibri"/>
        <family val="2"/>
        <scheme val="minor"/>
      </rPr>
      <t xml:space="preserve"> S.Setup </t>
    </r>
    <r>
      <rPr>
        <sz val="11"/>
        <color theme="1"/>
        <rFont val="Calibri"/>
        <family val="2"/>
        <scheme val="minor"/>
      </rPr>
      <t xml:space="preserve">options were defaulted no worksheets being added and </t>
    </r>
  </si>
  <si>
    <r>
      <t>other options turned off (</t>
    </r>
    <r>
      <rPr>
        <b/>
        <sz val="11"/>
        <color rgb="FFFF6600"/>
        <rFont val="Calibri"/>
        <family val="2"/>
        <scheme val="minor"/>
      </rPr>
      <t>"no"</t>
    </r>
    <r>
      <rPr>
        <sz val="11"/>
        <color theme="1"/>
        <rFont val="Calibri"/>
        <family val="2"/>
        <scheme val="minor"/>
      </rPr>
      <t xml:space="preserve">). This means the user must enable all options they wish to use. </t>
    </r>
  </si>
  <si>
    <t>This lists the three versions of the spreadsheet release with: a) with demo data, b) no irregular demo data, and</t>
  </si>
  <si>
    <r>
      <t xml:space="preserve">c) with no demo data so that all entries have either </t>
    </r>
    <r>
      <rPr>
        <b/>
        <sz val="11"/>
        <color rgb="FFFF6600"/>
        <rFont val="Calibri"/>
        <family val="2"/>
        <scheme val="minor"/>
      </rPr>
      <t xml:space="preserve">$0 </t>
    </r>
    <r>
      <rPr>
        <sz val="11"/>
        <color theme="1"/>
        <rFont val="Calibri"/>
        <family val="2"/>
        <scheme val="minor"/>
      </rPr>
      <t xml:space="preserve">or </t>
    </r>
    <r>
      <rPr>
        <b/>
        <sz val="11"/>
        <color rgb="FFFF6600"/>
        <rFont val="Calibri"/>
        <family val="2"/>
        <scheme val="minor"/>
      </rPr>
      <t>0.0%</t>
    </r>
    <r>
      <rPr>
        <sz val="11"/>
        <color theme="1"/>
        <rFont val="Calibri"/>
        <family val="2"/>
        <scheme val="minor"/>
      </rPr>
      <t xml:space="preserve"> (as needed), with no irregular data, and with all </t>
    </r>
  </si>
  <si>
    <r>
      <t xml:space="preserve">worksheets are unselected in </t>
    </r>
    <r>
      <rPr>
        <b/>
        <sz val="11"/>
        <color theme="1"/>
        <rFont val="Calibri"/>
        <family val="2"/>
        <scheme val="minor"/>
      </rPr>
      <t>S. Setup</t>
    </r>
    <r>
      <rPr>
        <sz val="11"/>
        <color theme="1"/>
        <rFont val="Calibri"/>
        <family val="2"/>
        <scheme val="minor"/>
      </rPr>
      <t>.</t>
    </r>
  </si>
  <si>
    <r>
      <t xml:space="preserve">Verified and fixed conditional code so that if </t>
    </r>
    <r>
      <rPr>
        <b/>
        <sz val="11"/>
        <color theme="1"/>
        <rFont val="Calibri"/>
        <family val="2"/>
        <scheme val="minor"/>
      </rPr>
      <t>S. Setup S.3</t>
    </r>
    <r>
      <rPr>
        <sz val="11"/>
        <color theme="1"/>
        <rFont val="Calibri"/>
        <family val="2"/>
        <scheme val="minor"/>
      </rPr>
      <t xml:space="preserve"> "remove" assets after death for S1 or S2 was set, then</t>
    </r>
  </si>
  <si>
    <r>
      <t xml:space="preserve">the values remaining after the age of death specified by </t>
    </r>
    <r>
      <rPr>
        <b/>
        <sz val="11"/>
        <color theme="1"/>
        <rFont val="Calibri"/>
        <family val="2"/>
        <scheme val="minor"/>
      </rPr>
      <t>1. AgeData</t>
    </r>
    <r>
      <rPr>
        <sz val="11"/>
        <color theme="1"/>
        <rFont val="Calibri"/>
        <family val="2"/>
        <scheme val="minor"/>
      </rPr>
      <t xml:space="preserve"> are set to $0 for </t>
    </r>
    <r>
      <rPr>
        <b/>
        <sz val="11"/>
        <color theme="1"/>
        <rFont val="Calibri"/>
        <family val="2"/>
        <scheme val="minor"/>
      </rPr>
      <t xml:space="preserve">7. IRAdata, 8. RothData, </t>
    </r>
  </si>
  <si>
    <r>
      <t xml:space="preserve">Rewrote the </t>
    </r>
    <r>
      <rPr>
        <b/>
        <sz val="11"/>
        <color indexed="8"/>
        <rFont val="Calibri"/>
        <family val="2"/>
      </rPr>
      <t>Introduction</t>
    </r>
    <r>
      <rPr>
        <sz val="11"/>
        <color indexed="8"/>
        <rFont val="Calibri"/>
        <family val="2"/>
      </rPr>
      <t xml:space="preserve"> and</t>
    </r>
    <r>
      <rPr>
        <b/>
        <sz val="11"/>
        <color indexed="8"/>
        <rFont val="Calibri"/>
        <family val="2"/>
      </rPr>
      <t xml:space="preserve"> Appendix A </t>
    </r>
    <r>
      <rPr>
        <sz val="11"/>
        <color indexed="8"/>
        <rFont val="Calibri"/>
        <family val="2"/>
      </rPr>
      <t>Glossary to clarify them. Edited &amp; fixed documentation errors</t>
    </r>
  </si>
  <si>
    <t>throughout the spreadsheet. Added color bars on each worksheet according to the color codes for that type of</t>
  </si>
  <si>
    <t>of all accounts (IRA, Roth, Savings). This gathers the assets from the other worksheets and gives a global view.</t>
  </si>
  <si>
    <r>
      <t xml:space="preserve">Added new sub-table </t>
    </r>
    <r>
      <rPr>
        <b/>
        <sz val="11"/>
        <color indexed="8"/>
        <rFont val="Calibri"/>
        <family val="2"/>
      </rPr>
      <t xml:space="preserve">R. Results R.5.2 </t>
    </r>
    <r>
      <rPr>
        <sz val="11"/>
        <color indexed="8"/>
        <rFont val="Calibri"/>
        <family val="2"/>
      </rPr>
      <t xml:space="preserve"> which computes the Total Stock:Bond Percentages and Asset Allocation</t>
    </r>
  </si>
  <si>
    <r>
      <t xml:space="preserve">Added sources used to derive the </t>
    </r>
    <r>
      <rPr>
        <b/>
        <sz val="11"/>
        <color indexed="8"/>
        <rFont val="Calibri"/>
        <family val="2"/>
      </rPr>
      <t>R. Results</t>
    </r>
    <r>
      <rPr>
        <sz val="11"/>
        <color indexed="8"/>
        <rFont val="Calibri"/>
        <family val="2"/>
      </rPr>
      <t xml:space="preserve"> tables </t>
    </r>
    <r>
      <rPr>
        <b/>
        <sz val="11"/>
        <color indexed="8"/>
        <rFont val="Calibri"/>
        <family val="2"/>
      </rPr>
      <t>R.1</t>
    </r>
    <r>
      <rPr>
        <sz val="11"/>
        <color indexed="8"/>
        <rFont val="Calibri"/>
        <family val="2"/>
      </rPr>
      <t xml:space="preserve"> through </t>
    </r>
    <r>
      <rPr>
        <b/>
        <sz val="11"/>
        <color indexed="8"/>
        <rFont val="Calibri"/>
        <family val="2"/>
      </rPr>
      <t>R.8</t>
    </r>
    <r>
      <rPr>
        <sz val="11"/>
        <color indexed="8"/>
        <rFont val="Calibri"/>
        <family val="2"/>
      </rPr>
      <t xml:space="preserve"> from the other worksheets. This can be </t>
    </r>
  </si>
  <si>
    <t>used for  checking the calculations used in the summary tables.</t>
  </si>
  <si>
    <t>worksheet. Removed remaining popup comments which may not be portable in different spreadsheet</t>
  </si>
  <si>
    <r>
      <t xml:space="preserve">programs. Renumbered </t>
    </r>
    <r>
      <rPr>
        <b/>
        <sz val="11"/>
        <color indexed="8"/>
        <rFont val="Calibri"/>
        <family val="2"/>
      </rPr>
      <t>RS. Resources</t>
    </r>
    <r>
      <rPr>
        <sz val="11"/>
        <color indexed="8"/>
        <rFont val="Calibri"/>
        <family val="2"/>
      </rPr>
      <t xml:space="preserve"> table entries </t>
    </r>
    <r>
      <rPr>
        <b/>
        <sz val="11"/>
        <color indexed="8"/>
        <rFont val="Calibri"/>
        <family val="2"/>
      </rPr>
      <t xml:space="preserve">6.1, 6.2 </t>
    </r>
    <r>
      <rPr>
        <sz val="11"/>
        <color indexed="8"/>
        <rFont val="Calibri"/>
        <family val="2"/>
      </rPr>
      <t xml:space="preserve">etc. to </t>
    </r>
    <r>
      <rPr>
        <b/>
        <sz val="11"/>
        <color indexed="8"/>
        <rFont val="Calibri"/>
        <family val="2"/>
      </rPr>
      <t>RS.1, RS.2</t>
    </r>
    <r>
      <rPr>
        <sz val="11"/>
        <color indexed="8"/>
        <rFont val="Calibri"/>
        <family val="2"/>
      </rPr>
      <t>, etc.</t>
    </r>
  </si>
  <si>
    <t xml:space="preserve">from  old Introduction "6. Resources (articles, literature, web </t>
  </si>
  <si>
    <r>
      <t xml:space="preserve">sites)". Added color codes for  the worksheet tabs (at the bottom of the window)  to the </t>
    </r>
    <r>
      <rPr>
        <b/>
        <sz val="11"/>
        <color indexed="8"/>
        <rFont val="Calibri"/>
        <family val="2"/>
      </rPr>
      <t>Introduction</t>
    </r>
    <r>
      <rPr>
        <sz val="11"/>
        <color indexed="8"/>
        <rFont val="Calibri"/>
        <family val="2"/>
      </rPr>
      <t xml:space="preserve"> </t>
    </r>
  </si>
  <si>
    <t>Add Previous and Next Worksheet hyperlinks to each page (top and bottom) to ease navigation. Changed</t>
  </si>
  <si>
    <r>
      <rPr>
        <b/>
        <sz val="11"/>
        <color indexed="8"/>
        <rFont val="Calibri"/>
        <family val="2"/>
      </rPr>
      <t>Introduction</t>
    </r>
    <r>
      <rPr>
        <sz val="11"/>
        <color indexed="8"/>
        <rFont val="Calibri"/>
        <family val="2"/>
      </rPr>
      <t xml:space="preserve"> "6. References" to "6. Resources (articles, literature, web sites)". Added more references.</t>
    </r>
  </si>
  <si>
    <t>worksheet that summarizes  the current values set by users in other</t>
  </si>
  <si>
    <r>
      <t xml:space="preserve">worksheets including:  </t>
    </r>
    <r>
      <rPr>
        <b/>
        <sz val="11"/>
        <color indexed="8"/>
        <rFont val="Calibri"/>
        <family val="2"/>
      </rPr>
      <t>S. Setup,   1. AgeData</t>
    </r>
    <r>
      <rPr>
        <sz val="11"/>
        <color indexed="8"/>
        <rFont val="Calibri"/>
        <family val="2"/>
      </rPr>
      <t xml:space="preserve"> through  </t>
    </r>
    <r>
      <rPr>
        <b/>
        <sz val="11"/>
        <color indexed="8"/>
        <rFont val="Calibri"/>
        <family val="2"/>
      </rPr>
      <t>10. ExpensesData.</t>
    </r>
    <r>
      <rPr>
        <sz val="11"/>
        <color indexed="8"/>
        <rFont val="Calibri"/>
        <family val="2"/>
      </rPr>
      <t xml:space="preserve"> Also extensive cleanup.</t>
    </r>
  </si>
  <si>
    <t>Cleaned up 2015 tax tables. Added additional rules for increased Short-Term Cap-Gains rates for high earners</t>
  </si>
  <si>
    <t>You can subtract medical insurance taken from your gross income if you do not add it as part of your yearly expenses in</t>
  </si>
  <si>
    <r>
      <rPr>
        <b/>
        <sz val="11"/>
        <color theme="1"/>
        <rFont val="Calibri"/>
        <family val="2"/>
        <scheme val="minor"/>
      </rPr>
      <t>10. ExpenseData.</t>
    </r>
    <r>
      <rPr>
        <sz val="11"/>
        <color theme="1"/>
        <rFont val="Calibri"/>
        <family val="2"/>
        <scheme val="minor"/>
      </rPr>
      <t xml:space="preserve"> The spreadsheet estimate does not deal with State tax withholding.  You may optionally declare a State Tax</t>
    </r>
  </si>
  <si>
    <t>While saving for future expenditures such as retirement, a new house, college education for your children you might</t>
  </si>
  <si>
    <t xml:space="preserve">finances over time. How does it change with the contributions to savings during your accumulation phase and how </t>
  </si>
  <si>
    <t>rapidly your savings are being depleted during retirement. It can be useful to periodically check how you are doing to</t>
  </si>
  <si>
    <t>make sure you are still on track to reach your goals, and if not what might you change to improve your glide path.</t>
  </si>
  <si>
    <t>another good one is on the Dinkeytown.net Website:</t>
  </si>
  <si>
    <t>The latter</t>
  </si>
  <si>
    <t>gives more options but is limited to particular types of investment accounts (IRA or ROTH or Savings) rather than</t>
  </si>
  <si>
    <t>incorporating all of your accounts. Some calculators may have somewhat optimistic default returns on portfolio savings (pre-</t>
  </si>
  <si>
    <t xml:space="preserve">retirement 7.0% and 6.0% post retirement). Retirement income starts when the current gross annual income stops. To use </t>
  </si>
  <si>
    <r>
      <t xml:space="preserve">this calculator, just enter your personal information in the </t>
    </r>
    <r>
      <rPr>
        <b/>
        <sz val="11"/>
        <color rgb="FFFF0000"/>
        <rFont val="Calibri"/>
        <family val="2"/>
        <scheme val="minor"/>
      </rPr>
      <t>red</t>
    </r>
    <r>
      <rPr>
        <sz val="11"/>
        <color theme="1"/>
        <rFont val="Calibri"/>
        <family val="2"/>
        <scheme val="minor"/>
      </rPr>
      <t xml:space="preserve"> cells in </t>
    </r>
    <r>
      <rPr>
        <b/>
        <sz val="11"/>
        <color theme="1"/>
        <rFont val="Calibri"/>
        <family val="2"/>
        <scheme val="minor"/>
      </rPr>
      <t>box 1.</t>
    </r>
    <r>
      <rPr>
        <sz val="11"/>
        <color theme="1"/>
        <rFont val="Calibri"/>
        <family val="2"/>
        <scheme val="minor"/>
      </rPr>
      <t xml:space="preserve"> Retirement income is typically 70% to 80% or</t>
    </r>
  </si>
  <si>
    <r>
      <t xml:space="preserve">current income but could be more or less. You can change these additional parameters in </t>
    </r>
    <r>
      <rPr>
        <b/>
        <sz val="11"/>
        <color theme="1"/>
        <rFont val="Calibri"/>
        <family val="2"/>
        <scheme val="minor"/>
      </rPr>
      <t>box 2</t>
    </r>
    <r>
      <rPr>
        <sz val="11"/>
        <color theme="1"/>
        <rFont val="Calibri"/>
        <family val="2"/>
        <scheme val="minor"/>
      </rPr>
      <t>. If you are still working then</t>
    </r>
  </si>
  <si>
    <t>the current age will be less than your retirement age. It will also add your Social Security annuity, if you specify any, to your</t>
  </si>
  <si>
    <r>
      <t xml:space="preserve">yearly savings allowing you to specify a lower percent of AGI income needed in retirement. If you are </t>
    </r>
    <r>
      <rPr>
        <u/>
        <sz val="11"/>
        <color theme="1"/>
        <rFont val="Calibri"/>
        <family val="2"/>
        <scheme val="minor"/>
      </rPr>
      <t>already</t>
    </r>
    <r>
      <rPr>
        <sz val="11"/>
        <color theme="1"/>
        <rFont val="Calibri"/>
        <family val="2"/>
        <scheme val="minor"/>
      </rPr>
      <t xml:space="preserve"> retired, set th</t>
    </r>
  </si>
  <si>
    <t xml:space="preserve"> retired age to your current age. </t>
  </si>
  <si>
    <t xml:space="preserve">wonder if you are saving enough or spending too much on current expenses. A glide-path analysis helps you look at your </t>
  </si>
  <si>
    <r>
      <t xml:space="preserve">This non-editable worksheet summarizes the values of data entered in other data entry worksheets: </t>
    </r>
    <r>
      <rPr>
        <b/>
        <sz val="11"/>
        <color theme="1"/>
        <rFont val="Calibri"/>
        <family val="2"/>
        <scheme val="minor"/>
      </rPr>
      <t>S. Setup,   1. AgeData</t>
    </r>
  </si>
  <si>
    <t>To make changes to any of the values below, go to the corresponding worksheets and make the changes there. You may easily</t>
  </si>
  <si>
    <t>switch to another worksheet by clicking on the worksheet hyperlink in column (B) in the tables below. Alternatively click on</t>
  </si>
  <si>
    <t xml:space="preserve">the worksheet name in the Navigation list at the bottom of this worksheet or the worksheet tab name at the bottom of this </t>
  </si>
  <si>
    <t>Excel program.</t>
  </si>
  <si>
    <t>This non-editable worksheet is an overall summary of the SIPT glide-path results. It copies results data computed in other</t>
  </si>
  <si>
    <r>
      <t xml:space="preserve">spreadsheet in order to create this summary, especially </t>
    </r>
    <r>
      <rPr>
        <b/>
        <sz val="11"/>
        <color indexed="8"/>
        <rFont val="Calibri"/>
        <family val="2"/>
      </rPr>
      <t>Introduction</t>
    </r>
    <r>
      <rPr>
        <sz val="11"/>
        <color indexed="8"/>
        <rFont val="Calibri"/>
        <family val="2"/>
      </rPr>
      <t xml:space="preserve"> sections </t>
    </r>
    <r>
      <rPr>
        <b/>
        <sz val="11"/>
        <color indexed="8"/>
        <rFont val="Calibri"/>
        <family val="2"/>
      </rPr>
      <t xml:space="preserve">1.3 </t>
    </r>
    <r>
      <rPr>
        <sz val="11"/>
        <color indexed="8"/>
        <rFont val="Calibri"/>
        <family val="2"/>
      </rPr>
      <t xml:space="preserve">and </t>
    </r>
    <r>
      <rPr>
        <b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 xml:space="preserve">. The spreadsheet computes the </t>
    </r>
  </si>
  <si>
    <r>
      <t xml:space="preserve">sub-tables in this worksheet </t>
    </r>
    <r>
      <rPr>
        <b/>
        <sz val="11"/>
        <color theme="1"/>
        <rFont val="Calibri"/>
        <family val="2"/>
        <scheme val="minor"/>
      </rPr>
      <t xml:space="preserve">R. Results </t>
    </r>
    <r>
      <rPr>
        <sz val="11"/>
        <color theme="1"/>
        <rFont val="Calibri"/>
        <family val="2"/>
        <scheme val="minor"/>
      </rPr>
      <t xml:space="preserve">tables </t>
    </r>
    <r>
      <rPr>
        <b/>
        <sz val="11"/>
        <color theme="1"/>
        <rFont val="Calibri"/>
        <family val="2"/>
        <scheme val="minor"/>
      </rPr>
      <t xml:space="preserve">R.1 </t>
    </r>
    <r>
      <rPr>
        <sz val="11"/>
        <color theme="1"/>
        <rFont val="Calibri"/>
        <family val="2"/>
        <scheme val="minor"/>
      </rPr>
      <t>through</t>
    </r>
    <r>
      <rPr>
        <b/>
        <sz val="11"/>
        <color theme="1"/>
        <rFont val="Calibri"/>
        <family val="2"/>
        <scheme val="minor"/>
      </rPr>
      <t xml:space="preserve"> R.8 </t>
    </r>
    <r>
      <rPr>
        <sz val="11"/>
        <color theme="1"/>
        <rFont val="Calibri"/>
        <family val="2"/>
        <scheme val="minor"/>
      </rPr>
      <t xml:space="preserve">below. Table </t>
    </r>
    <r>
      <rPr>
        <b/>
        <sz val="11"/>
        <color theme="1"/>
        <rFont val="Calibri"/>
        <family val="2"/>
        <scheme val="minor"/>
      </rPr>
      <t xml:space="preserve">R.1 </t>
    </r>
    <r>
      <rPr>
        <sz val="11"/>
        <color theme="1"/>
        <rFont val="Calibri"/>
        <family val="2"/>
        <scheme val="minor"/>
      </rPr>
      <t xml:space="preserve">is the primary glide-path summary table and </t>
    </r>
  </si>
  <si>
    <r>
      <rPr>
        <sz val="11"/>
        <color indexed="8"/>
        <rFont val="Calibri"/>
        <family val="2"/>
      </rPr>
      <t xml:space="preserve">you might look at it first. Table </t>
    </r>
    <r>
      <rPr>
        <b/>
        <sz val="11"/>
        <color indexed="8"/>
        <rFont val="Calibri"/>
        <family val="2"/>
      </rPr>
      <t>R.8</t>
    </r>
    <r>
      <rPr>
        <sz val="11"/>
        <color indexed="8"/>
        <rFont val="Calibri"/>
        <family val="2"/>
      </rPr>
      <t xml:space="preserve"> shows possible problems with some of the data that are checked for age data </t>
    </r>
  </si>
  <si>
    <t>consistency and negative cash flows in tables before the deceased date. If it did not indicate any errors, than you have not</t>
  </si>
  <si>
    <t xml:space="preserve">entered any grossly incorrect data. Because the R. Results worksheet contains so many columns, it was broken up into </t>
  </si>
  <si>
    <t>many tables so it could be printed in landscape mode.</t>
  </si>
  <si>
    <r>
      <t xml:space="preserve">INSTRUCTIONS: This is a results summary drived from other worksheets. </t>
    </r>
    <r>
      <rPr>
        <sz val="11"/>
        <color theme="1"/>
        <rFont val="Calibri"/>
        <family val="2"/>
        <scheme val="minor"/>
      </rPr>
      <t xml:space="preserve">There is nothing for you to edit in the </t>
    </r>
    <r>
      <rPr>
        <b/>
        <sz val="11"/>
        <color theme="1"/>
        <rFont val="Calibri"/>
        <family val="2"/>
        <scheme val="minor"/>
      </rPr>
      <t>R. Results</t>
    </r>
    <r>
      <rPr>
        <sz val="11"/>
        <color theme="1"/>
        <rFont val="Calibri"/>
        <family val="2"/>
        <scheme val="minor"/>
      </rPr>
      <t xml:space="preserve"> </t>
    </r>
  </si>
  <si>
    <r>
      <t xml:space="preserve">worksheet. See the discussions in the </t>
    </r>
    <r>
      <rPr>
        <b/>
        <sz val="11"/>
        <color indexed="8"/>
        <rFont val="Calibri"/>
        <family val="2"/>
      </rPr>
      <t>Introduction</t>
    </r>
    <r>
      <rPr>
        <sz val="11"/>
        <color theme="1"/>
        <rFont val="Calibri"/>
        <family val="2"/>
        <scheme val="minor"/>
      </rPr>
      <t xml:space="preserve"> worksheet for details on what you need to do and  how you should use the</t>
    </r>
  </si>
  <si>
    <t xml:space="preserve">Taxes are not taken into account. The spendable Net Worth must take taxes into account, which other parts of the </t>
  </si>
  <si>
    <t>Social Security and Pensions may be either accounted for as shared by S1 and S2 or tracked separately for S1 and S2.</t>
  </si>
  <si>
    <r>
      <t xml:space="preserve">This table's data are derived from:    4. PensionData 4.2;  </t>
    </r>
    <r>
      <rPr>
        <b/>
        <sz val="11"/>
        <color indexed="8"/>
        <rFont val="Calibri"/>
        <family val="2"/>
      </rPr>
      <t xml:space="preserve"> 5. SocSecData 5.3</t>
    </r>
  </si>
  <si>
    <r>
      <t xml:space="preserve">This table's data are derived from: </t>
    </r>
    <r>
      <rPr>
        <b/>
        <sz val="11"/>
        <color indexed="8"/>
        <rFont val="Calibri"/>
        <family val="2"/>
      </rPr>
      <t>R.2;   3. WorkData 3.2;   6. AnnuityData 6.3</t>
    </r>
  </si>
  <si>
    <r>
      <t xml:space="preserve">This table's data are derived from:   </t>
    </r>
    <r>
      <rPr>
        <b/>
        <sz val="11"/>
        <color indexed="8"/>
        <rFont val="Calibri"/>
        <family val="2"/>
      </rPr>
      <t>7. IRAdata 7.5;   8. RothData 8.5</t>
    </r>
  </si>
  <si>
    <r>
      <t xml:space="preserve">This table's data are derived from:   </t>
    </r>
    <r>
      <rPr>
        <b/>
        <sz val="11"/>
        <color indexed="8"/>
        <rFont val="Calibri"/>
        <family val="2"/>
      </rPr>
      <t>9. SavingsData 9.4.2, 9.5</t>
    </r>
  </si>
  <si>
    <r>
      <t xml:space="preserve">This table's data are derived from:   </t>
    </r>
    <r>
      <rPr>
        <b/>
        <sz val="11"/>
        <color indexed="8"/>
        <rFont val="Calibri"/>
        <family val="2"/>
      </rPr>
      <t xml:space="preserve">7. IRAdata 7.3.1 ;   8. RothData 8.3.1;   9. SavingsData 9.3.1 </t>
    </r>
  </si>
  <si>
    <r>
      <t xml:space="preserve">This table's data are derived from:   </t>
    </r>
    <r>
      <rPr>
        <b/>
        <sz val="11"/>
        <color indexed="8"/>
        <rFont val="Calibri"/>
        <family val="2"/>
      </rPr>
      <t>7. IRAdata 7.3.1 ;   8. RothData 8.3.1;   9. SavingsData 9.6</t>
    </r>
  </si>
  <si>
    <r>
      <t xml:space="preserve">This table's data are derived from:   </t>
    </r>
    <r>
      <rPr>
        <b/>
        <sz val="11"/>
        <color indexed="8"/>
        <rFont val="Calibri"/>
        <family val="2"/>
      </rPr>
      <t>7. IRAdata 7.1, 7.2 ;   8. RothData 8.1, 8.2;   9. SavingsData 9.1, 9.2</t>
    </r>
  </si>
  <si>
    <r>
      <t xml:space="preserve">This table's data are derived from:   </t>
    </r>
    <r>
      <rPr>
        <b/>
        <sz val="11"/>
        <color indexed="8"/>
        <rFont val="Calibri"/>
        <family val="2"/>
      </rPr>
      <t>R.2, R.3, R.4, R.5 ;   11. CashData 11.1</t>
    </r>
  </si>
  <si>
    <r>
      <t xml:space="preserve">This table's data are derived from:   </t>
    </r>
    <r>
      <rPr>
        <b/>
        <sz val="11"/>
        <color indexed="8"/>
        <rFont val="Calibri"/>
        <family val="2"/>
      </rPr>
      <t>10. ExpensesData 10.2.2</t>
    </r>
  </si>
  <si>
    <t>This worksheet specifies which of the other data entry worksheets will be used for your particular situation. It also enables some</t>
  </si>
  <si>
    <t>options such as use of irregular and scheduled contributions and withdrawals, etc.</t>
  </si>
  <si>
    <r>
      <t xml:space="preserve">Expenses, etc. is available and therefore it should be set here </t>
    </r>
    <r>
      <rPr>
        <u/>
        <sz val="11"/>
        <color indexed="8"/>
        <rFont val="Calibri"/>
        <family val="2"/>
      </rPr>
      <t>before</t>
    </r>
    <r>
      <rPr>
        <sz val="11"/>
        <color indexed="8"/>
        <rFont val="Calibri"/>
        <family val="2"/>
      </rPr>
      <t xml:space="preserve"> editing data in the other worksheets.</t>
    </r>
  </si>
  <si>
    <t>This worksheet is for entering the ages for individuals S1 and S2 CPI, market rates of return, and S1 and S2 insurance policies.</t>
  </si>
  <si>
    <t xml:space="preserve">These values are used in most of the other data entry worksheets to specify when Income, Contributions, Withdrawals, </t>
  </si>
  <si>
    <r>
      <rPr>
        <b/>
        <sz val="12"/>
        <color indexed="8"/>
        <rFont val="Calibri"/>
        <family val="2"/>
      </rPr>
      <t>INSTRUCTIONS:</t>
    </r>
    <r>
      <rPr>
        <sz val="11"/>
        <color indexed="8"/>
        <rFont val="Calibri"/>
        <family val="2"/>
      </rPr>
      <t xml:space="preserve"> Enter your current ages in section </t>
    </r>
    <r>
      <rPr>
        <b/>
        <sz val="11"/>
        <color indexed="8"/>
        <rFont val="Calibri"/>
        <family val="2"/>
      </rPr>
      <t>1.1</t>
    </r>
    <r>
      <rPr>
        <sz val="11"/>
        <color indexed="8"/>
        <rFont val="Calibri"/>
        <family val="2"/>
      </rPr>
      <t xml:space="preserve">. If there is no S2, enter </t>
    </r>
    <r>
      <rPr>
        <b/>
        <sz val="11"/>
        <color rgb="FFFF0000"/>
        <rFont val="Calibri"/>
        <family val="2"/>
      </rPr>
      <t>0</t>
    </r>
    <r>
      <rPr>
        <sz val="11"/>
        <color indexed="8"/>
        <rFont val="Calibri"/>
        <family val="2"/>
      </rPr>
      <t xml:space="preserve">. Then enter the estimated future </t>
    </r>
  </si>
  <si>
    <r>
      <t xml:space="preserve">Consumer Price Index or CPI in section </t>
    </r>
    <r>
      <rPr>
        <b/>
        <sz val="11"/>
        <color indexed="8"/>
        <rFont val="Calibri"/>
        <family val="2"/>
      </rPr>
      <t>1.2</t>
    </r>
    <r>
      <rPr>
        <sz val="11"/>
        <color indexed="8"/>
        <rFont val="Calibri"/>
        <family val="2"/>
      </rPr>
      <t>. The default CPI value is the default value used in other data entry</t>
    </r>
  </si>
  <si>
    <r>
      <t xml:space="preserve">If  S1 and/or S2 have insurance policies, then enter that information in section </t>
    </r>
    <r>
      <rPr>
        <b/>
        <sz val="11"/>
        <color indexed="8"/>
        <rFont val="Calibri"/>
        <family val="2"/>
      </rPr>
      <t>1.4</t>
    </r>
    <r>
      <rPr>
        <sz val="11"/>
        <color indexed="8"/>
        <rFont val="Calibri"/>
        <family val="2"/>
      </rPr>
      <t>.</t>
    </r>
  </si>
  <si>
    <t>Long term CPI was about 3.5%, but it may be lower in the future. Try the spreadsheet with different values.</t>
  </si>
  <si>
    <t xml:space="preserve">Many of the data entry worksheets that use an COLA may default to this CPI value unless overide it with </t>
  </si>
  <si>
    <r>
      <t xml:space="preserve">another value. For more on the CPI, see </t>
    </r>
    <r>
      <rPr>
        <b/>
        <sz val="11"/>
        <color indexed="8"/>
        <rFont val="Calibri"/>
        <family val="2"/>
      </rPr>
      <t xml:space="preserve">RS. Resources RS.3 </t>
    </r>
    <r>
      <rPr>
        <sz val="11"/>
        <color indexed="8"/>
        <rFont val="Calibri"/>
        <family val="2"/>
      </rPr>
      <t>Consumer Price Index (CPI).</t>
    </r>
  </si>
  <si>
    <t>Because the tax code is so complex, we only begin to estimate and approximate some of it in this spreadsheet. Simplifying</t>
  </si>
  <si>
    <t xml:space="preserve">converted back to present income (present value PV) then the same tax table is applied each year but with the COLA adjustment. </t>
  </si>
  <si>
    <t>definitions of financial terms). The spreadsheet shows estimated federal tax deduction,s entered in the worksheet</t>
  </si>
  <si>
    <r>
      <rPr>
        <b/>
        <sz val="11"/>
        <color indexed="8"/>
        <rFont val="Calibri"/>
        <family val="2"/>
      </rPr>
      <t>10. ExpensesData,</t>
    </r>
    <r>
      <rPr>
        <sz val="11"/>
        <color indexed="8"/>
        <rFont val="Calibri"/>
        <family val="2"/>
      </rPr>
      <t xml:space="preserve"> which allowed schedule and irregular deductions). The long term (LTCG) and short-term (STCG)</t>
    </r>
  </si>
  <si>
    <t>The pension benefits for each of S1 and S2 are the total of their individual pensions if they have more than</t>
  </si>
  <si>
    <t>spouse.If merging pensions, then  prorate the different COLAs to try to estimate an average COLA.</t>
  </si>
  <si>
    <r>
      <rPr>
        <b/>
        <sz val="12"/>
        <color indexed="8"/>
        <rFont val="Calibri"/>
        <family val="2"/>
      </rPr>
      <t>INSTRUCTIONS:</t>
    </r>
    <r>
      <rPr>
        <sz val="11"/>
        <color indexed="8"/>
        <rFont val="Calibri"/>
        <family val="2"/>
      </rPr>
      <t xml:space="preserve"> Enter pension benefits datain section </t>
    </r>
    <r>
      <rPr>
        <b/>
        <sz val="11"/>
        <color indexed="8"/>
        <rFont val="Calibri"/>
        <family val="2"/>
      </rPr>
      <t>4.1</t>
    </r>
    <r>
      <rPr>
        <sz val="11"/>
        <color indexed="8"/>
        <rFont val="Calibri"/>
        <family val="2"/>
      </rPr>
      <t>. If either spouse does not have pension benefits, then enter</t>
    </r>
  </si>
  <si>
    <t>their pension value as $0. Enter the age(s) that the pension(s) start. If there is a COLA (Cost Of Living Adjustment) for</t>
  </si>
  <si>
    <t>either pension, then enter it in the red cell. The default COLA is 0%.  Ignore grayed out areas since that data is</t>
  </si>
  <si>
    <r>
      <t xml:space="preserve">not used at this time. The pensions are computed in </t>
    </r>
    <r>
      <rPr>
        <b/>
        <sz val="11"/>
        <color indexed="8"/>
        <rFont val="Calibri"/>
        <family val="2"/>
      </rPr>
      <t xml:space="preserve">table 4.2 </t>
    </r>
    <r>
      <rPr>
        <sz val="11"/>
        <color indexed="8"/>
        <rFont val="Calibri"/>
        <family val="2"/>
      </rPr>
      <t>below.</t>
    </r>
  </si>
  <si>
    <t>4.2 Computes S1 and S2 pension income (either shared or sole)</t>
  </si>
  <si>
    <t xml:space="preserve">   4.2 Computes S1 and S2 pension income (either shared or sole)</t>
  </si>
  <si>
    <t xml:space="preserve">    4.1 Enter pension benefits for S1 and S2</t>
  </si>
  <si>
    <t xml:space="preserve">    4.2 Computes S1 and S2 pension income (either shared or sole)</t>
  </si>
  <si>
    <t>Enter current or future Social Security annuity data for S1 and S2.</t>
  </si>
  <si>
    <r>
      <t xml:space="preserve">The age to claim social security must be same or later their current age specified in the </t>
    </r>
    <r>
      <rPr>
        <b/>
        <sz val="11"/>
        <color indexed="8"/>
        <rFont val="Calibri"/>
        <family val="2"/>
        <scheme val="minor"/>
      </rPr>
      <t>1. AgeData worksheet.</t>
    </r>
    <r>
      <rPr>
        <sz val="11"/>
        <color indexed="8"/>
        <rFont val="Calibri"/>
        <family val="2"/>
        <scheme val="minor"/>
      </rPr>
      <t xml:space="preserve"> So use your</t>
    </r>
  </si>
  <si>
    <r>
      <t xml:space="preserve">current age if you are already taking Social Security and enter your current annuity payments.  Section </t>
    </r>
    <r>
      <rPr>
        <b/>
        <sz val="11"/>
        <color indexed="8"/>
        <rFont val="Calibri"/>
        <family val="2"/>
        <scheme val="minor"/>
      </rPr>
      <t>5.1</t>
    </r>
    <r>
      <rPr>
        <sz val="11"/>
        <color indexed="8"/>
        <rFont val="Calibri"/>
        <family val="2"/>
        <scheme val="minor"/>
      </rPr>
      <t xml:space="preserve"> lets you specify</t>
    </r>
  </si>
  <si>
    <t xml:space="preserve">what your benefits would be, whether or not you are currently taking them. We approximate the tax-rate for Social Security </t>
  </si>
  <si>
    <t>by using the maximum (85%) for all Soc. Sec. benefits.</t>
  </si>
  <si>
    <r>
      <t xml:space="preserve">benefits you are receiving in section </t>
    </r>
    <r>
      <rPr>
        <b/>
        <sz val="11"/>
        <color indexed="8"/>
        <rFont val="Calibri"/>
        <family val="2"/>
      </rPr>
      <t xml:space="preserve">5.1.1. </t>
    </r>
    <r>
      <rPr>
        <sz val="11"/>
        <color indexed="8"/>
        <rFont val="Calibri"/>
        <family val="2"/>
      </rPr>
      <t xml:space="preserve"> Another situation is that of section </t>
    </r>
    <r>
      <rPr>
        <b/>
        <sz val="11"/>
        <color indexed="8"/>
        <rFont val="Calibri"/>
        <family val="2"/>
      </rPr>
      <t>5.1.2</t>
    </r>
    <r>
      <rPr>
        <sz val="11"/>
        <color indexed="8"/>
        <rFont val="Calibri"/>
        <family val="2"/>
      </rPr>
      <t xml:space="preserve"> where you are older</t>
    </r>
  </si>
  <si>
    <r>
      <t>than 62 and have not taken Social Security yet but will in  the future. See the IRS instructions in section</t>
    </r>
    <r>
      <rPr>
        <b/>
        <sz val="11"/>
        <color indexed="8"/>
        <rFont val="Calibri"/>
        <family val="2"/>
      </rPr>
      <t xml:space="preserve"> 5.1.2</t>
    </r>
    <r>
      <rPr>
        <sz val="11"/>
        <color indexed="8"/>
        <rFont val="Calibri"/>
        <family val="2"/>
      </rPr>
      <t xml:space="preserve"> and enter</t>
    </r>
  </si>
  <si>
    <t>Find out what the benefits would be if you took them at your current age 62 and enter them in 5.1.3.</t>
  </si>
  <si>
    <t xml:space="preserve">      5.1.1 If you already are taking Social Security; then enter your current benefits</t>
  </si>
  <si>
    <r>
      <t xml:space="preserve">      5.1.2 If you are </t>
    </r>
    <r>
      <rPr>
        <u/>
        <sz val="11"/>
        <rFont val="Calibri"/>
        <family val="2"/>
      </rPr>
      <t>older</t>
    </r>
    <r>
      <rPr>
        <sz val="11"/>
        <rFont val="Calibri"/>
        <family val="2"/>
      </rPr>
      <t xml:space="preserve"> than 62 and have not taken Social Security yet</t>
    </r>
  </si>
  <si>
    <r>
      <t xml:space="preserve">5.1.1 If 62 or older and are </t>
    </r>
    <r>
      <rPr>
        <b/>
        <u val="singleAccounting"/>
        <sz val="14"/>
        <rFont val="Calibri"/>
        <family val="2"/>
      </rPr>
      <t>already</t>
    </r>
    <r>
      <rPr>
        <b/>
        <sz val="14"/>
        <rFont val="Calibri"/>
        <family val="2"/>
      </rPr>
      <t xml:space="preserve"> taking Social , then enter your current monthly benefits</t>
    </r>
  </si>
  <si>
    <t xml:space="preserve">5.1.2 Getting your Social Security statemtn for ages 62, FRA (66 or 67) and 70. </t>
  </si>
  <si>
    <t xml:space="preserve">Social Security recipients get an additional 0.667% more for each month they delay claiming benefits (or 8%/year). You </t>
  </si>
  <si>
    <t>The Full Retirement Age or FRA is the age you can claim full benefits depending on your birthdate.</t>
  </si>
  <si>
    <t>could get about 32%  more by waiting until age 70 beyond your FRA. If you take it early at 62, you get about 25% less than</t>
  </si>
  <si>
    <t>you would at your FR). See web site for details</t>
  </si>
  <si>
    <r>
      <t xml:space="preserve">These are from section </t>
    </r>
    <r>
      <rPr>
        <b/>
        <sz val="12"/>
        <color indexed="8"/>
        <rFont val="Calibri"/>
        <family val="2"/>
      </rPr>
      <t>5.1.1</t>
    </r>
    <r>
      <rPr>
        <sz val="12"/>
        <color indexed="8"/>
        <rFont val="Calibri"/>
        <family val="2"/>
      </rPr>
      <t xml:space="preserve"> or computed from the</t>
    </r>
    <r>
      <rPr>
        <b/>
        <sz val="12"/>
        <color indexed="8"/>
        <rFont val="Calibri"/>
        <family val="2"/>
      </rPr>
      <t xml:space="preserve"> 5.2</t>
    </r>
    <r>
      <rPr>
        <sz val="12"/>
        <color indexed="8"/>
        <rFont val="Calibri"/>
        <family val="2"/>
      </rPr>
      <t xml:space="preserve"> table below dpending on whether you are already</t>
    </r>
  </si>
  <si>
    <t xml:space="preserve">taking Social Security. </t>
  </si>
  <si>
    <r>
      <t xml:space="preserve">Note:  If Soc. Sec. benefits are specified in Section </t>
    </r>
    <r>
      <rPr>
        <b/>
        <sz val="12"/>
        <color theme="1"/>
        <rFont val="Calibri"/>
        <family val="2"/>
        <scheme val="minor"/>
      </rPr>
      <t>5.1.1</t>
    </r>
    <r>
      <rPr>
        <sz val="12"/>
        <color theme="1"/>
        <rFont val="Calibri"/>
        <family val="2"/>
        <scheme val="minor"/>
      </rPr>
      <t xml:space="preserve">, then the data in this Section </t>
    </r>
    <r>
      <rPr>
        <b/>
        <sz val="12"/>
        <color theme="1"/>
        <rFont val="Calibri"/>
        <family val="2"/>
        <scheme val="minor"/>
      </rPr>
      <t>5.2</t>
    </r>
    <r>
      <rPr>
        <sz val="12"/>
        <color theme="1"/>
        <rFont val="Calibri"/>
        <family val="2"/>
        <scheme val="minor"/>
      </rPr>
      <t xml:space="preserve"> is not used. Recipients </t>
    </r>
  </si>
  <si>
    <t>Enter up to two current or future annuities income streams each for individuals S1 and S2. One use for the second annuity</t>
  </si>
  <si>
    <t>might be to specify longevity annuities starting at a later age (e.g, 85).</t>
  </si>
  <si>
    <t xml:space="preserve"> (grayed out area). This could be a significant tax deduction and thus may introduce errors in the calculations.</t>
  </si>
  <si>
    <r>
      <rPr>
        <b/>
        <sz val="12"/>
        <color indexed="8"/>
        <rFont val="Calibri"/>
        <family val="2"/>
      </rPr>
      <t>INSTRUCTIONS:</t>
    </r>
    <r>
      <rPr>
        <sz val="11"/>
        <color indexed="8"/>
        <rFont val="Calibri"/>
        <family val="2"/>
      </rPr>
      <t xml:space="preserve"> Enter Expenses data in sections </t>
    </r>
    <r>
      <rPr>
        <b/>
        <sz val="11"/>
        <color indexed="8"/>
        <rFont val="Calibri"/>
        <family val="2"/>
      </rPr>
      <t xml:space="preserve">10.1 </t>
    </r>
    <r>
      <rPr>
        <sz val="11"/>
        <color indexed="8"/>
        <rFont val="Calibri"/>
        <family val="2"/>
      </rPr>
      <t xml:space="preserve">through </t>
    </r>
    <r>
      <rPr>
        <b/>
        <sz val="11"/>
        <color indexed="8"/>
        <rFont val="Calibri"/>
        <family val="2"/>
      </rPr>
      <t>10.2</t>
    </r>
    <r>
      <rPr>
        <sz val="11"/>
        <color indexed="8"/>
        <rFont val="Calibri"/>
        <family val="2"/>
      </rPr>
      <t xml:space="preserve">.  First enter scheduled expenses data in table </t>
    </r>
    <r>
      <rPr>
        <b/>
        <sz val="11"/>
        <color indexed="8"/>
        <rFont val="Calibri"/>
        <family val="2"/>
      </rPr>
      <t>10.1</t>
    </r>
    <r>
      <rPr>
        <sz val="11"/>
        <color indexed="8"/>
        <rFont val="Calibri"/>
        <family val="2"/>
      </rPr>
      <t xml:space="preserve">. </t>
    </r>
  </si>
  <si>
    <t xml:space="preserve">There is an optional overide of the default CPI COLA adjustment to increase it each year. Enter the start and end ages </t>
  </si>
  <si>
    <r>
      <t>S1 and S2.  For irregular withdrawals, select (</t>
    </r>
    <r>
      <rPr>
        <b/>
        <sz val="11"/>
        <color rgb="FFFF0000"/>
        <rFont val="Calibri"/>
        <family val="2"/>
      </rPr>
      <t>W</t>
    </r>
    <r>
      <rPr>
        <sz val="11"/>
        <color indexed="8"/>
        <rFont val="Calibri"/>
        <family val="2"/>
      </rPr>
      <t xml:space="preserve"> for withdrawal with a COLA, </t>
    </r>
    <r>
      <rPr>
        <b/>
        <sz val="11"/>
        <color rgb="FFFF0000"/>
        <rFont val="Calibri"/>
        <family val="2"/>
      </rPr>
      <t>FW</t>
    </r>
    <r>
      <rPr>
        <sz val="11"/>
        <color indexed="8"/>
        <rFont val="Calibri"/>
        <family val="2"/>
      </rPr>
      <t xml:space="preserve"> for Fixed-Withdrawal). For the irregular </t>
    </r>
  </si>
  <si>
    <r>
      <t xml:space="preserve">values (FV). The spreadsheet then computes additional tables which are then used in the </t>
    </r>
    <r>
      <rPr>
        <b/>
        <sz val="11"/>
        <color indexed="8"/>
        <rFont val="Calibri"/>
        <family val="2"/>
      </rPr>
      <t>R. Results</t>
    </r>
    <r>
      <rPr>
        <sz val="11"/>
        <color indexed="8"/>
        <rFont val="Calibri"/>
        <family val="2"/>
      </rPr>
      <t xml:space="preserve"> worksheet.</t>
    </r>
  </si>
  <si>
    <t>Expenses are like death and taxes, we will always have them. The so the spreadsheets starts using them at the current S1</t>
  </si>
  <si>
    <t xml:space="preserve">are rent/mortgage, food, transportation, taxes, etc. Irregular expenses might be things like new cars, college costs, new </t>
  </si>
  <si>
    <r>
      <t xml:space="preserve">and S2 ages. The Expenses COLA defaults to the CPI in </t>
    </r>
    <r>
      <rPr>
        <b/>
        <sz val="11"/>
        <color indexed="8"/>
        <rFont val="Calibri"/>
        <family val="2"/>
      </rPr>
      <t>2. AgeData</t>
    </r>
    <r>
      <rPr>
        <sz val="11"/>
        <color indexed="8"/>
        <rFont val="Calibri"/>
        <family val="2"/>
      </rPr>
      <t>, but may be overridden. Examples of scheduled expenses</t>
    </r>
  </si>
  <si>
    <t>house, major trips, etc. - your "Bucket List". Future expenses (and deductions) are entered as present value (PV) costs in the</t>
  </si>
  <si>
    <r>
      <t>not adjusted for inflation). Then, the future  Irregular Expenses and Deductions sorted by ageing table</t>
    </r>
    <r>
      <rPr>
        <b/>
        <sz val="11"/>
        <color theme="1"/>
        <rFont val="Calibri"/>
        <family val="2"/>
        <scheme val="minor"/>
      </rPr>
      <t xml:space="preserve"> 10.2.3.</t>
    </r>
  </si>
  <si>
    <r>
      <t xml:space="preserve">If adjusted for inflation, it uses the COLA factor specified in  section </t>
    </r>
    <r>
      <rPr>
        <b/>
        <sz val="11"/>
        <color theme="1"/>
        <rFont val="Calibri"/>
        <family val="2"/>
        <scheme val="minor"/>
      </rPr>
      <t>10.1</t>
    </r>
    <r>
      <rPr>
        <sz val="11"/>
        <color theme="1"/>
        <rFont val="Calibri"/>
        <family val="2"/>
        <scheme val="minor"/>
      </rPr>
      <t>. There are some additional calculators you can use</t>
    </r>
  </si>
  <si>
    <t xml:space="preserve"> for estimating average and irregular yearly expenses in</t>
  </si>
  <si>
    <r>
      <t xml:space="preserve">red cells in tables </t>
    </r>
    <r>
      <rPr>
        <b/>
        <sz val="11"/>
        <color theme="1"/>
        <rFont val="Calibri"/>
        <family val="2"/>
        <scheme val="minor"/>
      </rPr>
      <t>10.2.1</t>
    </r>
    <r>
      <rPr>
        <sz val="11"/>
        <color theme="1"/>
        <rFont val="Calibri"/>
        <family val="2"/>
        <scheme val="minor"/>
      </rPr>
      <t xml:space="preserve"> (and </t>
    </r>
    <r>
      <rPr>
        <b/>
        <sz val="11"/>
        <color theme="1"/>
        <rFont val="Calibri"/>
        <family val="2"/>
        <scheme val="minor"/>
      </rPr>
      <t>10.2.2</t>
    </r>
    <r>
      <rPr>
        <sz val="11"/>
        <color theme="1"/>
        <rFont val="Calibri"/>
        <family val="2"/>
        <scheme val="minor"/>
      </rPr>
      <t xml:space="preserve">). Hoever, they alternatively be entered as fixed values (i.e., fixed future values that are </t>
    </r>
  </si>
  <si>
    <t xml:space="preserve">The only option to that can be set is the following toggle in the S. Setup worksheet that declares whether to </t>
  </si>
  <si>
    <r>
      <t>rebalance excess (or shortage) cash between the S1 and S2 Savings accounts (in the</t>
    </r>
    <r>
      <rPr>
        <b/>
        <sz val="11"/>
        <rFont val="Calibri"/>
        <family val="2"/>
      </rPr>
      <t xml:space="preserve"> </t>
    </r>
    <r>
      <rPr>
        <sz val="11"/>
        <rFont val="Calibri"/>
        <family val="2"/>
      </rPr>
      <t>9. SavesData worksheet) or or not.</t>
    </r>
  </si>
  <si>
    <t>vice-versa".  If both S1 and S2 have positive cash or both S1 and S2 have negative cash balance, then it is not rebalanced.</t>
  </si>
  <si>
    <t>9. SavingsData for S1 and/or S2 respectively.</t>
  </si>
  <si>
    <r>
      <t xml:space="preserve">subtracted. There is an option </t>
    </r>
    <r>
      <rPr>
        <b/>
        <sz val="11"/>
        <color indexed="8"/>
        <rFont val="Calibri"/>
        <family val="2"/>
      </rPr>
      <t>(</t>
    </r>
    <r>
      <rPr>
        <sz val="11"/>
        <color indexed="8"/>
        <rFont val="Calibri"/>
        <family val="2"/>
      </rPr>
      <t>S. Setup S.3) to  adjust (income-expenses) each year between S1 and S2 so that neither S1 nor</t>
    </r>
  </si>
  <si>
    <r>
      <t xml:space="preserve">This table's data are derived from:  </t>
    </r>
    <r>
      <rPr>
        <b/>
        <sz val="11"/>
        <color indexed="8"/>
        <rFont val="Calibri"/>
        <family val="2"/>
      </rPr>
      <t xml:space="preserve"> R. Results R.6, R.7;   2. TaxData 2.3.2</t>
    </r>
  </si>
  <si>
    <r>
      <t>This table's data are derived from</t>
    </r>
    <r>
      <rPr>
        <b/>
        <sz val="11"/>
        <color indexed="8"/>
        <rFont val="Calibri"/>
        <family val="2"/>
      </rPr>
      <t>: 11.1; TaxData 2.3.2</t>
    </r>
  </si>
  <si>
    <t>spreadsheet.  This is useful to get additional  information on areas such as taxes, social security, CPI, annuities, IRA/ROTH</t>
  </si>
  <si>
    <t>This is a detailed list of worksheet tables in the spreadsheet workbook. It is divided into worksheets that you enter data</t>
  </si>
  <si>
    <t>and those that are not edited. In addition there are a few worksheets that you may have to edit to reflect updated IRS table</t>
  </si>
  <si>
    <t xml:space="preserve"> and information. There is a cash flow worksheet where income and expenses are tallied, and finally a results worksheet </t>
  </si>
  <si>
    <t>where results are summarized. The Assumptions worksheet lists  the data entered in the other data worksheets.</t>
  </si>
  <si>
    <t>The color of cells in worksheets indicate whether it is used for data entry or displaying results.</t>
  </si>
  <si>
    <t>The color of cells in worksheets indicates whether it is used for data entry or displaying results.</t>
  </si>
  <si>
    <t>Where you may enter data</t>
  </si>
  <si>
    <t>Also, don't edit tables in any of the other worksheets beyond the following warning message if it is present:</t>
  </si>
  <si>
    <t xml:space="preserve">for details on the what the current version of the spreadsheet does and does not handle include taxes. </t>
  </si>
  <si>
    <t>How static CPI and returns are handled. How tax-free muni bond income is handled. How RMDs are handled, etc.</t>
  </si>
  <si>
    <t xml:space="preserve">by both scheduled yearly events and by irregular events. Irregular events are specified at particular ages rather than on a </t>
  </si>
  <si>
    <t>yearly schedule.</t>
  </si>
  <si>
    <t>taxable savings and/or lower expenses to make the cash-flow positive if it were severely negative. The spreadsheet warn</t>
  </si>
  <si>
    <r>
      <t xml:space="preserve">if this situation happens in </t>
    </r>
    <r>
      <rPr>
        <b/>
        <sz val="11"/>
        <color theme="1"/>
        <rFont val="Calibri"/>
        <family val="2"/>
        <scheme val="minor"/>
      </rPr>
      <t xml:space="preserve">R.Results </t>
    </r>
    <r>
      <rPr>
        <sz val="11"/>
        <color theme="1"/>
        <rFont val="Calibri"/>
        <family val="2"/>
        <scheme val="minor"/>
      </rPr>
      <t>section</t>
    </r>
    <r>
      <rPr>
        <b/>
        <sz val="11"/>
        <color theme="1"/>
        <rFont val="Calibri"/>
        <family val="2"/>
        <scheme val="minor"/>
      </rPr>
      <t xml:space="preserve"> R.8</t>
    </r>
    <r>
      <rPr>
        <sz val="11"/>
        <color theme="1"/>
        <rFont val="Calibri"/>
        <family val="2"/>
        <scheme val="minor"/>
      </rPr>
      <t>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</si>
</sst>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5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64" formatCode="&quot;$&quot;#,##0"/>
    <numFmt numFmtId="165" formatCode="&quot;$&quot;#,##0.00"/>
    <numFmt numFmtId="166" formatCode="0.0"/>
    <numFmt numFmtId="167" formatCode="0.0%"/>
    <numFmt numFmtId="168" formatCode="0.000%"/>
    <numFmt numFmtId="169" formatCode="0.0000"/>
    <numFmt numFmtId="170" formatCode="#,##0.0"/>
    <numFmt numFmtId="171" formatCode="&quot;$&quot;#,##0;[Red]&quot;$&quot;#,##0"/>
    <numFmt numFmtId="172" formatCode="#,##0.0000"/>
    <numFmt numFmtId="173" formatCode="#,##0.000"/>
    <numFmt numFmtId="174" formatCode="#,##0.0_);[Red]\(#,##0.0\)"/>
  </numFmts>
  <fonts count="36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b/>
      <sz val="12"/>
      <color indexed="8"/>
      <name val="Calibri"/>
      <family val="2"/>
    </font>
    <font>
      <b/>
      <sz val="10"/>
      <color indexed="10"/>
      <name val="Arial"/>
      <family val="2"/>
    </font>
    <font>
      <b/>
      <sz val="11"/>
      <color indexed="8"/>
      <name val="Calibri"/>
      <family val="2"/>
    </font>
    <font>
      <b/>
      <sz val="10"/>
      <color indexed="8"/>
      <name val="Calibri"/>
      <family val="2"/>
    </font>
    <font>
      <sz val="10"/>
      <color indexed="8"/>
      <name val="Calibri"/>
      <family val="2"/>
    </font>
    <font>
      <sz val="10"/>
      <color indexed="8"/>
      <name val="Calibri"/>
      <family val="2"/>
    </font>
    <font>
      <b/>
      <sz val="10"/>
      <color indexed="10"/>
      <name val="Calibri"/>
      <family val="2"/>
    </font>
    <font>
      <b/>
      <sz val="9"/>
      <color indexed="8"/>
      <name val="Calibri"/>
      <family val="2"/>
    </font>
    <font>
      <sz val="9"/>
      <color indexed="8"/>
      <name val="Calibri"/>
      <family val="2"/>
    </font>
    <font>
      <sz val="9"/>
      <color indexed="8"/>
      <name val="Arial Unicode MS"/>
      <family val="2"/>
    </font>
    <font>
      <sz val="9"/>
      <color indexed="8"/>
      <name val="Calibri"/>
      <family val="2"/>
    </font>
    <font>
      <b/>
      <sz val="9"/>
      <color indexed="10"/>
      <name val="Calibri"/>
      <family val="2"/>
    </font>
    <font>
      <sz val="8"/>
      <color indexed="8"/>
      <name val="Calibri"/>
      <family val="2"/>
    </font>
    <font>
      <b/>
      <sz val="9"/>
      <color indexed="10"/>
      <name val="Calibri"/>
      <family val="2"/>
    </font>
    <font>
      <b/>
      <sz val="9"/>
      <color indexed="8"/>
      <name val="Calibri"/>
      <family val="2"/>
    </font>
    <font>
      <sz val="9"/>
      <color indexed="8"/>
      <name val="Calibri"/>
      <family val="2"/>
    </font>
    <font>
      <sz val="10"/>
      <color indexed="8"/>
      <name val="Calibri"/>
      <family val="2"/>
    </font>
    <font>
      <b/>
      <i/>
      <u/>
      <sz val="11"/>
      <color indexed="10"/>
      <name val="Calibri"/>
      <family val="2"/>
    </font>
    <font>
      <b/>
      <sz val="9"/>
      <name val="Arial"/>
      <family val="2"/>
    </font>
    <font>
      <sz val="8"/>
      <color indexed="8"/>
      <name val="Calibri"/>
      <family val="2"/>
    </font>
    <font>
      <sz val="9"/>
      <name val="Arial"/>
      <family val="2"/>
    </font>
    <font>
      <sz val="8"/>
      <color indexed="8"/>
      <name val="Arial Unicode MS"/>
      <family val="2"/>
    </font>
    <font>
      <sz val="8"/>
      <color indexed="8"/>
      <name val="Calibri"/>
      <family val="2"/>
    </font>
    <font>
      <sz val="9"/>
      <color indexed="8"/>
      <name val="Calibri"/>
      <family val="2"/>
    </font>
    <font>
      <b/>
      <sz val="9"/>
      <color indexed="10"/>
      <name val="Calibri"/>
      <family val="2"/>
    </font>
    <font>
      <b/>
      <sz val="8"/>
      <color indexed="8"/>
      <name val="Calibri"/>
      <family val="2"/>
    </font>
    <font>
      <b/>
      <i/>
      <sz val="9"/>
      <color indexed="8"/>
      <name val="Arial"/>
      <family val="2"/>
    </font>
    <font>
      <i/>
      <sz val="11"/>
      <color indexed="8"/>
      <name val="Arial"/>
      <family val="2"/>
    </font>
    <font>
      <sz val="9"/>
      <color indexed="8"/>
      <name val="Calibri"/>
      <family val="2"/>
    </font>
    <font>
      <u/>
      <sz val="11"/>
      <color indexed="12"/>
      <name val="Calibri"/>
      <family val="2"/>
    </font>
    <font>
      <sz val="10"/>
      <color indexed="8"/>
      <name val="Calibri"/>
      <family val="2"/>
    </font>
    <font>
      <sz val="9"/>
      <color indexed="8"/>
      <name val="Calibri"/>
      <family val="2"/>
    </font>
    <font>
      <sz val="10"/>
      <color indexed="8"/>
      <name val="Calibri"/>
      <family val="2"/>
    </font>
    <font>
      <sz val="7"/>
      <color indexed="8"/>
      <name val="Calibri"/>
      <family val="2"/>
    </font>
    <font>
      <i/>
      <sz val="10"/>
      <color indexed="8"/>
      <name val="Calibri"/>
      <family val="2"/>
    </font>
    <font>
      <i/>
      <sz val="9"/>
      <color indexed="8"/>
      <name val="Arial"/>
      <family val="2"/>
    </font>
    <font>
      <i/>
      <sz val="9"/>
      <color indexed="8"/>
      <name val="Calibri"/>
      <family val="2"/>
    </font>
    <font>
      <u/>
      <sz val="9"/>
      <color indexed="12"/>
      <name val="Calibri"/>
      <family val="2"/>
    </font>
    <font>
      <u/>
      <sz val="10"/>
      <color indexed="12"/>
      <name val="Calibri"/>
      <family val="2"/>
    </font>
    <font>
      <u/>
      <sz val="10"/>
      <color indexed="8"/>
      <name val="Calibri"/>
      <family val="2"/>
    </font>
    <font>
      <b/>
      <sz val="14"/>
      <color indexed="8"/>
      <name val="Calibri"/>
      <family val="2"/>
    </font>
    <font>
      <b/>
      <u/>
      <sz val="14"/>
      <color indexed="8"/>
      <name val="Calibri"/>
      <family val="2"/>
    </font>
    <font>
      <sz val="14"/>
      <color indexed="8"/>
      <name val="Calibri"/>
      <family val="2"/>
    </font>
    <font>
      <b/>
      <sz val="11"/>
      <color indexed="10"/>
      <name val="Calibri"/>
      <family val="2"/>
    </font>
    <font>
      <sz val="12"/>
      <color indexed="8"/>
      <name val="Calibri"/>
      <family val="2"/>
    </font>
    <font>
      <sz val="12"/>
      <color indexed="8"/>
      <name val="Calibri"/>
      <family val="2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b/>
      <sz val="11"/>
      <color indexed="10"/>
      <name val="Arial"/>
      <family val="2"/>
    </font>
    <font>
      <b/>
      <sz val="10"/>
      <color indexed="10"/>
      <name val="Calibri"/>
      <family val="2"/>
    </font>
    <font>
      <b/>
      <sz val="8"/>
      <color indexed="12"/>
      <name val="Calibri"/>
      <family val="2"/>
    </font>
    <font>
      <b/>
      <u/>
      <sz val="14"/>
      <color indexed="12"/>
      <name val="Calibri"/>
      <family val="2"/>
    </font>
    <font>
      <sz val="12"/>
      <color indexed="8"/>
      <name val="Calibri"/>
      <family val="2"/>
    </font>
    <font>
      <b/>
      <sz val="11"/>
      <color indexed="8"/>
      <name val="Calibri"/>
      <family val="2"/>
    </font>
    <font>
      <sz val="12"/>
      <name val="Calibri"/>
      <family val="2"/>
    </font>
    <font>
      <b/>
      <u/>
      <sz val="12"/>
      <color indexed="8"/>
      <name val="Calibri"/>
      <family val="2"/>
    </font>
    <font>
      <i/>
      <sz val="11"/>
      <color indexed="8"/>
      <name val="Calibri"/>
      <family val="2"/>
    </font>
    <font>
      <sz val="11"/>
      <name val="Arial"/>
      <family val="2"/>
    </font>
    <font>
      <b/>
      <sz val="14"/>
      <color indexed="8"/>
      <name val="Calibri"/>
      <family val="2"/>
    </font>
    <font>
      <b/>
      <sz val="14"/>
      <color indexed="10"/>
      <name val="Arial"/>
      <family val="2"/>
    </font>
    <font>
      <sz val="10"/>
      <color indexed="10"/>
      <name val="Calibri"/>
      <family val="2"/>
    </font>
    <font>
      <u/>
      <sz val="11"/>
      <color indexed="8"/>
      <name val="Calibri"/>
      <family val="2"/>
    </font>
    <font>
      <b/>
      <i/>
      <sz val="9"/>
      <color indexed="8"/>
      <name val="Calibri"/>
      <family val="2"/>
    </font>
    <font>
      <sz val="11"/>
      <color indexed="8"/>
      <name val="Calibri"/>
      <family val="2"/>
    </font>
    <font>
      <sz val="10"/>
      <color indexed="8"/>
      <name val="Calibri"/>
      <family val="2"/>
    </font>
    <font>
      <sz val="10"/>
      <name val="Calibri"/>
      <family val="2"/>
    </font>
    <font>
      <b/>
      <i/>
      <sz val="11"/>
      <color indexed="8"/>
      <name val="Arial"/>
      <family val="2"/>
    </font>
    <font>
      <i/>
      <u/>
      <sz val="11"/>
      <color indexed="8"/>
      <name val="Calibri"/>
      <family val="2"/>
    </font>
    <font>
      <i/>
      <sz val="10"/>
      <color indexed="8"/>
      <name val="Calibri"/>
      <family val="2"/>
    </font>
    <font>
      <u val="singleAccounting"/>
      <sz val="10"/>
      <color indexed="8"/>
      <name val="Calibri"/>
      <family val="2"/>
    </font>
    <font>
      <b/>
      <u val="singleAccounting"/>
      <sz val="12"/>
      <color indexed="8"/>
      <name val="Calibri"/>
      <family val="2"/>
    </font>
    <font>
      <i/>
      <sz val="9"/>
      <color indexed="8"/>
      <name val="Calibri"/>
      <family val="2"/>
    </font>
    <font>
      <b/>
      <sz val="11"/>
      <color indexed="12"/>
      <name val="Calibri"/>
      <family val="2"/>
    </font>
    <font>
      <sz val="10"/>
      <name val="Arial"/>
      <family val="2"/>
    </font>
    <font>
      <sz val="10"/>
      <color indexed="12"/>
      <name val="Arial"/>
      <family val="2"/>
    </font>
    <font>
      <b/>
      <sz val="10"/>
      <color indexed="30"/>
      <name val="Calibri"/>
      <family val="2"/>
    </font>
    <font>
      <i/>
      <u/>
      <sz val="11"/>
      <color indexed="12"/>
      <name val="Calibri"/>
      <family val="2"/>
    </font>
    <font>
      <i/>
      <sz val="11"/>
      <color indexed="8"/>
      <name val="Calibri"/>
      <family val="2"/>
    </font>
    <font>
      <b/>
      <sz val="11"/>
      <color indexed="10"/>
      <name val="Calibri"/>
      <family val="2"/>
    </font>
    <font>
      <b/>
      <sz val="11"/>
      <color indexed="12"/>
      <name val="Calibri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color indexed="8"/>
      <name val="Calibri"/>
      <family val="2"/>
    </font>
    <font>
      <b/>
      <u/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sz val="10"/>
      <name val="Calibri"/>
      <family val="2"/>
    </font>
    <font>
      <b/>
      <sz val="10"/>
      <color indexed="12"/>
      <name val="Calibri"/>
      <family val="2"/>
    </font>
    <font>
      <u/>
      <sz val="11"/>
      <name val="Calibri"/>
      <family val="2"/>
    </font>
    <font>
      <b/>
      <sz val="9"/>
      <name val="Calibri"/>
      <family val="2"/>
    </font>
    <font>
      <u/>
      <sz val="9"/>
      <name val="Arial"/>
      <family val="2"/>
    </font>
    <font>
      <sz val="11"/>
      <color indexed="12"/>
      <name val="Calibri"/>
      <family val="2"/>
    </font>
    <font>
      <b/>
      <sz val="11"/>
      <color indexed="8"/>
      <name val="Calibri"/>
      <family val="2"/>
    </font>
    <font>
      <i/>
      <sz val="11"/>
      <color indexed="8"/>
      <name val="Calibri"/>
      <family val="2"/>
    </font>
    <font>
      <i/>
      <sz val="11"/>
      <color indexed="10"/>
      <name val="Calibri"/>
      <family val="2"/>
    </font>
    <font>
      <b/>
      <sz val="12"/>
      <color indexed="8"/>
      <name val="Calibri"/>
      <family val="2"/>
    </font>
    <font>
      <b/>
      <sz val="10"/>
      <color indexed="30"/>
      <name val="Calibri"/>
      <family val="2"/>
    </font>
    <font>
      <b/>
      <sz val="12"/>
      <color indexed="10"/>
      <name val="Calibri"/>
      <family val="2"/>
    </font>
    <font>
      <b/>
      <sz val="14"/>
      <name val="Calibri"/>
      <family val="2"/>
    </font>
    <font>
      <b/>
      <u/>
      <sz val="14"/>
      <name val="Calibri"/>
      <family val="2"/>
    </font>
    <font>
      <i/>
      <sz val="8"/>
      <color indexed="8"/>
      <name val="Calibri"/>
      <family val="2"/>
    </font>
    <font>
      <i/>
      <sz val="12"/>
      <color indexed="8"/>
      <name val="Calibri"/>
      <family val="2"/>
    </font>
    <font>
      <i/>
      <sz val="8"/>
      <color indexed="12"/>
      <name val="Calibri"/>
      <family val="2"/>
    </font>
    <font>
      <b/>
      <sz val="11"/>
      <color indexed="8"/>
      <name val="Calibri"/>
      <family val="2"/>
    </font>
    <font>
      <sz val="12"/>
      <color indexed="8"/>
      <name val="Calibri"/>
      <family val="2"/>
    </font>
    <font>
      <b/>
      <sz val="11"/>
      <color indexed="30"/>
      <name val="Calibri"/>
      <family val="2"/>
    </font>
    <font>
      <b/>
      <sz val="14"/>
      <color indexed="8"/>
      <name val="Calibri"/>
      <family val="2"/>
    </font>
    <font>
      <sz val="11"/>
      <color indexed="8"/>
      <name val="Calibri"/>
      <family val="2"/>
    </font>
    <font>
      <sz val="11"/>
      <name val="Calibri"/>
      <family val="2"/>
    </font>
    <font>
      <sz val="10"/>
      <color indexed="8"/>
      <name val="Calibri"/>
      <family val="2"/>
    </font>
    <font>
      <sz val="9"/>
      <name val="Calibri"/>
      <family val="2"/>
    </font>
    <font>
      <b/>
      <sz val="12"/>
      <color indexed="8"/>
      <name val="Calibri"/>
      <family val="2"/>
    </font>
    <font>
      <b/>
      <sz val="8"/>
      <color indexed="8"/>
      <name val="Calibri"/>
      <family val="2"/>
    </font>
    <font>
      <b/>
      <sz val="11"/>
      <color indexed="8"/>
      <name val="Calibri"/>
      <family val="2"/>
    </font>
    <font>
      <b/>
      <sz val="10"/>
      <color indexed="8"/>
      <name val="Calibri"/>
      <family val="2"/>
    </font>
    <font>
      <b/>
      <sz val="9"/>
      <color indexed="8"/>
      <name val="Calibri"/>
      <family val="2"/>
    </font>
    <font>
      <b/>
      <sz val="10"/>
      <color indexed="10"/>
      <name val="Calibri"/>
      <family val="2"/>
    </font>
    <font>
      <sz val="9"/>
      <color indexed="8"/>
      <name val="Calibri"/>
      <family val="2"/>
    </font>
    <font>
      <b/>
      <sz val="9"/>
      <color indexed="10"/>
      <name val="Calibri"/>
      <family val="2"/>
    </font>
    <font>
      <b/>
      <sz val="9"/>
      <color indexed="30"/>
      <name val="Calibri"/>
      <family val="2"/>
    </font>
    <font>
      <sz val="8"/>
      <color indexed="8"/>
      <name val="Calibri"/>
      <family val="2"/>
    </font>
    <font>
      <sz val="9"/>
      <name val="Calibri"/>
      <family val="2"/>
    </font>
    <font>
      <b/>
      <sz val="10"/>
      <color indexed="12"/>
      <name val="Calibri"/>
      <family val="2"/>
    </font>
    <font>
      <b/>
      <sz val="11"/>
      <color indexed="8"/>
      <name val="Calibri"/>
      <family val="2"/>
    </font>
    <font>
      <sz val="9"/>
      <color indexed="8"/>
      <name val="Calibri"/>
      <family val="2"/>
    </font>
    <font>
      <sz val="10"/>
      <color indexed="8"/>
      <name val="Calibri"/>
      <family val="2"/>
    </font>
    <font>
      <b/>
      <sz val="10"/>
      <color indexed="10"/>
      <name val="Calibri"/>
      <family val="2"/>
    </font>
    <font>
      <b/>
      <i/>
      <sz val="11"/>
      <color indexed="8"/>
      <name val="Calibri"/>
      <family val="2"/>
    </font>
    <font>
      <b/>
      <sz val="12"/>
      <name val="Calibri"/>
      <family val="2"/>
    </font>
    <font>
      <i/>
      <sz val="11"/>
      <color indexed="8"/>
      <name val="Calibri"/>
      <family val="2"/>
    </font>
    <font>
      <b/>
      <sz val="10"/>
      <color indexed="8"/>
      <name val="Calibri"/>
      <family val="2"/>
    </font>
    <font>
      <i/>
      <sz val="10"/>
      <color indexed="8"/>
      <name val="Arial"/>
      <family val="2"/>
    </font>
    <font>
      <b/>
      <sz val="9"/>
      <color indexed="10"/>
      <name val="Calibri"/>
      <family val="2"/>
    </font>
    <font>
      <i/>
      <sz val="11"/>
      <name val="Calibri"/>
      <family val="2"/>
    </font>
    <font>
      <sz val="10"/>
      <color indexed="8"/>
      <name val="Calibri"/>
      <family val="2"/>
    </font>
    <font>
      <b/>
      <i/>
      <sz val="10"/>
      <color indexed="8"/>
      <name val="Calibri"/>
      <family val="2"/>
    </font>
    <font>
      <b/>
      <i/>
      <sz val="11"/>
      <color indexed="10"/>
      <name val="Calibri"/>
      <family val="2"/>
    </font>
    <font>
      <b/>
      <sz val="11"/>
      <color indexed="10"/>
      <name val="Calibri"/>
      <family val="2"/>
    </font>
    <font>
      <i/>
      <sz val="10"/>
      <color indexed="8"/>
      <name val="Calibri"/>
      <family val="2"/>
    </font>
    <font>
      <sz val="10"/>
      <color indexed="8"/>
      <name val="Arial Unicode MS"/>
      <family val="2"/>
    </font>
    <font>
      <i/>
      <sz val="10"/>
      <name val="Calibri"/>
      <family val="2"/>
    </font>
    <font>
      <sz val="14"/>
      <color indexed="8"/>
      <name val="Calibri"/>
      <family val="2"/>
    </font>
    <font>
      <sz val="11"/>
      <color indexed="10"/>
      <name val="Calibri"/>
      <family val="2"/>
    </font>
    <font>
      <b/>
      <sz val="9"/>
      <color indexed="30"/>
      <name val="Calibri"/>
      <family val="2"/>
    </font>
    <font>
      <b/>
      <u/>
      <sz val="10"/>
      <color indexed="8"/>
      <name val="Calibri"/>
      <family val="2"/>
    </font>
    <font>
      <b/>
      <sz val="10"/>
      <color indexed="30"/>
      <name val="Calibri"/>
      <family val="2"/>
    </font>
    <font>
      <b/>
      <sz val="9"/>
      <color indexed="12"/>
      <name val="Calibri"/>
      <family val="2"/>
    </font>
    <font>
      <b/>
      <sz val="14"/>
      <color indexed="8"/>
      <name val="Calibri"/>
      <family val="2"/>
    </font>
    <font>
      <b/>
      <sz val="12"/>
      <color indexed="8"/>
      <name val="Calibri"/>
      <family val="2"/>
    </font>
    <font>
      <b/>
      <i/>
      <sz val="10"/>
      <color indexed="10"/>
      <name val="Calibri"/>
      <family val="2"/>
    </font>
    <font>
      <i/>
      <sz val="9"/>
      <name val="Calibri"/>
      <family val="2"/>
    </font>
    <font>
      <i/>
      <u/>
      <sz val="10"/>
      <color indexed="12"/>
      <name val="Calibri"/>
      <family val="2"/>
    </font>
    <font>
      <b/>
      <sz val="9"/>
      <color indexed="8"/>
      <name val="Calibri"/>
      <family val="2"/>
    </font>
    <font>
      <b/>
      <sz val="14"/>
      <name val="Arial"/>
      <family val="2"/>
    </font>
    <font>
      <b/>
      <u/>
      <sz val="9"/>
      <color indexed="8"/>
      <name val="Calibri"/>
      <family val="2"/>
    </font>
    <font>
      <sz val="10"/>
      <color indexed="8"/>
      <name val="Calibri"/>
      <family val="2"/>
    </font>
    <font>
      <i/>
      <sz val="11"/>
      <color indexed="10"/>
      <name val="Calibri"/>
      <family val="2"/>
    </font>
    <font>
      <i/>
      <sz val="10"/>
      <name val="Calibri"/>
      <family val="2"/>
    </font>
    <font>
      <b/>
      <sz val="10"/>
      <color indexed="8"/>
      <name val="Calibri"/>
      <family val="2"/>
    </font>
    <font>
      <i/>
      <sz val="10"/>
      <color indexed="8"/>
      <name val="Calibri"/>
      <family val="2"/>
    </font>
    <font>
      <i/>
      <u/>
      <sz val="10"/>
      <color indexed="12"/>
      <name val="Calibri"/>
      <family val="2"/>
    </font>
    <font>
      <sz val="11"/>
      <color indexed="8"/>
      <name val="Calibri"/>
      <family val="2"/>
    </font>
    <font>
      <b/>
      <sz val="14"/>
      <color indexed="8"/>
      <name val="Calibri"/>
      <family val="2"/>
    </font>
    <font>
      <b/>
      <sz val="11"/>
      <color indexed="12"/>
      <name val="Calibri"/>
      <family val="2"/>
    </font>
    <font>
      <sz val="11"/>
      <color indexed="10"/>
      <name val="Arial"/>
      <family val="2"/>
    </font>
    <font>
      <sz val="11"/>
      <color indexed="8"/>
      <name val="Calibri"/>
      <family val="2"/>
    </font>
    <font>
      <b/>
      <sz val="11"/>
      <name val="Arial"/>
      <family val="2"/>
    </font>
    <font>
      <b/>
      <sz val="14"/>
      <color indexed="12"/>
      <name val="Calibri"/>
      <family val="2"/>
    </font>
    <font>
      <b/>
      <sz val="12"/>
      <color indexed="12"/>
      <name val="Calibri"/>
      <family val="2"/>
    </font>
    <font>
      <u/>
      <sz val="14"/>
      <color indexed="12"/>
      <name val="Calibri"/>
      <family val="2"/>
    </font>
    <font>
      <u/>
      <sz val="11"/>
      <name val="Arial"/>
      <family val="2"/>
    </font>
    <font>
      <sz val="14"/>
      <color indexed="8"/>
      <name val="Calibri"/>
      <family val="2"/>
    </font>
    <font>
      <sz val="9"/>
      <color indexed="8"/>
      <name val="Calibri"/>
      <family val="2"/>
    </font>
    <font>
      <b/>
      <sz val="14"/>
      <color indexed="8"/>
      <name val="Calibri"/>
      <family val="2"/>
    </font>
    <font>
      <b/>
      <sz val="9"/>
      <color indexed="10"/>
      <name val="Calibri"/>
      <family val="2"/>
    </font>
    <font>
      <b/>
      <sz val="9"/>
      <color indexed="8"/>
      <name val="Calibri"/>
      <family val="2"/>
    </font>
    <font>
      <b/>
      <sz val="10"/>
      <color indexed="12"/>
      <name val="Calibri"/>
      <family val="2"/>
    </font>
    <font>
      <b/>
      <sz val="12"/>
      <color indexed="12"/>
      <name val="Calibri"/>
      <family val="2"/>
    </font>
    <font>
      <b/>
      <sz val="14"/>
      <color indexed="12"/>
      <name val="Calibri"/>
      <family val="2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b/>
      <sz val="9"/>
      <color indexed="8"/>
      <name val="Calibri"/>
      <family val="2"/>
    </font>
    <font>
      <sz val="10"/>
      <color indexed="8"/>
      <name val="Calibri"/>
      <family val="2"/>
    </font>
    <font>
      <b/>
      <sz val="9"/>
      <name val="Calibri"/>
      <family val="2"/>
    </font>
    <font>
      <i/>
      <sz val="11"/>
      <color indexed="8"/>
      <name val="Calibri"/>
      <family val="2"/>
    </font>
    <font>
      <b/>
      <sz val="10"/>
      <color indexed="10"/>
      <name val="Calibri"/>
      <family val="2"/>
    </font>
    <font>
      <sz val="9"/>
      <color indexed="8"/>
      <name val="Calibri"/>
      <family val="2"/>
    </font>
    <font>
      <sz val="9"/>
      <name val="Calibri"/>
      <family val="2"/>
    </font>
    <font>
      <b/>
      <sz val="10"/>
      <color indexed="8"/>
      <name val="Calibri"/>
      <family val="2"/>
    </font>
    <font>
      <b/>
      <sz val="11"/>
      <color indexed="8"/>
      <name val="Calibri"/>
      <family val="2"/>
    </font>
    <font>
      <b/>
      <u/>
      <sz val="11"/>
      <color indexed="12"/>
      <name val="Calibri"/>
      <family val="2"/>
    </font>
    <font>
      <b/>
      <sz val="8"/>
      <color indexed="8"/>
      <name val="Calibri"/>
      <family val="2"/>
    </font>
    <font>
      <b/>
      <sz val="12"/>
      <color indexed="8"/>
      <name val="Calibri"/>
      <family val="2"/>
    </font>
    <font>
      <u/>
      <sz val="10"/>
      <color indexed="12"/>
      <name val="Calibri"/>
      <family val="2"/>
    </font>
    <font>
      <i/>
      <sz val="10"/>
      <color indexed="8"/>
      <name val="Arial Unicode MS"/>
      <family val="2"/>
    </font>
    <font>
      <sz val="11"/>
      <color indexed="8"/>
      <name val="Calibri"/>
      <family val="2"/>
    </font>
    <font>
      <b/>
      <i/>
      <sz val="11"/>
      <name val="Calibri"/>
      <family val="2"/>
    </font>
    <font>
      <sz val="10"/>
      <color indexed="10"/>
      <name val="Calibri"/>
      <family val="2"/>
    </font>
    <font>
      <b/>
      <sz val="18"/>
      <color indexed="8"/>
      <name val="Calibri"/>
      <family val="2"/>
    </font>
    <font>
      <b/>
      <sz val="10"/>
      <color indexed="12"/>
      <name val="Calibri"/>
      <family val="2"/>
    </font>
    <font>
      <b/>
      <sz val="10"/>
      <name val="Calibri"/>
      <family val="2"/>
    </font>
    <font>
      <b/>
      <sz val="10"/>
      <color indexed="12"/>
      <name val="Arial Unicode MS"/>
      <family val="2"/>
    </font>
    <font>
      <b/>
      <sz val="9"/>
      <color indexed="8"/>
      <name val="Calibri"/>
      <family val="2"/>
    </font>
    <font>
      <b/>
      <sz val="11"/>
      <color indexed="8"/>
      <name val="Calibri"/>
      <family val="2"/>
    </font>
    <font>
      <b/>
      <sz val="14"/>
      <color indexed="8"/>
      <name val="Calibri"/>
      <family val="2"/>
    </font>
    <font>
      <sz val="12"/>
      <color indexed="8"/>
      <name val="Calibri"/>
      <family val="2"/>
    </font>
    <font>
      <b/>
      <u/>
      <sz val="12"/>
      <color indexed="12"/>
      <name val="Calibri"/>
      <family val="2"/>
    </font>
    <font>
      <b/>
      <sz val="14"/>
      <color indexed="30"/>
      <name val="Calibri"/>
      <family val="2"/>
    </font>
    <font>
      <i/>
      <sz val="11"/>
      <color indexed="8"/>
      <name val="Arial Unicode MS"/>
      <family val="2"/>
    </font>
    <font>
      <sz val="11"/>
      <color indexed="8"/>
      <name val="Arial Unicode MS"/>
      <family val="2"/>
    </font>
    <font>
      <b/>
      <sz val="11"/>
      <color indexed="8"/>
      <name val="Calibri"/>
      <family val="2"/>
    </font>
    <font>
      <b/>
      <sz val="14"/>
      <color indexed="8"/>
      <name val="Calibri"/>
      <family val="2"/>
    </font>
    <font>
      <i/>
      <sz val="11"/>
      <color indexed="8"/>
      <name val="Calibri"/>
      <family val="2"/>
    </font>
    <font>
      <b/>
      <u/>
      <sz val="11"/>
      <color indexed="12"/>
      <name val="Calibri"/>
      <family val="2"/>
    </font>
    <font>
      <sz val="11"/>
      <color indexed="8"/>
      <name val="Calibri"/>
      <family val="2"/>
    </font>
    <font>
      <b/>
      <i/>
      <u/>
      <sz val="11"/>
      <color indexed="12"/>
      <name val="Calibri"/>
      <family val="2"/>
    </font>
    <font>
      <b/>
      <sz val="11"/>
      <color indexed="8"/>
      <name val="Calibri"/>
      <family val="2"/>
    </font>
    <font>
      <b/>
      <sz val="14"/>
      <color indexed="8"/>
      <name val="Calibri"/>
      <family val="2"/>
    </font>
    <font>
      <b/>
      <sz val="10"/>
      <color indexed="8"/>
      <name val="Calibri"/>
      <family val="2"/>
    </font>
    <font>
      <b/>
      <i/>
      <u/>
      <sz val="11"/>
      <color indexed="12"/>
      <name val="Calibri"/>
      <family val="2"/>
    </font>
    <font>
      <b/>
      <sz val="11"/>
      <color indexed="8"/>
      <name val="Calibri"/>
      <family val="2"/>
    </font>
    <font>
      <sz val="9"/>
      <color indexed="8"/>
      <name val="Calibri"/>
      <family val="2"/>
    </font>
    <font>
      <i/>
      <sz val="11"/>
      <color indexed="8"/>
      <name val="Calibri"/>
      <family val="2"/>
    </font>
    <font>
      <b/>
      <sz val="9"/>
      <color indexed="8"/>
      <name val="Calibri"/>
      <family val="2"/>
    </font>
    <font>
      <sz val="9"/>
      <color indexed="8"/>
      <name val="Calibri"/>
      <family val="2"/>
    </font>
    <font>
      <b/>
      <sz val="12"/>
      <color indexed="8"/>
      <name val="Calibri"/>
      <family val="2"/>
    </font>
    <font>
      <b/>
      <sz val="11"/>
      <color indexed="10"/>
      <name val="Calibri"/>
      <family val="2"/>
    </font>
    <font>
      <sz val="11"/>
      <name val="Calibri"/>
      <family val="2"/>
    </font>
    <font>
      <b/>
      <sz val="11"/>
      <color indexed="10"/>
      <name val="Calibri"/>
      <family val="2"/>
    </font>
    <font>
      <b/>
      <sz val="11"/>
      <color indexed="30"/>
      <name val="Calibri"/>
      <family val="2"/>
    </font>
    <font>
      <b/>
      <sz val="11"/>
      <color indexed="30"/>
      <name val="Calibri"/>
      <family val="2"/>
    </font>
    <font>
      <b/>
      <sz val="16"/>
      <color indexed="8"/>
      <name val="Calibri"/>
      <family val="2"/>
    </font>
    <font>
      <b/>
      <sz val="10"/>
      <name val="Arial"/>
      <family val="2"/>
    </font>
    <font>
      <b/>
      <i/>
      <sz val="10"/>
      <name val="Calibri"/>
      <family val="2"/>
    </font>
    <font>
      <b/>
      <i/>
      <u/>
      <sz val="11"/>
      <color indexed="8"/>
      <name val="Calibri"/>
      <family val="2"/>
    </font>
    <font>
      <sz val="10"/>
      <color indexed="8"/>
      <name val="Cambria"/>
      <family val="1"/>
    </font>
    <font>
      <sz val="10"/>
      <name val="Cambria"/>
      <family val="1"/>
    </font>
    <font>
      <b/>
      <sz val="11"/>
      <color theme="1"/>
      <name val="Calibri"/>
      <family val="2"/>
      <scheme val="minor"/>
    </font>
    <font>
      <b/>
      <sz val="9"/>
      <color rgb="FFFF0000"/>
      <name val="Calibri"/>
      <family val="2"/>
    </font>
    <font>
      <i/>
      <sz val="11"/>
      <color theme="1"/>
      <name val="Calibri"/>
      <family val="2"/>
      <scheme val="minor"/>
    </font>
    <font>
      <b/>
      <sz val="10"/>
      <color rgb="FFFF0000"/>
      <name val="Calibri"/>
      <family val="2"/>
    </font>
    <font>
      <b/>
      <sz val="1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rgb="FF0070C0"/>
      <name val="Calibri"/>
      <family val="2"/>
    </font>
    <font>
      <b/>
      <sz val="10"/>
      <color rgb="FF0070C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0"/>
      <color rgb="FF0070C0"/>
      <name val="Calibri"/>
      <family val="2"/>
    </font>
    <font>
      <b/>
      <sz val="11"/>
      <color theme="4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indexed="8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theme="1" tint="4.9989318521683403E-2"/>
      <name val="Calibri"/>
      <family val="2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 val="singleAccounting"/>
      <sz val="14"/>
      <name val="Calibri"/>
      <family val="2"/>
    </font>
    <font>
      <b/>
      <sz val="11"/>
      <color theme="7" tint="-0.499984740745262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2"/>
      <color rgb="FF0070C0"/>
      <name val="Calibri"/>
      <family val="2"/>
    </font>
    <font>
      <sz val="12"/>
      <color rgb="FF0070C0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7" tint="-0.499984740745262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u/>
      <sz val="12"/>
      <color indexed="12"/>
      <name val="Calibri"/>
      <family val="2"/>
    </font>
    <font>
      <b/>
      <i/>
      <sz val="11"/>
      <color theme="1"/>
      <name val="Calibri"/>
      <family val="2"/>
      <scheme val="minor"/>
    </font>
    <font>
      <b/>
      <i/>
      <u/>
      <sz val="12"/>
      <color theme="1"/>
      <name val="Calibri"/>
      <family val="2"/>
      <scheme val="minor"/>
    </font>
    <font>
      <b/>
      <sz val="11"/>
      <color rgb="FFFF0000"/>
      <name val="Calibri"/>
      <family val="2"/>
    </font>
    <font>
      <i/>
      <sz val="10"/>
      <color theme="1"/>
      <name val="Calibri"/>
      <family val="2"/>
      <scheme val="minor"/>
    </font>
    <font>
      <b/>
      <i/>
      <sz val="12"/>
      <color indexed="8"/>
      <name val="Calibri"/>
      <family val="2"/>
    </font>
    <font>
      <sz val="11"/>
      <color rgb="FFFF0000"/>
      <name val="Calibri"/>
      <family val="2"/>
    </font>
    <font>
      <sz val="11"/>
      <color indexed="8"/>
      <name val="Calibri"/>
      <family val="2"/>
      <scheme val="minor"/>
    </font>
    <font>
      <sz val="9"/>
      <color rgb="FFFF0000"/>
      <name val="Calibri"/>
      <family val="2"/>
    </font>
    <font>
      <b/>
      <sz val="14"/>
      <color rgb="FFFF0000"/>
      <name val="Calibri"/>
      <family val="2"/>
      <scheme val="minor"/>
    </font>
    <font>
      <b/>
      <u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indexed="10"/>
      <name val="Calibri"/>
      <family val="2"/>
    </font>
    <font>
      <b/>
      <sz val="11"/>
      <color indexed="8"/>
      <name val="Calibri"/>
      <family val="2"/>
      <scheme val="minor"/>
    </font>
    <font>
      <i/>
      <sz val="11"/>
      <name val="Calibri"/>
      <family val="2"/>
      <scheme val="minor"/>
    </font>
    <font>
      <sz val="11"/>
      <color indexed="30"/>
      <name val="Calibri"/>
      <family val="2"/>
    </font>
    <font>
      <b/>
      <sz val="11"/>
      <color rgb="FFFF6600"/>
      <name val="Calibri"/>
      <family val="2"/>
      <scheme val="minor"/>
    </font>
    <font>
      <b/>
      <sz val="11"/>
      <color rgb="FFFFC000"/>
      <name val="Calibri"/>
      <family val="2"/>
    </font>
    <font>
      <sz val="10"/>
      <color rgb="FFFFC000"/>
      <name val="Calibri"/>
      <family val="2"/>
    </font>
    <font>
      <sz val="11"/>
      <color rgb="FFFFC000"/>
      <name val="Calibri"/>
      <family val="2"/>
    </font>
    <font>
      <b/>
      <sz val="10"/>
      <color theme="9" tint="-0.249977111117893"/>
      <name val="Calibri"/>
      <family val="2"/>
    </font>
    <font>
      <b/>
      <sz val="11"/>
      <color theme="9" tint="-0.249977111117893"/>
      <name val="Calibri"/>
      <family val="2"/>
    </font>
    <font>
      <b/>
      <sz val="9"/>
      <color theme="9" tint="-0.249977111117893"/>
      <name val="Calibri"/>
      <family val="2"/>
      <scheme val="minor"/>
    </font>
    <font>
      <b/>
      <sz val="9"/>
      <color theme="9" tint="-0.249977111117893"/>
      <name val="Calibri"/>
      <family val="2"/>
    </font>
    <font>
      <b/>
      <u/>
      <sz val="12"/>
      <color theme="9" tint="-0.249977111117893"/>
      <name val="Calibri"/>
      <family val="2"/>
    </font>
    <font>
      <b/>
      <u/>
      <sz val="12"/>
      <color indexed="10"/>
      <name val="Calibri"/>
      <family val="2"/>
    </font>
    <font>
      <sz val="9"/>
      <color indexed="8"/>
      <name val="Arial"/>
      <family val="2"/>
    </font>
    <font>
      <b/>
      <sz val="10"/>
      <color indexed="10"/>
      <name val="Calibri"/>
      <family val="2"/>
      <scheme val="minor"/>
    </font>
    <font>
      <b/>
      <vertAlign val="superscript"/>
      <sz val="14"/>
      <color theme="1"/>
      <name val="Calibri"/>
      <family val="2"/>
      <scheme val="minor"/>
    </font>
    <font>
      <b/>
      <sz val="11"/>
      <color rgb="FF00B0F0"/>
      <name val="Calibri"/>
      <family val="2"/>
      <scheme val="minor"/>
    </font>
    <font>
      <i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color indexed="12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color indexed="12"/>
      <name val="Calibri"/>
      <family val="2"/>
      <scheme val="minor"/>
    </font>
    <font>
      <b/>
      <sz val="10"/>
      <name val="Calibri"/>
      <family val="2"/>
      <scheme val="minor"/>
    </font>
    <font>
      <sz val="9"/>
      <color rgb="FF0070C0"/>
      <name val="Calibri"/>
      <family val="2"/>
      <scheme val="minor"/>
    </font>
    <font>
      <b/>
      <i/>
      <sz val="11"/>
      <color rgb="FFFF0000"/>
      <name val="Calibri"/>
      <family val="2"/>
    </font>
    <font>
      <b/>
      <sz val="9"/>
      <color rgb="FF0070C0"/>
      <name val="Calibri"/>
      <family val="2"/>
      <scheme val="minor"/>
    </font>
    <font>
      <b/>
      <sz val="9"/>
      <name val="Calibri"/>
      <family val="2"/>
      <scheme val="minor"/>
    </font>
    <font>
      <sz val="12"/>
      <color indexed="8"/>
      <name val="Calibri"/>
      <family val="2"/>
      <scheme val="minor"/>
    </font>
    <font>
      <u/>
      <sz val="12"/>
      <color indexed="8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2"/>
      <color theme="1"/>
      <name val="Calibri"/>
      <family val="2"/>
      <scheme val="minor"/>
    </font>
    <font>
      <sz val="10"/>
      <color theme="1"/>
      <name val="Arial Unicode MS"/>
      <family val="2"/>
    </font>
    <font>
      <b/>
      <sz val="9"/>
      <color rgb="FF0070C0"/>
      <name val="Calibri"/>
      <family val="2"/>
    </font>
    <font>
      <sz val="9"/>
      <color rgb="FF0070C0"/>
      <name val="Calibri"/>
      <family val="2"/>
    </font>
    <font>
      <i/>
      <u/>
      <sz val="10"/>
      <color theme="1"/>
      <name val="Calibri"/>
      <family val="2"/>
      <scheme val="minor"/>
    </font>
    <font>
      <b/>
      <sz val="12"/>
      <color rgb="FFFF0000"/>
      <name val="Calibri"/>
      <family val="2"/>
    </font>
    <font>
      <b/>
      <u val="singleAccounting"/>
      <sz val="11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</font>
    <font>
      <b/>
      <i/>
      <sz val="9"/>
      <color theme="1"/>
      <name val="Arial"/>
      <family val="2"/>
    </font>
    <font>
      <b/>
      <i/>
      <sz val="10"/>
      <color theme="1"/>
      <name val="Arial"/>
      <family val="2"/>
    </font>
    <font>
      <i/>
      <sz val="11"/>
      <name val="Arial"/>
      <family val="2"/>
    </font>
    <font>
      <i/>
      <sz val="9"/>
      <name val="Arial"/>
      <family val="2"/>
    </font>
    <font>
      <b/>
      <sz val="10"/>
      <color rgb="FFFF0000"/>
      <name val="Calibri"/>
      <family val="2"/>
      <scheme val="minor"/>
    </font>
    <font>
      <b/>
      <sz val="14"/>
      <color rgb="FF0070C0"/>
      <name val="Calibri"/>
      <family val="2"/>
      <scheme val="minor"/>
    </font>
    <font>
      <u val="singleAccounting"/>
      <sz val="11"/>
      <color rgb="FFFF6600"/>
      <name val="Calibri"/>
      <family val="2"/>
    </font>
    <font>
      <sz val="11"/>
      <color rgb="FFFF6600"/>
      <name val="Calibri"/>
      <family val="2"/>
      <scheme val="minor"/>
    </font>
    <font>
      <sz val="8"/>
      <name val="Calibri"/>
      <family val="2"/>
    </font>
    <font>
      <b/>
      <sz val="8"/>
      <name val="Calibri"/>
      <family val="2"/>
    </font>
    <font>
      <i/>
      <sz val="9"/>
      <color theme="1"/>
      <name val="Calibri"/>
      <family val="2"/>
      <scheme val="minor"/>
    </font>
    <font>
      <sz val="10"/>
      <color rgb="FF0070C0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i/>
      <sz val="10"/>
      <color rgb="FF0070C0"/>
      <name val="Calibri"/>
      <family val="2"/>
      <scheme val="minor"/>
    </font>
    <font>
      <b/>
      <i/>
      <sz val="11"/>
      <color rgb="FF0070C0"/>
      <name val="Calibri"/>
      <family val="2"/>
      <scheme val="minor"/>
    </font>
    <font>
      <b/>
      <sz val="10"/>
      <color rgb="FF00B0F0"/>
      <name val="Calibri"/>
      <family val="2"/>
    </font>
    <font>
      <b/>
      <sz val="9"/>
      <color theme="1"/>
      <name val="Calibri"/>
      <family val="2"/>
    </font>
    <font>
      <b/>
      <sz val="10"/>
      <color rgb="FF00B0F0"/>
      <name val="Calibri"/>
      <family val="2"/>
      <scheme val="minor"/>
    </font>
    <font>
      <sz val="8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9"/>
      <color rgb="FF0070C0"/>
      <name val="Arial"/>
      <family val="2"/>
    </font>
    <font>
      <b/>
      <sz val="9"/>
      <color rgb="FF00B0F0"/>
      <name val="Calibri"/>
      <family val="2"/>
    </font>
    <font>
      <b/>
      <sz val="11"/>
      <color rgb="FFFF3300"/>
      <name val="Calibri"/>
      <family val="2"/>
    </font>
    <font>
      <b/>
      <sz val="10"/>
      <color indexed="8"/>
      <name val="Arial Unicode MS"/>
      <family val="2"/>
    </font>
    <font>
      <sz val="12"/>
      <color indexed="10"/>
      <name val="Calibri"/>
      <family val="2"/>
    </font>
    <font>
      <b/>
      <sz val="12"/>
      <color rgb="FFFF0000"/>
      <name val="Calibri"/>
      <family val="2"/>
      <scheme val="minor"/>
    </font>
    <font>
      <b/>
      <u/>
      <sz val="12"/>
      <color rgb="FFFF0000"/>
      <name val="Calibri"/>
      <family val="2"/>
      <scheme val="minor"/>
    </font>
    <font>
      <u val="singleAccounting"/>
      <sz val="11"/>
      <name val="Calibri"/>
      <family val="2"/>
    </font>
  </fonts>
  <fills count="5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972D88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206">
    <border>
      <left/>
      <right/>
      <top/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 style="mediumDashed">
        <color indexed="64"/>
      </top>
      <bottom/>
      <diagonal/>
    </border>
    <border>
      <left style="mediumDashed">
        <color indexed="64"/>
      </left>
      <right/>
      <top/>
      <bottom/>
      <diagonal/>
    </border>
    <border>
      <left style="mediumDashed">
        <color indexed="64"/>
      </left>
      <right style="thick">
        <color indexed="64"/>
      </right>
      <top/>
      <bottom/>
      <diagonal/>
    </border>
    <border>
      <left style="mediumDashed">
        <color indexed="64"/>
      </left>
      <right/>
      <top/>
      <bottom style="thick">
        <color indexed="64"/>
      </bottom>
      <diagonal/>
    </border>
    <border>
      <left style="mediumDashed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Dashed">
        <color indexed="64"/>
      </left>
      <right/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0"/>
      </left>
      <right/>
      <top style="thick">
        <color indexed="60"/>
      </top>
      <bottom/>
      <diagonal/>
    </border>
    <border>
      <left/>
      <right/>
      <top style="thick">
        <color indexed="60"/>
      </top>
      <bottom/>
      <diagonal/>
    </border>
    <border>
      <left/>
      <right/>
      <top/>
      <bottom style="thick">
        <color indexed="60"/>
      </bottom>
      <diagonal/>
    </border>
    <border>
      <left/>
      <right style="thick">
        <color indexed="60"/>
      </right>
      <top style="thick">
        <color indexed="60"/>
      </top>
      <bottom/>
      <diagonal/>
    </border>
    <border>
      <left/>
      <right style="thick">
        <color indexed="60"/>
      </right>
      <top/>
      <bottom style="thick">
        <color indexed="60"/>
      </bottom>
      <diagonal/>
    </border>
    <border>
      <left/>
      <right/>
      <top style="mediumDashed">
        <color indexed="10"/>
      </top>
      <bottom style="mediumDashed">
        <color indexed="10"/>
      </bottom>
      <diagonal/>
    </border>
    <border>
      <left/>
      <right style="mediumDashed">
        <color indexed="64"/>
      </right>
      <top/>
      <bottom/>
      <diagonal/>
    </border>
    <border>
      <left style="mediumDashed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mediumDashed">
        <color indexed="64"/>
      </right>
      <top/>
      <bottom style="thick">
        <color indexed="64"/>
      </bottom>
      <diagonal/>
    </border>
    <border>
      <left style="mediumDashed">
        <color indexed="64"/>
      </left>
      <right style="mediumDashed">
        <color indexed="64"/>
      </right>
      <top/>
      <bottom/>
      <diagonal/>
    </border>
    <border>
      <left style="mediumDashed">
        <color indexed="64"/>
      </left>
      <right style="mediumDashed">
        <color indexed="64"/>
      </right>
      <top/>
      <bottom style="thick">
        <color indexed="64"/>
      </bottom>
      <diagonal/>
    </border>
    <border>
      <left style="mediumDashed">
        <color indexed="64"/>
      </left>
      <right style="thick">
        <color indexed="64"/>
      </right>
      <top style="thick">
        <color indexed="64"/>
      </top>
      <bottom/>
      <diagonal/>
    </border>
    <border>
      <left style="mediumDashed">
        <color indexed="10"/>
      </left>
      <right/>
      <top style="mediumDashed">
        <color indexed="10"/>
      </top>
      <bottom style="mediumDashed">
        <color indexed="10"/>
      </bottom>
      <diagonal/>
    </border>
    <border>
      <left/>
      <right style="mediumDashed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/>
      <top/>
      <bottom style="mediumDashed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indexed="60"/>
      </left>
      <right/>
      <top/>
      <bottom/>
      <diagonal/>
    </border>
    <border>
      <left/>
      <right style="thick">
        <color indexed="60"/>
      </right>
      <top/>
      <bottom/>
      <diagonal/>
    </border>
    <border>
      <left style="mediumDashed">
        <color indexed="64"/>
      </left>
      <right/>
      <top style="mediumDashed">
        <color indexed="64"/>
      </top>
      <bottom/>
      <diagonal/>
    </border>
    <border>
      <left/>
      <right style="mediumDashed">
        <color indexed="64"/>
      </right>
      <top style="mediumDashed">
        <color indexed="64"/>
      </top>
      <bottom/>
      <diagonal/>
    </border>
    <border>
      <left style="mediumDashed">
        <color indexed="64"/>
      </left>
      <right/>
      <top/>
      <bottom style="mediumDashed">
        <color indexed="64"/>
      </bottom>
      <diagonal/>
    </border>
    <border>
      <left/>
      <right style="mediumDashed">
        <color indexed="64"/>
      </right>
      <top/>
      <bottom style="mediumDashed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mediumDashed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thick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0"/>
      </left>
      <right/>
      <top/>
      <bottom style="thick">
        <color indexed="60"/>
      </bottom>
      <diagonal/>
    </border>
    <border>
      <left/>
      <right/>
      <top style="mediumDashed">
        <color indexed="56"/>
      </top>
      <bottom style="mediumDashed">
        <color indexed="56"/>
      </bottom>
      <diagonal/>
    </border>
    <border>
      <left/>
      <right style="mediumDashed">
        <color indexed="56"/>
      </right>
      <top style="mediumDashed">
        <color indexed="56"/>
      </top>
      <bottom style="mediumDashed">
        <color indexed="56"/>
      </bottom>
      <diagonal/>
    </border>
    <border>
      <left style="mediumDashed">
        <color indexed="56"/>
      </left>
      <right/>
      <top style="mediumDashed">
        <color indexed="56"/>
      </top>
      <bottom style="mediumDashed">
        <color indexed="56"/>
      </bottom>
      <diagonal/>
    </border>
    <border>
      <left style="thick">
        <color indexed="64"/>
      </left>
      <right style="mediumDashed">
        <color indexed="64"/>
      </right>
      <top style="thick">
        <color indexed="64"/>
      </top>
      <bottom/>
      <diagonal/>
    </border>
    <border>
      <left style="thick">
        <color indexed="64"/>
      </left>
      <right style="mediumDashed">
        <color indexed="64"/>
      </right>
      <top/>
      <bottom/>
      <diagonal/>
    </border>
    <border>
      <left/>
      <right/>
      <top style="mediumDashed">
        <color indexed="56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/>
      <right/>
      <top style="thick">
        <color indexed="53"/>
      </top>
      <bottom/>
      <diagonal/>
    </border>
    <border>
      <left/>
      <right/>
      <top/>
      <bottom style="thick">
        <color indexed="53"/>
      </bottom>
      <diagonal/>
    </border>
    <border>
      <left/>
      <right style="thick">
        <color indexed="53"/>
      </right>
      <top style="thick">
        <color indexed="53"/>
      </top>
      <bottom/>
      <diagonal/>
    </border>
    <border>
      <left/>
      <right style="thick">
        <color indexed="53"/>
      </right>
      <top/>
      <bottom/>
      <diagonal/>
    </border>
    <border>
      <left/>
      <right style="thick">
        <color indexed="53"/>
      </right>
      <top/>
      <bottom style="thick">
        <color indexed="53"/>
      </bottom>
      <diagonal/>
    </border>
    <border>
      <left style="thick">
        <color indexed="53"/>
      </left>
      <right/>
      <top style="thick">
        <color indexed="53"/>
      </top>
      <bottom/>
      <diagonal/>
    </border>
    <border>
      <left style="thick">
        <color indexed="53"/>
      </left>
      <right/>
      <top/>
      <bottom/>
      <diagonal/>
    </border>
    <border>
      <left/>
      <right style="thick">
        <color indexed="64"/>
      </right>
      <top style="mediumDashed">
        <color indexed="64"/>
      </top>
      <bottom/>
      <diagonal/>
    </border>
    <border>
      <left/>
      <right style="thick">
        <color indexed="64"/>
      </right>
      <top/>
      <bottom style="mediumDashed">
        <color indexed="64"/>
      </bottom>
      <diagonal/>
    </border>
    <border>
      <left style="thick">
        <color indexed="53"/>
      </left>
      <right/>
      <top/>
      <bottom style="thick">
        <color indexed="53"/>
      </bottom>
      <diagonal/>
    </border>
    <border>
      <left/>
      <right style="mediumDashed">
        <color indexed="10"/>
      </right>
      <top style="mediumDashed">
        <color indexed="10"/>
      </top>
      <bottom style="mediumDashed">
        <color indexed="10"/>
      </bottom>
      <diagonal/>
    </border>
    <border>
      <left style="thick">
        <color indexed="64"/>
      </left>
      <right/>
      <top/>
      <bottom style="mediumDashed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mediumDashed">
        <color indexed="64"/>
      </top>
      <bottom style="thick">
        <color indexed="64"/>
      </bottom>
      <diagonal/>
    </border>
    <border>
      <left/>
      <right/>
      <top style="mediumDashed">
        <color indexed="64"/>
      </top>
      <bottom style="thick">
        <color indexed="64"/>
      </bottom>
      <diagonal/>
    </border>
    <border>
      <left/>
      <right style="thick">
        <color indexed="64"/>
      </right>
      <top style="mediumDashed">
        <color indexed="64"/>
      </top>
      <bottom style="thick">
        <color indexed="64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auto="1"/>
      </left>
      <right/>
      <top style="thick">
        <color auto="1"/>
      </top>
      <bottom style="medium">
        <color auto="1"/>
      </bottom>
      <diagonal/>
    </border>
    <border>
      <left/>
      <right/>
      <top style="thick">
        <color auto="1"/>
      </top>
      <bottom style="medium">
        <color auto="1"/>
      </bottom>
      <diagonal/>
    </border>
    <border>
      <left/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ck">
        <color auto="1"/>
      </left>
      <right/>
      <top style="medium">
        <color auto="1"/>
      </top>
      <bottom style="medium">
        <color auto="1"/>
      </bottom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/>
      <top style="medium">
        <color auto="1"/>
      </top>
      <bottom/>
      <diagonal/>
    </border>
    <border>
      <left/>
      <right style="thick">
        <color auto="1"/>
      </right>
      <top style="medium">
        <color auto="1"/>
      </top>
      <bottom/>
      <diagonal/>
    </border>
    <border>
      <left style="thick">
        <color auto="1"/>
      </left>
      <right/>
      <top style="medium">
        <color auto="1"/>
      </top>
      <bottom style="thick">
        <color auto="1"/>
      </bottom>
      <diagonal/>
    </border>
    <border>
      <left/>
      <right/>
      <top style="medium">
        <color auto="1"/>
      </top>
      <bottom style="thick">
        <color auto="1"/>
      </bottom>
      <diagonal/>
    </border>
    <border>
      <left/>
      <right style="thick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/>
      <top/>
      <bottom style="thick">
        <color auto="1"/>
      </bottom>
      <diagonal/>
    </border>
    <border>
      <left style="mediumDashed">
        <color indexed="64"/>
      </left>
      <right/>
      <top style="thick">
        <color indexed="64"/>
      </top>
      <bottom/>
      <diagonal/>
    </border>
    <border>
      <left/>
      <right style="mediumDashed">
        <color indexed="64"/>
      </right>
      <top style="thick">
        <color indexed="64"/>
      </top>
      <bottom/>
      <diagonal/>
    </border>
    <border>
      <left/>
      <right style="mediumDashed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 style="mediumDashed">
        <color indexed="64"/>
      </left>
      <right/>
      <top style="thick">
        <color auto="1"/>
      </top>
      <bottom style="thick">
        <color auto="1"/>
      </bottom>
      <diagonal/>
    </border>
    <border>
      <left/>
      <right style="mediumDashed">
        <color indexed="64"/>
      </right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mediumDashed">
        <color indexed="64"/>
      </left>
      <right/>
      <top/>
      <bottom style="thick">
        <color auto="1"/>
      </bottom>
      <diagonal/>
    </border>
    <border>
      <left style="mediumDashed">
        <color indexed="64"/>
      </left>
      <right/>
      <top/>
      <bottom style="medium">
        <color auto="1"/>
      </bottom>
      <diagonal/>
    </border>
    <border>
      <left/>
      <right style="mediumDashed">
        <color indexed="64"/>
      </right>
      <top/>
      <bottom style="medium">
        <color auto="1"/>
      </bottom>
      <diagonal/>
    </border>
    <border>
      <left style="mediumDashed">
        <color auto="1"/>
      </left>
      <right/>
      <top style="mediumDashed">
        <color auto="1"/>
      </top>
      <bottom style="mediumDashed">
        <color auto="1"/>
      </bottom>
      <diagonal/>
    </border>
    <border>
      <left/>
      <right/>
      <top style="mediumDashed">
        <color auto="1"/>
      </top>
      <bottom style="mediumDashed">
        <color auto="1"/>
      </bottom>
      <diagonal/>
    </border>
    <border>
      <left/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/>
      <diagonal/>
    </border>
    <border>
      <left style="thick">
        <color auto="1"/>
      </left>
      <right style="mediumDashed">
        <color auto="1"/>
      </right>
      <top/>
      <bottom style="thick">
        <color auto="1"/>
      </bottom>
      <diagonal/>
    </border>
    <border>
      <left/>
      <right/>
      <top style="mediumDashed">
        <color indexed="64"/>
      </top>
      <bottom/>
      <diagonal/>
    </border>
    <border>
      <left/>
      <right style="mediumDashed">
        <color indexed="64"/>
      </right>
      <top style="mediumDashed">
        <color indexed="64"/>
      </top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mediumDashed">
        <color rgb="FFFF0000"/>
      </left>
      <right/>
      <top style="mediumDashed">
        <color rgb="FFFF0000"/>
      </top>
      <bottom style="mediumDashed">
        <color rgb="FFFF0000"/>
      </bottom>
      <diagonal/>
    </border>
    <border>
      <left/>
      <right/>
      <top style="mediumDashed">
        <color rgb="FFFF0000"/>
      </top>
      <bottom style="mediumDashed">
        <color rgb="FFFF0000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Dashed">
        <color indexed="64"/>
      </left>
      <right style="thick">
        <color auto="1"/>
      </right>
      <top style="thick">
        <color auto="1"/>
      </top>
      <bottom style="thick">
        <color indexed="64"/>
      </bottom>
      <diagonal/>
    </border>
    <border>
      <left style="mediumDashed">
        <color auto="1"/>
      </left>
      <right style="thick">
        <color auto="1"/>
      </right>
      <top style="thick">
        <color indexed="64"/>
      </top>
      <bottom/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 style="medium">
        <color auto="1"/>
      </left>
      <right style="thick">
        <color auto="1"/>
      </right>
      <top style="thick">
        <color indexed="64"/>
      </top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thick">
        <color auto="1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medium">
        <color auto="1"/>
      </right>
      <top/>
      <bottom style="thick">
        <color auto="1"/>
      </bottom>
      <diagonal/>
    </border>
    <border>
      <left style="mediumDashed">
        <color rgb="FFFF0000"/>
      </left>
      <right style="mediumDashed">
        <color rgb="FFFF0000"/>
      </right>
      <top style="mediumDashed">
        <color rgb="FFFF0000"/>
      </top>
      <bottom style="mediumDashed">
        <color rgb="FFFF0000"/>
      </bottom>
      <diagonal/>
    </border>
    <border>
      <left/>
      <right/>
      <top style="mediumDashed">
        <color indexed="10"/>
      </top>
      <bottom style="mediumDashed">
        <color indexed="10"/>
      </bottom>
      <diagonal/>
    </border>
    <border>
      <left style="mediumDashDotDot">
        <color auto="1"/>
      </left>
      <right/>
      <top style="mediumDashDotDot">
        <color auto="1"/>
      </top>
      <bottom/>
      <diagonal/>
    </border>
    <border>
      <left/>
      <right/>
      <top style="mediumDashDotDot">
        <color auto="1"/>
      </top>
      <bottom/>
      <diagonal/>
    </border>
    <border>
      <left/>
      <right style="mediumDashDotDot">
        <color auto="1"/>
      </right>
      <top style="mediumDashDotDot">
        <color auto="1"/>
      </top>
      <bottom/>
      <diagonal/>
    </border>
    <border>
      <left style="mediumDashDotDot">
        <color auto="1"/>
      </left>
      <right/>
      <top/>
      <bottom/>
      <diagonal/>
    </border>
    <border>
      <left/>
      <right style="mediumDashDotDot">
        <color auto="1"/>
      </right>
      <top/>
      <bottom/>
      <diagonal/>
    </border>
    <border>
      <left style="mediumDashDotDot">
        <color auto="1"/>
      </left>
      <right/>
      <top/>
      <bottom style="mediumDashDotDot">
        <color auto="1"/>
      </bottom>
      <diagonal/>
    </border>
    <border>
      <left/>
      <right/>
      <top/>
      <bottom style="mediumDashDotDot">
        <color auto="1"/>
      </bottom>
      <diagonal/>
    </border>
    <border>
      <left/>
      <right style="mediumDashDotDot">
        <color auto="1"/>
      </right>
      <top/>
      <bottom style="mediumDashDotDot">
        <color auto="1"/>
      </bottom>
      <diagonal/>
    </border>
    <border>
      <left/>
      <right style="mediumDashed">
        <color indexed="64"/>
      </right>
      <top style="thick">
        <color indexed="64"/>
      </top>
      <bottom style="thick">
        <color auto="1"/>
      </bottom>
      <diagonal/>
    </border>
    <border>
      <left style="mediumDashed">
        <color auto="1"/>
      </left>
      <right/>
      <top style="mediumDashed">
        <color auto="1"/>
      </top>
      <bottom/>
      <diagonal/>
    </border>
    <border>
      <left style="mediumDashDot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mediumDashDot">
        <color indexed="64"/>
      </right>
      <top style="thick">
        <color indexed="64"/>
      </top>
      <bottom style="thick">
        <color indexed="64"/>
      </bottom>
      <diagonal/>
    </border>
    <border>
      <left style="mediumDashed">
        <color auto="1"/>
      </left>
      <right/>
      <top style="mediumDashed">
        <color auto="1"/>
      </top>
      <bottom style="mediumDashed">
        <color auto="1"/>
      </bottom>
      <diagonal/>
    </border>
    <border>
      <left/>
      <right/>
      <top style="mediumDashed">
        <color auto="1"/>
      </top>
      <bottom style="mediumDashed">
        <color auto="1"/>
      </bottom>
      <diagonal/>
    </border>
    <border>
      <left/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mediumDashDot">
        <color auto="1"/>
      </left>
      <right/>
      <top style="thick">
        <color auto="1"/>
      </top>
      <bottom/>
      <diagonal/>
    </border>
    <border>
      <left style="mediumDashDot">
        <color auto="1"/>
      </left>
      <right/>
      <top/>
      <bottom/>
      <diagonal/>
    </border>
    <border>
      <left/>
      <right style="mediumDashDot">
        <color auto="1"/>
      </right>
      <top style="thick">
        <color indexed="64"/>
      </top>
      <bottom/>
      <diagonal/>
    </border>
    <border>
      <left/>
      <right style="mediumDashDot">
        <color auto="1"/>
      </right>
      <top/>
      <bottom/>
      <diagonal/>
    </border>
    <border>
      <left/>
      <right style="mediumDashDot">
        <color auto="1"/>
      </right>
      <top/>
      <bottom style="thick">
        <color indexed="64"/>
      </bottom>
      <diagonal/>
    </border>
    <border>
      <left style="mediumDashDot">
        <color auto="1"/>
      </left>
      <right/>
      <top/>
      <bottom style="thick">
        <color indexed="64"/>
      </bottom>
      <diagonal/>
    </border>
    <border>
      <left style="mediumDashed">
        <color indexed="64"/>
      </left>
      <right/>
      <top style="medium">
        <color auto="1"/>
      </top>
      <bottom style="medium">
        <color auto="1"/>
      </bottom>
      <diagonal/>
    </border>
    <border>
      <left/>
      <right style="mediumDashed">
        <color indexed="64"/>
      </right>
      <top style="medium">
        <color auto="1"/>
      </top>
      <bottom style="medium">
        <color auto="1"/>
      </bottom>
      <diagonal/>
    </border>
    <border>
      <left style="mediumDashed">
        <color indexed="64"/>
      </left>
      <right/>
      <top style="medium">
        <color auto="1"/>
      </top>
      <bottom/>
      <diagonal/>
    </border>
    <border>
      <left/>
      <right style="mediumDashed">
        <color indexed="64"/>
      </right>
      <top style="medium">
        <color auto="1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 style="medium">
        <color indexed="64"/>
      </left>
      <right style="mediumDashed">
        <color indexed="64"/>
      </right>
      <top style="thick">
        <color indexed="64"/>
      </top>
      <bottom/>
      <diagonal/>
    </border>
    <border>
      <left style="medium">
        <color indexed="64"/>
      </left>
      <right style="mediumDashed">
        <color indexed="64"/>
      </right>
      <top/>
      <bottom/>
      <diagonal/>
    </border>
    <border>
      <left style="medium">
        <color indexed="64"/>
      </left>
      <right style="mediumDashed">
        <color indexed="64"/>
      </right>
      <top/>
      <bottom style="thick">
        <color indexed="64"/>
      </bottom>
      <diagonal/>
    </border>
    <border>
      <left/>
      <right/>
      <top style="mediumDashed">
        <color auto="1"/>
      </top>
      <bottom/>
      <diagonal/>
    </border>
    <border>
      <left/>
      <right style="mediumDashed">
        <color auto="1"/>
      </right>
      <top style="mediumDashed">
        <color auto="1"/>
      </top>
      <bottom/>
      <diagonal/>
    </border>
    <border>
      <left style="mediumDashDot">
        <color auto="1"/>
      </left>
      <right/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mediumDashed">
        <color rgb="FFFF0000"/>
      </bottom>
      <diagonal/>
    </border>
    <border>
      <left style="mediumDashed">
        <color rgb="FFFF0000"/>
      </left>
      <right style="thick">
        <color indexed="64"/>
      </right>
      <top style="mediumDashed">
        <color rgb="FFFF0000"/>
      </top>
      <bottom style="thick">
        <color auto="1"/>
      </bottom>
      <diagonal/>
    </border>
    <border>
      <left style="mediumDashed">
        <color rgb="FFFF0000"/>
      </left>
      <right style="thick">
        <color indexed="64"/>
      </right>
      <top style="mediumDashed">
        <color rgb="FFFF0000"/>
      </top>
      <bottom style="mediumDashed">
        <color rgb="FFFF0000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mediumDashed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mediumDashed">
        <color indexed="64"/>
      </right>
      <top style="thick">
        <color indexed="64"/>
      </top>
      <bottom style="medium">
        <color indexed="64"/>
      </bottom>
      <diagonal/>
    </border>
    <border>
      <left/>
      <right style="mediumDashed">
        <color auto="1"/>
      </right>
      <top style="medium">
        <color auto="1"/>
      </top>
      <bottom style="thick">
        <color auto="1"/>
      </bottom>
      <diagonal/>
    </border>
    <border>
      <left style="mediumDashed">
        <color auto="1"/>
      </left>
      <right/>
      <top style="medium">
        <color auto="1"/>
      </top>
      <bottom style="thick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 style="mediumDashed">
        <color auto="1"/>
      </right>
      <top style="medium">
        <color auto="1"/>
      </top>
      <bottom style="thick">
        <color auto="1"/>
      </bottom>
      <diagonal/>
    </border>
    <border>
      <left style="medium">
        <color indexed="64"/>
      </left>
      <right/>
      <top style="medium">
        <color indexed="64"/>
      </top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DashDot">
        <color indexed="64"/>
      </left>
      <right/>
      <top style="medium">
        <color auto="1"/>
      </top>
      <bottom style="thick">
        <color auto="1"/>
      </bottom>
      <diagonal/>
    </border>
    <border>
      <left style="medium">
        <color indexed="64"/>
      </left>
      <right/>
      <top style="thick">
        <color indexed="64"/>
      </top>
      <bottom style="mediumDashed">
        <color indexed="64"/>
      </bottom>
      <diagonal/>
    </border>
    <border>
      <left/>
      <right/>
      <top style="thick">
        <color indexed="64"/>
      </top>
      <bottom style="mediumDashed">
        <color indexed="64"/>
      </bottom>
      <diagonal/>
    </border>
    <border>
      <left/>
      <right style="medium">
        <color indexed="64"/>
      </right>
      <top style="thick">
        <color indexed="64"/>
      </top>
      <bottom style="mediumDashed">
        <color indexed="64"/>
      </bottom>
      <diagonal/>
    </border>
    <border>
      <left style="mediumDashDot">
        <color auto="1"/>
      </left>
      <right/>
      <top style="thick">
        <color indexed="64"/>
      </top>
      <bottom style="mediumDashed">
        <color indexed="64"/>
      </bottom>
      <diagonal/>
    </border>
    <border>
      <left style="mediumDashDot">
        <color auto="1"/>
      </left>
      <right/>
      <top/>
      <bottom style="medium">
        <color indexed="64"/>
      </bottom>
      <diagonal/>
    </border>
  </borders>
  <cellStyleXfs count="3">
    <xf numFmtId="0" fontId="0" fillId="0" borderId="0"/>
    <xf numFmtId="44" fontId="3" fillId="0" borderId="0" applyFont="0" applyFill="0" applyBorder="0" applyAlignment="0" applyProtection="0"/>
    <xf numFmtId="0" fontId="33" fillId="0" borderId="0" applyNumberFormat="0" applyFill="0" applyBorder="0" applyAlignment="0" applyProtection="0">
      <alignment vertical="top"/>
      <protection locked="0"/>
    </xf>
  </cellStyleXfs>
  <cellXfs count="3675">
    <xf numFmtId="0" fontId="0" fillId="0" borderId="0" xfId="0"/>
    <xf numFmtId="0" fontId="7" fillId="0" borderId="0" xfId="0" applyFont="1"/>
    <xf numFmtId="0" fontId="8" fillId="0" borderId="0" xfId="0" applyFont="1"/>
    <xf numFmtId="0" fontId="8" fillId="0" borderId="0" xfId="0" applyFont="1" applyBorder="1"/>
    <xf numFmtId="44" fontId="6" fillId="0" borderId="0" xfId="1" applyFont="1"/>
    <xf numFmtId="0" fontId="7" fillId="0" borderId="0" xfId="0" applyFont="1" applyBorder="1"/>
    <xf numFmtId="0" fontId="0" fillId="0" borderId="0" xfId="0" applyBorder="1"/>
    <xf numFmtId="10" fontId="0" fillId="0" borderId="0" xfId="0" applyNumberFormat="1"/>
    <xf numFmtId="14" fontId="16" fillId="0" borderId="0" xfId="0" applyNumberFormat="1" applyFont="1"/>
    <xf numFmtId="14" fontId="19" fillId="0" borderId="0" xfId="0" applyNumberFormat="1" applyFont="1"/>
    <xf numFmtId="0" fontId="20" fillId="0" borderId="0" xfId="0" applyFont="1"/>
    <xf numFmtId="164" fontId="18" fillId="0" borderId="0" xfId="0" applyNumberFormat="1" applyFont="1" applyBorder="1"/>
    <xf numFmtId="0" fontId="17" fillId="0" borderId="0" xfId="0" applyFont="1" applyBorder="1"/>
    <xf numFmtId="10" fontId="15" fillId="0" borderId="0" xfId="0" applyNumberFormat="1" applyFont="1" applyBorder="1"/>
    <xf numFmtId="0" fontId="0" fillId="0" borderId="1" xfId="0" applyBorder="1"/>
    <xf numFmtId="0" fontId="26" fillId="0" borderId="0" xfId="0" applyFont="1"/>
    <xf numFmtId="0" fontId="0" fillId="0" borderId="2" xfId="0" applyBorder="1"/>
    <xf numFmtId="0" fontId="9" fillId="0" borderId="0" xfId="0" applyFont="1" applyBorder="1"/>
    <xf numFmtId="0" fontId="23" fillId="0" borderId="0" xfId="0" applyFont="1"/>
    <xf numFmtId="0" fontId="14" fillId="0" borderId="0" xfId="0" applyFont="1" applyBorder="1"/>
    <xf numFmtId="164" fontId="15" fillId="0" borderId="0" xfId="0" applyNumberFormat="1" applyFont="1" applyBorder="1"/>
    <xf numFmtId="0" fontId="21" fillId="2" borderId="0" xfId="0" applyFont="1" applyFill="1" applyBorder="1" applyAlignment="1">
      <alignment wrapText="1"/>
    </xf>
    <xf numFmtId="0" fontId="30" fillId="0" borderId="0" xfId="0" applyFont="1" applyFill="1" applyBorder="1"/>
    <xf numFmtId="0" fontId="31" fillId="0" borderId="0" xfId="0" applyFont="1" applyBorder="1"/>
    <xf numFmtId="6" fontId="10" fillId="0" borderId="0" xfId="0" applyNumberFormat="1" applyFont="1" applyBorder="1"/>
    <xf numFmtId="10" fontId="10" fillId="0" borderId="0" xfId="0" applyNumberFormat="1" applyFont="1" applyBorder="1"/>
    <xf numFmtId="0" fontId="0" fillId="3" borderId="0" xfId="0" applyFill="1" applyBorder="1"/>
    <xf numFmtId="0" fontId="34" fillId="0" borderId="0" xfId="0" applyFont="1"/>
    <xf numFmtId="0" fontId="35" fillId="0" borderId="0" xfId="0" applyFont="1" applyBorder="1"/>
    <xf numFmtId="10" fontId="7" fillId="0" borderId="0" xfId="0" applyNumberFormat="1" applyFont="1" applyBorder="1"/>
    <xf numFmtId="10" fontId="37" fillId="0" borderId="0" xfId="0" applyNumberFormat="1" applyFont="1" applyBorder="1" applyAlignment="1"/>
    <xf numFmtId="0" fontId="12" fillId="0" borderId="0" xfId="0" applyFont="1" applyBorder="1"/>
    <xf numFmtId="0" fontId="24" fillId="0" borderId="0" xfId="0" applyFont="1" applyFill="1" applyBorder="1"/>
    <xf numFmtId="0" fontId="0" fillId="0" borderId="0" xfId="0" applyFill="1" applyBorder="1"/>
    <xf numFmtId="164" fontId="24" fillId="0" borderId="0" xfId="0" applyNumberFormat="1" applyFont="1" applyFill="1" applyBorder="1"/>
    <xf numFmtId="10" fontId="24" fillId="0" borderId="0" xfId="0" applyNumberFormat="1" applyFont="1" applyFill="1" applyBorder="1"/>
    <xf numFmtId="0" fontId="9" fillId="0" borderId="1" xfId="0" applyFont="1" applyBorder="1"/>
    <xf numFmtId="10" fontId="10" fillId="0" borderId="1" xfId="0" applyNumberFormat="1" applyFont="1" applyBorder="1"/>
    <xf numFmtId="0" fontId="0" fillId="0" borderId="7" xfId="0" applyBorder="1"/>
    <xf numFmtId="0" fontId="0" fillId="0" borderId="8" xfId="0" applyBorder="1"/>
    <xf numFmtId="44" fontId="7" fillId="0" borderId="7" xfId="1" applyFont="1" applyBorder="1"/>
    <xf numFmtId="0" fontId="0" fillId="0" borderId="3" xfId="0" applyBorder="1"/>
    <xf numFmtId="0" fontId="2" fillId="0" borderId="1" xfId="0" applyFont="1" applyBorder="1"/>
    <xf numFmtId="0" fontId="0" fillId="0" borderId="9" xfId="0" applyBorder="1"/>
    <xf numFmtId="0" fontId="14" fillId="0" borderId="0" xfId="0" applyFont="1" applyFill="1" applyBorder="1" applyAlignment="1">
      <alignment wrapText="1"/>
    </xf>
    <xf numFmtId="0" fontId="31" fillId="0" borderId="3" xfId="0" applyFont="1" applyBorder="1"/>
    <xf numFmtId="0" fontId="40" fillId="0" borderId="0" xfId="0" applyFont="1" applyBorder="1"/>
    <xf numFmtId="0" fontId="0" fillId="0" borderId="0" xfId="0" applyBorder="1" applyAlignment="1">
      <alignment horizontal="center"/>
    </xf>
    <xf numFmtId="0" fontId="8" fillId="0" borderId="3" xfId="0" applyFont="1" applyBorder="1"/>
    <xf numFmtId="0" fontId="8" fillId="0" borderId="1" xfId="0" applyFont="1" applyFill="1" applyBorder="1"/>
    <xf numFmtId="0" fontId="0" fillId="0" borderId="1" xfId="0" applyFill="1" applyBorder="1"/>
    <xf numFmtId="0" fontId="24" fillId="0" borderId="1" xfId="0" applyFont="1" applyFill="1" applyBorder="1"/>
    <xf numFmtId="0" fontId="8" fillId="0" borderId="7" xfId="0" applyFont="1" applyBorder="1"/>
    <xf numFmtId="0" fontId="27" fillId="0" borderId="0" xfId="0" applyFont="1" applyBorder="1" applyAlignment="1">
      <alignment horizontal="right"/>
    </xf>
    <xf numFmtId="0" fontId="41" fillId="0" borderId="10" xfId="2" applyFont="1" applyBorder="1" applyAlignment="1" applyProtection="1"/>
    <xf numFmtId="44" fontId="35" fillId="0" borderId="7" xfId="1" applyFont="1" applyBorder="1"/>
    <xf numFmtId="44" fontId="11" fillId="0" borderId="0" xfId="1" applyFont="1" applyBorder="1"/>
    <xf numFmtId="44" fontId="41" fillId="0" borderId="0" xfId="2" applyNumberFormat="1" applyFont="1" applyBorder="1" applyAlignment="1" applyProtection="1"/>
    <xf numFmtId="44" fontId="35" fillId="0" borderId="0" xfId="1" applyFont="1" applyBorder="1"/>
    <xf numFmtId="44" fontId="11" fillId="0" borderId="7" xfId="1" applyFont="1" applyBorder="1"/>
    <xf numFmtId="0" fontId="13" fillId="0" borderId="0" xfId="0" applyFont="1" applyBorder="1"/>
    <xf numFmtId="0" fontId="12" fillId="0" borderId="7" xfId="0" applyFont="1" applyBorder="1"/>
    <xf numFmtId="0" fontId="26" fillId="0" borderId="0" xfId="0" applyFont="1" applyFill="1"/>
    <xf numFmtId="0" fontId="6" fillId="0" borderId="0" xfId="0" applyFont="1" applyBorder="1"/>
    <xf numFmtId="0" fontId="2" fillId="0" borderId="0" xfId="0" applyFont="1" applyBorder="1"/>
    <xf numFmtId="164" fontId="11" fillId="0" borderId="0" xfId="0" applyNumberFormat="1" applyFont="1" applyBorder="1"/>
    <xf numFmtId="0" fontId="0" fillId="0" borderId="0" xfId="0" applyFont="1" applyBorder="1"/>
    <xf numFmtId="0" fontId="0" fillId="0" borderId="0" xfId="0" applyFont="1"/>
    <xf numFmtId="0" fontId="6" fillId="0" borderId="7" xfId="0" applyFont="1" applyBorder="1"/>
    <xf numFmtId="0" fontId="8" fillId="0" borderId="1" xfId="0" applyFont="1" applyBorder="1"/>
    <xf numFmtId="0" fontId="23" fillId="0" borderId="0" xfId="0" applyFont="1" applyBorder="1"/>
    <xf numFmtId="164" fontId="23" fillId="0" borderId="0" xfId="0" applyNumberFormat="1" applyFont="1" applyBorder="1"/>
    <xf numFmtId="166" fontId="25" fillId="0" borderId="0" xfId="0" applyNumberFormat="1" applyFont="1" applyBorder="1"/>
    <xf numFmtId="164" fontId="26" fillId="0" borderId="0" xfId="0" applyNumberFormat="1" applyFont="1" applyBorder="1"/>
    <xf numFmtId="0" fontId="23" fillId="0" borderId="0" xfId="0" applyFont="1" applyFill="1" applyBorder="1"/>
    <xf numFmtId="164" fontId="23" fillId="0" borderId="0" xfId="0" applyNumberFormat="1" applyFont="1" applyFill="1" applyBorder="1"/>
    <xf numFmtId="170" fontId="47" fillId="0" borderId="0" xfId="0" applyNumberFormat="1" applyFont="1" applyBorder="1"/>
    <xf numFmtId="0" fontId="24" fillId="0" borderId="0" xfId="0" applyFont="1" applyFill="1" applyBorder="1" applyAlignment="1">
      <alignment wrapText="1"/>
    </xf>
    <xf numFmtId="0" fontId="24" fillId="0" borderId="1" xfId="0" applyFont="1" applyFill="1" applyBorder="1" applyAlignment="1">
      <alignment wrapText="1"/>
    </xf>
    <xf numFmtId="0" fontId="14" fillId="0" borderId="1" xfId="0" applyFont="1" applyFill="1" applyBorder="1" applyAlignment="1">
      <alignment wrapText="1"/>
    </xf>
    <xf numFmtId="6" fontId="24" fillId="0" borderId="1" xfId="0" applyNumberFormat="1" applyFont="1" applyFill="1" applyBorder="1" applyAlignment="1">
      <alignment wrapText="1"/>
    </xf>
    <xf numFmtId="14" fontId="8" fillId="0" borderId="0" xfId="0" applyNumberFormat="1" applyFont="1"/>
    <xf numFmtId="44" fontId="12" fillId="0" borderId="7" xfId="1" applyFont="1" applyBorder="1"/>
    <xf numFmtId="0" fontId="42" fillId="0" borderId="0" xfId="2" applyFont="1" applyAlignment="1" applyProtection="1"/>
    <xf numFmtId="44" fontId="6" fillId="0" borderId="7" xfId="1" applyFont="1" applyBorder="1"/>
    <xf numFmtId="0" fontId="4" fillId="0" borderId="7" xfId="0" applyFont="1" applyBorder="1"/>
    <xf numFmtId="0" fontId="2" fillId="0" borderId="3" xfId="0" applyFont="1" applyBorder="1"/>
    <xf numFmtId="0" fontId="44" fillId="3" borderId="0" xfId="0" applyFont="1" applyFill="1"/>
    <xf numFmtId="0" fontId="46" fillId="3" borderId="0" xfId="0" applyFont="1" applyFill="1"/>
    <xf numFmtId="0" fontId="0" fillId="3" borderId="0" xfId="0" applyFill="1"/>
    <xf numFmtId="14" fontId="2" fillId="0" borderId="0" xfId="0" applyNumberFormat="1" applyFont="1"/>
    <xf numFmtId="0" fontId="2" fillId="0" borderId="0" xfId="0" applyFont="1"/>
    <xf numFmtId="44" fontId="2" fillId="0" borderId="0" xfId="1" applyFont="1" applyBorder="1"/>
    <xf numFmtId="0" fontId="2" fillId="0" borderId="0" xfId="0" applyFont="1" applyFill="1" applyBorder="1"/>
    <xf numFmtId="0" fontId="44" fillId="0" borderId="0" xfId="0" applyFont="1"/>
    <xf numFmtId="0" fontId="48" fillId="0" borderId="0" xfId="0" applyFont="1" applyBorder="1"/>
    <xf numFmtId="0" fontId="49" fillId="0" borderId="0" xfId="0" applyFont="1"/>
    <xf numFmtId="0" fontId="39" fillId="0" borderId="0" xfId="0" applyFont="1" applyFill="1" applyBorder="1"/>
    <xf numFmtId="0" fontId="30" fillId="0" borderId="1" xfId="0" applyFont="1" applyFill="1" applyBorder="1"/>
    <xf numFmtId="0" fontId="31" fillId="0" borderId="1" xfId="0" applyFont="1" applyBorder="1"/>
    <xf numFmtId="38" fontId="10" fillId="0" borderId="0" xfId="0" applyNumberFormat="1" applyFont="1" applyBorder="1"/>
    <xf numFmtId="44" fontId="51" fillId="0" borderId="0" xfId="1" applyFont="1" applyBorder="1"/>
    <xf numFmtId="0" fontId="36" fillId="0" borderId="0" xfId="0" applyFont="1" applyBorder="1"/>
    <xf numFmtId="9" fontId="52" fillId="0" borderId="0" xfId="0" applyNumberFormat="1" applyFont="1" applyBorder="1"/>
    <xf numFmtId="0" fontId="36" fillId="0" borderId="0" xfId="0" applyFont="1"/>
    <xf numFmtId="164" fontId="54" fillId="0" borderId="0" xfId="0" applyNumberFormat="1" applyFont="1" applyFill="1" applyBorder="1"/>
    <xf numFmtId="9" fontId="54" fillId="0" borderId="0" xfId="0" applyNumberFormat="1" applyFont="1" applyBorder="1"/>
    <xf numFmtId="164" fontId="54" fillId="0" borderId="0" xfId="0" applyNumberFormat="1" applyFont="1" applyBorder="1"/>
    <xf numFmtId="0" fontId="26" fillId="0" borderId="0" xfId="0" applyFont="1" applyBorder="1"/>
    <xf numFmtId="0" fontId="26" fillId="0" borderId="0" xfId="0" applyFont="1" applyFill="1" applyBorder="1"/>
    <xf numFmtId="0" fontId="56" fillId="0" borderId="0" xfId="0" applyFont="1"/>
    <xf numFmtId="14" fontId="56" fillId="0" borderId="0" xfId="0" applyNumberFormat="1" applyFont="1"/>
    <xf numFmtId="6" fontId="10" fillId="0" borderId="1" xfId="0" applyNumberFormat="1" applyFont="1" applyBorder="1"/>
    <xf numFmtId="9" fontId="52" fillId="0" borderId="3" xfId="0" applyNumberFormat="1" applyFont="1" applyBorder="1"/>
    <xf numFmtId="10" fontId="26" fillId="0" borderId="0" xfId="0" applyNumberFormat="1" applyFont="1" applyBorder="1"/>
    <xf numFmtId="9" fontId="14" fillId="0" borderId="2" xfId="0" applyNumberFormat="1" applyFont="1" applyFill="1" applyBorder="1" applyAlignment="1">
      <alignment wrapText="1"/>
    </xf>
    <xf numFmtId="10" fontId="12" fillId="0" borderId="8" xfId="0" applyNumberFormat="1" applyFont="1" applyFill="1" applyBorder="1"/>
    <xf numFmtId="10" fontId="32" fillId="0" borderId="8" xfId="0" applyNumberFormat="1" applyFont="1" applyFill="1" applyBorder="1"/>
    <xf numFmtId="44" fontId="6" fillId="0" borderId="8" xfId="1" applyFont="1" applyBorder="1"/>
    <xf numFmtId="0" fontId="58" fillId="0" borderId="0" xfId="0" applyFont="1"/>
    <xf numFmtId="0" fontId="59" fillId="0" borderId="0" xfId="0" applyFont="1"/>
    <xf numFmtId="0" fontId="6" fillId="0" borderId="0" xfId="0" applyFont="1"/>
    <xf numFmtId="0" fontId="0" fillId="0" borderId="0" xfId="0" applyFont="1" applyFill="1" applyBorder="1"/>
    <xf numFmtId="0" fontId="61" fillId="0" borderId="0" xfId="0" applyFont="1" applyFill="1" applyBorder="1"/>
    <xf numFmtId="0" fontId="51" fillId="0" borderId="0" xfId="0" applyFont="1"/>
    <xf numFmtId="10" fontId="64" fillId="0" borderId="0" xfId="0" applyNumberFormat="1" applyFont="1" applyBorder="1"/>
    <xf numFmtId="6" fontId="64" fillId="0" borderId="0" xfId="0" applyNumberFormat="1" applyFont="1" applyBorder="1"/>
    <xf numFmtId="0" fontId="51" fillId="0" borderId="0" xfId="0" applyFont="1" applyBorder="1"/>
    <xf numFmtId="9" fontId="52" fillId="0" borderId="1" xfId="0" applyNumberFormat="1" applyFont="1" applyBorder="1"/>
    <xf numFmtId="44" fontId="7" fillId="0" borderId="0" xfId="1" applyFont="1" applyBorder="1"/>
    <xf numFmtId="0" fontId="8" fillId="0" borderId="0" xfId="0" applyFont="1" applyFill="1" applyBorder="1"/>
    <xf numFmtId="164" fontId="8" fillId="0" borderId="0" xfId="0" applyNumberFormat="1" applyFont="1" applyBorder="1"/>
    <xf numFmtId="0" fontId="39" fillId="0" borderId="0" xfId="0" applyFont="1" applyBorder="1"/>
    <xf numFmtId="164" fontId="47" fillId="0" borderId="0" xfId="0" applyNumberFormat="1" applyFont="1" applyBorder="1"/>
    <xf numFmtId="10" fontId="47" fillId="0" borderId="0" xfId="0" applyNumberFormat="1" applyFont="1" applyBorder="1"/>
    <xf numFmtId="0" fontId="60" fillId="0" borderId="7" xfId="0" applyFont="1" applyBorder="1"/>
    <xf numFmtId="0" fontId="68" fillId="0" borderId="0" xfId="0" applyFont="1" applyBorder="1"/>
    <xf numFmtId="44" fontId="8" fillId="0" borderId="7" xfId="1" applyFont="1" applyBorder="1"/>
    <xf numFmtId="44" fontId="72" fillId="0" borderId="7" xfId="1" applyFont="1" applyBorder="1"/>
    <xf numFmtId="0" fontId="2" fillId="0" borderId="7" xfId="0" applyFont="1" applyBorder="1"/>
    <xf numFmtId="44" fontId="75" fillId="0" borderId="7" xfId="1" applyFont="1" applyBorder="1"/>
    <xf numFmtId="0" fontId="8" fillId="0" borderId="7" xfId="0" applyFont="1" applyFill="1" applyBorder="1"/>
    <xf numFmtId="0" fontId="8" fillId="0" borderId="10" xfId="0" applyFont="1" applyBorder="1"/>
    <xf numFmtId="164" fontId="8" fillId="0" borderId="3" xfId="0" applyNumberFormat="1" applyFont="1" applyBorder="1"/>
    <xf numFmtId="0" fontId="44" fillId="0" borderId="0" xfId="0" applyFont="1" applyBorder="1"/>
    <xf numFmtId="0" fontId="7" fillId="0" borderId="3" xfId="0" applyFont="1" applyBorder="1"/>
    <xf numFmtId="44" fontId="6" fillId="0" borderId="10" xfId="1" applyFont="1" applyBorder="1"/>
    <xf numFmtId="0" fontId="67" fillId="0" borderId="0" xfId="0" applyFont="1" applyBorder="1"/>
    <xf numFmtId="0" fontId="47" fillId="0" borderId="0" xfId="0" applyFont="1" applyBorder="1"/>
    <xf numFmtId="6" fontId="47" fillId="0" borderId="0" xfId="0" applyNumberFormat="1" applyFont="1" applyBorder="1"/>
    <xf numFmtId="10" fontId="47" fillId="0" borderId="3" xfId="0" applyNumberFormat="1" applyFont="1" applyBorder="1"/>
    <xf numFmtId="6" fontId="78" fillId="0" borderId="0" xfId="0" applyNumberFormat="1" applyFont="1" applyBorder="1"/>
    <xf numFmtId="164" fontId="6" fillId="0" borderId="0" xfId="0" applyNumberFormat="1" applyFont="1" applyBorder="1"/>
    <xf numFmtId="0" fontId="0" fillId="0" borderId="0" xfId="0" applyFont="1" applyBorder="1" applyAlignment="1">
      <alignment horizontal="center"/>
    </xf>
    <xf numFmtId="0" fontId="0" fillId="0" borderId="3" xfId="0" applyFont="1" applyBorder="1"/>
    <xf numFmtId="0" fontId="70" fillId="0" borderId="0" xfId="0" applyFont="1" applyFill="1" applyBorder="1"/>
    <xf numFmtId="38" fontId="47" fillId="0" borderId="0" xfId="0" applyNumberFormat="1" applyFont="1" applyBorder="1"/>
    <xf numFmtId="10" fontId="6" fillId="0" borderId="0" xfId="0" applyNumberFormat="1" applyFont="1" applyBorder="1"/>
    <xf numFmtId="0" fontId="80" fillId="0" borderId="0" xfId="2" applyFont="1" applyBorder="1" applyAlignment="1" applyProtection="1"/>
    <xf numFmtId="44" fontId="60" fillId="0" borderId="0" xfId="1" applyFont="1" applyBorder="1"/>
    <xf numFmtId="44" fontId="60" fillId="0" borderId="3" xfId="1" applyFont="1" applyBorder="1"/>
    <xf numFmtId="0" fontId="38" fillId="0" borderId="0" xfId="0" applyFont="1" applyBorder="1"/>
    <xf numFmtId="0" fontId="82" fillId="0" borderId="0" xfId="0" applyFont="1"/>
    <xf numFmtId="0" fontId="44" fillId="0" borderId="7" xfId="0" applyFont="1" applyBorder="1"/>
    <xf numFmtId="0" fontId="4" fillId="0" borderId="0" xfId="0" applyFont="1" applyBorder="1"/>
    <xf numFmtId="0" fontId="60" fillId="0" borderId="0" xfId="0" applyFont="1" applyBorder="1"/>
    <xf numFmtId="0" fontId="83" fillId="0" borderId="0" xfId="0" applyFont="1" applyBorder="1"/>
    <xf numFmtId="0" fontId="83" fillId="0" borderId="3" xfId="0" applyFont="1" applyBorder="1"/>
    <xf numFmtId="0" fontId="23" fillId="0" borderId="7" xfId="0" applyFont="1" applyBorder="1"/>
    <xf numFmtId="0" fontId="62" fillId="0" borderId="0" xfId="0" applyFont="1" applyFill="1" applyBorder="1"/>
    <xf numFmtId="0" fontId="63" fillId="0" borderId="0" xfId="0" applyFont="1" applyFill="1" applyBorder="1"/>
    <xf numFmtId="10" fontId="29" fillId="0" borderId="0" xfId="0" applyNumberFormat="1" applyFont="1" applyFill="1" applyBorder="1"/>
    <xf numFmtId="164" fontId="29" fillId="0" borderId="0" xfId="0" applyNumberFormat="1" applyFont="1" applyFill="1" applyBorder="1"/>
    <xf numFmtId="0" fontId="16" fillId="0" borderId="0" xfId="0" applyFont="1" applyFill="1" applyBorder="1"/>
    <xf numFmtId="164" fontId="16" fillId="0" borderId="0" xfId="0" applyNumberFormat="1" applyFont="1" applyFill="1" applyBorder="1"/>
    <xf numFmtId="164" fontId="18" fillId="0" borderId="0" xfId="0" applyNumberFormat="1" applyFont="1" applyFill="1" applyBorder="1"/>
    <xf numFmtId="0" fontId="50" fillId="0" borderId="0" xfId="0" applyFont="1" applyBorder="1"/>
    <xf numFmtId="0" fontId="50" fillId="0" borderId="12" xfId="0" applyFont="1" applyBorder="1"/>
    <xf numFmtId="14" fontId="50" fillId="0" borderId="0" xfId="0" applyNumberFormat="1" applyFont="1"/>
    <xf numFmtId="0" fontId="88" fillId="0" borderId="0" xfId="0" applyFont="1"/>
    <xf numFmtId="0" fontId="33" fillId="0" borderId="0" xfId="2" applyAlignment="1" applyProtection="1"/>
    <xf numFmtId="0" fontId="33" fillId="0" borderId="0" xfId="2" applyFont="1" applyAlignment="1" applyProtection="1"/>
    <xf numFmtId="14" fontId="51" fillId="0" borderId="0" xfId="0" applyNumberFormat="1" applyFont="1"/>
    <xf numFmtId="0" fontId="90" fillId="0" borderId="0" xfId="0" applyFont="1" applyBorder="1"/>
    <xf numFmtId="0" fontId="91" fillId="0" borderId="0" xfId="0" applyFont="1" applyBorder="1"/>
    <xf numFmtId="44" fontId="90" fillId="0" borderId="7" xfId="1" applyFont="1" applyBorder="1"/>
    <xf numFmtId="44" fontId="89" fillId="0" borderId="7" xfId="1" applyFont="1" applyBorder="1"/>
    <xf numFmtId="10" fontId="53" fillId="0" borderId="0" xfId="0" applyNumberFormat="1" applyFont="1" applyBorder="1"/>
    <xf numFmtId="0" fontId="86" fillId="0" borderId="7" xfId="0" applyFont="1" applyBorder="1"/>
    <xf numFmtId="164" fontId="92" fillId="0" borderId="0" xfId="0" applyNumberFormat="1" applyFont="1" applyBorder="1"/>
    <xf numFmtId="0" fontId="33" fillId="0" borderId="0" xfId="2" applyBorder="1" applyAlignment="1" applyProtection="1"/>
    <xf numFmtId="0" fontId="82" fillId="0" borderId="0" xfId="0" applyFont="1" applyBorder="1"/>
    <xf numFmtId="0" fontId="36" fillId="0" borderId="3" xfId="0" applyFont="1" applyBorder="1"/>
    <xf numFmtId="38" fontId="10" fillId="0" borderId="1" xfId="0" applyNumberFormat="1" applyFont="1" applyBorder="1"/>
    <xf numFmtId="0" fontId="38" fillId="0" borderId="7" xfId="0" applyFont="1" applyBorder="1"/>
    <xf numFmtId="0" fontId="40" fillId="0" borderId="10" xfId="0" applyFont="1" applyBorder="1"/>
    <xf numFmtId="10" fontId="82" fillId="0" borderId="0" xfId="0" applyNumberFormat="1" applyFont="1" applyBorder="1"/>
    <xf numFmtId="164" fontId="26" fillId="0" borderId="21" xfId="0" applyNumberFormat="1" applyFont="1" applyBorder="1"/>
    <xf numFmtId="164" fontId="26" fillId="0" borderId="1" xfId="0" applyNumberFormat="1" applyFont="1" applyBorder="1"/>
    <xf numFmtId="164" fontId="26" fillId="0" borderId="12" xfId="0" applyNumberFormat="1" applyFont="1" applyBorder="1"/>
    <xf numFmtId="164" fontId="26" fillId="0" borderId="8" xfId="0" applyNumberFormat="1" applyFont="1" applyBorder="1"/>
    <xf numFmtId="164" fontId="23" fillId="0" borderId="1" xfId="0" applyNumberFormat="1" applyFont="1" applyBorder="1"/>
    <xf numFmtId="0" fontId="23" fillId="0" borderId="10" xfId="0" applyFont="1" applyBorder="1"/>
    <xf numFmtId="164" fontId="54" fillId="0" borderId="1" xfId="0" applyNumberFormat="1" applyFont="1" applyFill="1" applyBorder="1"/>
    <xf numFmtId="164" fontId="82" fillId="0" borderId="0" xfId="0" applyNumberFormat="1" applyFont="1" applyBorder="1"/>
    <xf numFmtId="164" fontId="26" fillId="0" borderId="14" xfId="0" applyNumberFormat="1" applyFont="1" applyBorder="1"/>
    <xf numFmtId="9" fontId="82" fillId="0" borderId="0" xfId="0" applyNumberFormat="1" applyFont="1" applyBorder="1"/>
    <xf numFmtId="0" fontId="23" fillId="0" borderId="7" xfId="0" applyFont="1" applyFill="1" applyBorder="1"/>
    <xf numFmtId="44" fontId="11" fillId="0" borderId="3" xfId="1" applyFont="1" applyBorder="1"/>
    <xf numFmtId="167" fontId="0" fillId="0" borderId="0" xfId="0" applyNumberFormat="1" applyBorder="1"/>
    <xf numFmtId="169" fontId="0" fillId="0" borderId="0" xfId="0" applyNumberFormat="1" applyBorder="1"/>
    <xf numFmtId="169" fontId="0" fillId="0" borderId="0" xfId="0" applyNumberFormat="1"/>
    <xf numFmtId="44" fontId="6" fillId="0" borderId="0" xfId="1" applyFont="1" applyBorder="1"/>
    <xf numFmtId="44" fontId="6" fillId="0" borderId="2" xfId="1" applyFont="1" applyBorder="1"/>
    <xf numFmtId="0" fontId="2" fillId="0" borderId="10" xfId="0" applyFont="1" applyBorder="1"/>
    <xf numFmtId="0" fontId="0" fillId="0" borderId="0" xfId="0" applyFill="1"/>
    <xf numFmtId="6" fontId="26" fillId="0" borderId="0" xfId="0" applyNumberFormat="1" applyFont="1" applyBorder="1"/>
    <xf numFmtId="6" fontId="16" fillId="0" borderId="0" xfId="0" applyNumberFormat="1" applyFont="1" applyBorder="1"/>
    <xf numFmtId="164" fontId="101" fillId="0" borderId="0" xfId="0" applyNumberFormat="1" applyFont="1" applyBorder="1"/>
    <xf numFmtId="0" fontId="26" fillId="0" borderId="1" xfId="0" applyFont="1" applyBorder="1"/>
    <xf numFmtId="9" fontId="54" fillId="0" borderId="1" xfId="0" applyNumberFormat="1" applyFont="1" applyBorder="1"/>
    <xf numFmtId="0" fontId="4" fillId="0" borderId="0" xfId="0" applyFont="1"/>
    <xf numFmtId="0" fontId="108" fillId="0" borderId="0" xfId="0" applyFont="1"/>
    <xf numFmtId="0" fontId="108" fillId="0" borderId="0" xfId="0" applyFont="1" applyBorder="1"/>
    <xf numFmtId="0" fontId="67" fillId="0" borderId="3" xfId="0" applyFont="1" applyBorder="1"/>
    <xf numFmtId="38" fontId="47" fillId="0" borderId="3" xfId="0" applyNumberFormat="1" applyFont="1" applyBorder="1"/>
    <xf numFmtId="0" fontId="70" fillId="0" borderId="3" xfId="0" applyFont="1" applyFill="1" applyBorder="1"/>
    <xf numFmtId="0" fontId="112" fillId="0" borderId="0" xfId="0" applyFont="1" applyBorder="1"/>
    <xf numFmtId="0" fontId="109" fillId="0" borderId="0" xfId="0" applyFont="1"/>
    <xf numFmtId="164" fontId="26" fillId="0" borderId="3" xfId="0" applyNumberFormat="1" applyFont="1" applyBorder="1"/>
    <xf numFmtId="44" fontId="44" fillId="0" borderId="0" xfId="1" applyFont="1" applyBorder="1"/>
    <xf numFmtId="44" fontId="44" fillId="0" borderId="22" xfId="1" applyFont="1" applyBorder="1"/>
    <xf numFmtId="0" fontId="23" fillId="0" borderId="3" xfId="0" applyFont="1" applyBorder="1"/>
    <xf numFmtId="164" fontId="23" fillId="0" borderId="3" xfId="0" applyNumberFormat="1" applyFont="1" applyBorder="1"/>
    <xf numFmtId="164" fontId="26" fillId="0" borderId="9" xfId="0" applyNumberFormat="1" applyFont="1" applyBorder="1"/>
    <xf numFmtId="9" fontId="54" fillId="0" borderId="3" xfId="0" applyNumberFormat="1" applyFont="1" applyBorder="1"/>
    <xf numFmtId="0" fontId="11" fillId="3" borderId="23" xfId="0" applyFont="1" applyFill="1" applyBorder="1" applyAlignment="1">
      <alignment wrapText="1"/>
    </xf>
    <xf numFmtId="0" fontId="11" fillId="3" borderId="24" xfId="0" applyFont="1" applyFill="1" applyBorder="1" applyAlignment="1">
      <alignment wrapText="1"/>
    </xf>
    <xf numFmtId="0" fontId="11" fillId="4" borderId="24" xfId="0" applyFont="1" applyFill="1" applyBorder="1" applyAlignment="1">
      <alignment wrapText="1"/>
    </xf>
    <xf numFmtId="0" fontId="11" fillId="5" borderId="24" xfId="0" applyFont="1" applyFill="1" applyBorder="1" applyAlignment="1">
      <alignment wrapText="1"/>
    </xf>
    <xf numFmtId="0" fontId="11" fillId="6" borderId="25" xfId="0" applyFont="1" applyFill="1" applyBorder="1" applyAlignment="1">
      <alignment wrapText="1"/>
    </xf>
    <xf numFmtId="0" fontId="44" fillId="3" borderId="26" xfId="0" applyFont="1" applyFill="1" applyBorder="1"/>
    <xf numFmtId="0" fontId="62" fillId="3" borderId="27" xfId="0" applyFont="1" applyFill="1" applyBorder="1"/>
    <xf numFmtId="10" fontId="57" fillId="3" borderId="27" xfId="0" applyNumberFormat="1" applyFont="1" applyFill="1" applyBorder="1"/>
    <xf numFmtId="10" fontId="37" fillId="3" borderId="27" xfId="0" applyNumberFormat="1" applyFont="1" applyFill="1" applyBorder="1" applyAlignment="1"/>
    <xf numFmtId="10" fontId="7" fillId="3" borderId="27" xfId="0" applyNumberFormat="1" applyFont="1" applyFill="1" applyBorder="1"/>
    <xf numFmtId="0" fontId="62" fillId="3" borderId="28" xfId="0" applyFont="1" applyFill="1" applyBorder="1"/>
    <xf numFmtId="0" fontId="63" fillId="3" borderId="28" xfId="0" applyFont="1" applyFill="1" applyBorder="1"/>
    <xf numFmtId="10" fontId="29" fillId="3" borderId="28" xfId="0" applyNumberFormat="1" applyFont="1" applyFill="1" applyBorder="1"/>
    <xf numFmtId="164" fontId="29" fillId="3" borderId="28" xfId="0" applyNumberFormat="1" applyFont="1" applyFill="1" applyBorder="1"/>
    <xf numFmtId="0" fontId="16" fillId="3" borderId="28" xfId="0" applyFont="1" applyFill="1" applyBorder="1"/>
    <xf numFmtId="164" fontId="16" fillId="3" borderId="28" xfId="0" applyNumberFormat="1" applyFont="1" applyFill="1" applyBorder="1"/>
    <xf numFmtId="164" fontId="23" fillId="3" borderId="28" xfId="0" applyNumberFormat="1" applyFont="1" applyFill="1" applyBorder="1"/>
    <xf numFmtId="0" fontId="8" fillId="3" borderId="28" xfId="0" applyFont="1" applyFill="1" applyBorder="1"/>
    <xf numFmtId="0" fontId="2" fillId="0" borderId="0" xfId="0" applyFont="1" applyFill="1"/>
    <xf numFmtId="164" fontId="54" fillId="0" borderId="1" xfId="0" applyNumberFormat="1" applyFont="1" applyBorder="1"/>
    <xf numFmtId="164" fontId="26" fillId="0" borderId="2" xfId="0" applyNumberFormat="1" applyFont="1" applyBorder="1"/>
    <xf numFmtId="164" fontId="101" fillId="0" borderId="3" xfId="0" applyNumberFormat="1" applyFont="1" applyBorder="1"/>
    <xf numFmtId="164" fontId="54" fillId="0" borderId="3" xfId="0" applyNumberFormat="1" applyFont="1" applyFill="1" applyBorder="1"/>
    <xf numFmtId="164" fontId="54" fillId="0" borderId="3" xfId="0" applyNumberFormat="1" applyFont="1" applyBorder="1"/>
    <xf numFmtId="0" fontId="23" fillId="0" borderId="1" xfId="0" applyFont="1" applyBorder="1"/>
    <xf numFmtId="166" fontId="25" fillId="0" borderId="1" xfId="0" applyNumberFormat="1" applyFont="1" applyBorder="1"/>
    <xf numFmtId="0" fontId="26" fillId="0" borderId="7" xfId="0" applyFont="1" applyBorder="1"/>
    <xf numFmtId="164" fontId="101" fillId="0" borderId="1" xfId="0" applyNumberFormat="1" applyFont="1" applyBorder="1"/>
    <xf numFmtId="0" fontId="6" fillId="0" borderId="0" xfId="0" applyFont="1" applyAlignment="1">
      <alignment wrapText="1"/>
    </xf>
    <xf numFmtId="0" fontId="44" fillId="0" borderId="22" xfId="0" applyFont="1" applyBorder="1"/>
    <xf numFmtId="44" fontId="103" fillId="0" borderId="7" xfId="1" applyFont="1" applyBorder="1"/>
    <xf numFmtId="10" fontId="8" fillId="0" borderId="0" xfId="0" applyNumberFormat="1" applyFont="1" applyBorder="1"/>
    <xf numFmtId="0" fontId="46" fillId="0" borderId="0" xfId="0" applyFont="1" applyBorder="1"/>
    <xf numFmtId="0" fontId="26" fillId="0" borderId="8" xfId="0" applyFont="1" applyBorder="1"/>
    <xf numFmtId="0" fontId="110" fillId="0" borderId="0" xfId="0" applyFont="1" applyBorder="1"/>
    <xf numFmtId="164" fontId="16" fillId="0" borderId="1" xfId="0" applyNumberFormat="1" applyFont="1" applyBorder="1"/>
    <xf numFmtId="0" fontId="16" fillId="0" borderId="0" xfId="0" applyFont="1" applyBorder="1"/>
    <xf numFmtId="0" fontId="16" fillId="0" borderId="3" xfId="0" applyFont="1" applyBorder="1"/>
    <xf numFmtId="164" fontId="16" fillId="0" borderId="0" xfId="0" applyNumberFormat="1" applyFont="1" applyBorder="1"/>
    <xf numFmtId="0" fontId="16" fillId="0" borderId="2" xfId="0" applyFont="1" applyBorder="1"/>
    <xf numFmtId="0" fontId="16" fillId="0" borderId="8" xfId="0" applyFont="1" applyBorder="1"/>
    <xf numFmtId="0" fontId="2" fillId="0" borderId="8" xfId="0" applyFont="1" applyBorder="1"/>
    <xf numFmtId="0" fontId="76" fillId="0" borderId="0" xfId="0" applyFont="1" applyBorder="1"/>
    <xf numFmtId="0" fontId="105" fillId="0" borderId="0" xfId="0" applyFont="1" applyBorder="1"/>
    <xf numFmtId="164" fontId="105" fillId="0" borderId="0" xfId="0" applyNumberFormat="1" applyFont="1" applyBorder="1"/>
    <xf numFmtId="164" fontId="105" fillId="0" borderId="8" xfId="0" applyNumberFormat="1" applyFont="1" applyBorder="1"/>
    <xf numFmtId="0" fontId="106" fillId="0" borderId="7" xfId="0" applyFont="1" applyBorder="1"/>
    <xf numFmtId="164" fontId="107" fillId="0" borderId="0" xfId="0" applyNumberFormat="1" applyFont="1" applyFill="1" applyBorder="1"/>
    <xf numFmtId="9" fontId="107" fillId="0" borderId="0" xfId="0" applyNumberFormat="1" applyFont="1" applyBorder="1"/>
    <xf numFmtId="164" fontId="107" fillId="0" borderId="0" xfId="0" applyNumberFormat="1" applyFont="1" applyBorder="1"/>
    <xf numFmtId="164" fontId="18" fillId="3" borderId="28" xfId="0" applyNumberFormat="1" applyFont="1" applyFill="1" applyBorder="1"/>
    <xf numFmtId="10" fontId="7" fillId="3" borderId="29" xfId="0" applyNumberFormat="1" applyFont="1" applyFill="1" applyBorder="1"/>
    <xf numFmtId="0" fontId="0" fillId="3" borderId="30" xfId="0" applyFill="1" applyBorder="1"/>
    <xf numFmtId="0" fontId="111" fillId="0" borderId="0" xfId="0" applyFont="1" applyBorder="1"/>
    <xf numFmtId="0" fontId="111" fillId="0" borderId="0" xfId="0" applyFont="1"/>
    <xf numFmtId="0" fontId="112" fillId="0" borderId="0" xfId="0" applyFont="1"/>
    <xf numFmtId="0" fontId="112" fillId="0" borderId="7" xfId="0" applyFont="1" applyBorder="1"/>
    <xf numFmtId="0" fontId="114" fillId="0" borderId="0" xfId="0" applyFont="1" applyBorder="1"/>
    <xf numFmtId="0" fontId="98" fillId="0" borderId="0" xfId="0" applyFont="1" applyBorder="1"/>
    <xf numFmtId="0" fontId="99" fillId="0" borderId="0" xfId="0" applyFont="1" applyBorder="1" applyAlignment="1">
      <alignment horizontal="center"/>
    </xf>
    <xf numFmtId="10" fontId="94" fillId="0" borderId="0" xfId="0" applyNumberFormat="1" applyFont="1" applyBorder="1"/>
    <xf numFmtId="0" fontId="115" fillId="0" borderId="0" xfId="0" applyFont="1" applyBorder="1"/>
    <xf numFmtId="10" fontId="69" fillId="0" borderId="0" xfId="0" applyNumberFormat="1" applyFont="1" applyBorder="1"/>
    <xf numFmtId="164" fontId="6" fillId="0" borderId="0" xfId="0" applyNumberFormat="1" applyFont="1" applyBorder="1" applyAlignment="1"/>
    <xf numFmtId="0" fontId="26" fillId="7" borderId="31" xfId="0" applyFont="1" applyFill="1" applyBorder="1"/>
    <xf numFmtId="164" fontId="23" fillId="7" borderId="31" xfId="0" applyNumberFormat="1" applyFont="1" applyFill="1" applyBorder="1"/>
    <xf numFmtId="0" fontId="7" fillId="0" borderId="7" xfId="0" applyFont="1" applyBorder="1"/>
    <xf numFmtId="164" fontId="7" fillId="0" borderId="0" xfId="0" applyNumberFormat="1" applyFont="1" applyBorder="1" applyAlignment="1">
      <alignment wrapText="1"/>
    </xf>
    <xf numFmtId="164" fontId="10" fillId="0" borderId="0" xfId="0" applyNumberFormat="1" applyFont="1" applyBorder="1" applyAlignment="1">
      <alignment horizontal="center"/>
    </xf>
    <xf numFmtId="0" fontId="114" fillId="0" borderId="3" xfId="0" applyFont="1" applyBorder="1"/>
    <xf numFmtId="0" fontId="122" fillId="0" borderId="0" xfId="0" applyFont="1"/>
    <xf numFmtId="0" fontId="122" fillId="0" borderId="7" xfId="0" applyFont="1" applyBorder="1"/>
    <xf numFmtId="0" fontId="123" fillId="0" borderId="0" xfId="0" applyFont="1" applyBorder="1" applyAlignment="1">
      <alignment wrapText="1"/>
    </xf>
    <xf numFmtId="164" fontId="124" fillId="0" borderId="32" xfId="0" applyNumberFormat="1" applyFont="1" applyBorder="1"/>
    <xf numFmtId="164" fontId="124" fillId="0" borderId="8" xfId="0" applyNumberFormat="1" applyFont="1" applyBorder="1"/>
    <xf numFmtId="0" fontId="122" fillId="0" borderId="10" xfId="0" applyFont="1" applyBorder="1"/>
    <xf numFmtId="0" fontId="125" fillId="0" borderId="0" xfId="0" applyFont="1"/>
    <xf numFmtId="0" fontId="117" fillId="3" borderId="23" xfId="0" applyFont="1" applyFill="1" applyBorder="1" applyAlignment="1">
      <alignment wrapText="1"/>
    </xf>
    <xf numFmtId="0" fontId="122" fillId="0" borderId="22" xfId="0" applyFont="1" applyBorder="1"/>
    <xf numFmtId="0" fontId="122" fillId="0" borderId="1" xfId="0" applyFont="1" applyBorder="1"/>
    <xf numFmtId="0" fontId="122" fillId="0" borderId="0" xfId="0" applyFont="1" applyBorder="1"/>
    <xf numFmtId="164" fontId="122" fillId="0" borderId="0" xfId="0" applyNumberFormat="1" applyFont="1" applyBorder="1"/>
    <xf numFmtId="0" fontId="126" fillId="0" borderId="0" xfId="0" applyFont="1" applyBorder="1"/>
    <xf numFmtId="0" fontId="126" fillId="0" borderId="7" xfId="0" applyFont="1" applyBorder="1"/>
    <xf numFmtId="0" fontId="122" fillId="0" borderId="7" xfId="0" applyFont="1" applyFill="1" applyBorder="1"/>
    <xf numFmtId="0" fontId="122" fillId="0" borderId="0" xfId="0" applyFont="1" applyFill="1" applyBorder="1"/>
    <xf numFmtId="0" fontId="122" fillId="0" borderId="3" xfId="0" applyFont="1" applyBorder="1"/>
    <xf numFmtId="164" fontId="122" fillId="0" borderId="3" xfId="0" applyNumberFormat="1" applyFont="1" applyBorder="1"/>
    <xf numFmtId="0" fontId="0" fillId="0" borderId="10" xfId="0" applyBorder="1"/>
    <xf numFmtId="0" fontId="120" fillId="3" borderId="23" xfId="0" applyFont="1" applyFill="1" applyBorder="1" applyAlignment="1">
      <alignment wrapText="1"/>
    </xf>
    <xf numFmtId="0" fontId="120" fillId="3" borderId="24" xfId="0" applyFont="1" applyFill="1" applyBorder="1" applyAlignment="1">
      <alignment wrapText="1"/>
    </xf>
    <xf numFmtId="10" fontId="121" fillId="0" borderId="0" xfId="0" applyNumberFormat="1" applyFont="1" applyBorder="1"/>
    <xf numFmtId="10" fontId="127" fillId="0" borderId="0" xfId="0" applyNumberFormat="1" applyFont="1" applyBorder="1"/>
    <xf numFmtId="10" fontId="94" fillId="0" borderId="3" xfId="0" applyNumberFormat="1" applyFont="1" applyBorder="1"/>
    <xf numFmtId="0" fontId="115" fillId="0" borderId="3" xfId="0" applyFont="1" applyBorder="1"/>
    <xf numFmtId="0" fontId="129" fillId="0" borderId="0" xfId="0" applyFont="1"/>
    <xf numFmtId="0" fontId="130" fillId="0" borderId="0" xfId="0" applyFont="1" applyBorder="1"/>
    <xf numFmtId="167" fontId="129" fillId="0" borderId="0" xfId="0" applyNumberFormat="1" applyFont="1" applyBorder="1"/>
    <xf numFmtId="0" fontId="8" fillId="0" borderId="32" xfId="0" applyFont="1" applyBorder="1"/>
    <xf numFmtId="0" fontId="8" fillId="0" borderId="34" xfId="0" applyFont="1" applyBorder="1"/>
    <xf numFmtId="0" fontId="77" fillId="0" borderId="0" xfId="0" applyFont="1" applyBorder="1"/>
    <xf numFmtId="9" fontId="8" fillId="0" borderId="0" xfId="0" applyNumberFormat="1" applyFont="1" applyBorder="1"/>
    <xf numFmtId="0" fontId="135" fillId="0" borderId="0" xfId="0" applyFont="1"/>
    <xf numFmtId="0" fontId="132" fillId="0" borderId="0" xfId="0" applyFont="1"/>
    <xf numFmtId="0" fontId="10" fillId="0" borderId="0" xfId="0" applyFont="1" applyBorder="1"/>
    <xf numFmtId="164" fontId="10" fillId="0" borderId="0" xfId="0" applyNumberFormat="1" applyFont="1" applyBorder="1"/>
    <xf numFmtId="6" fontId="15" fillId="0" borderId="0" xfId="0" applyNumberFormat="1" applyFont="1" applyBorder="1"/>
    <xf numFmtId="0" fontId="136" fillId="0" borderId="0" xfId="0" applyFont="1" applyFill="1" applyBorder="1"/>
    <xf numFmtId="164" fontId="26" fillId="0" borderId="0" xfId="0" applyNumberFormat="1" applyFont="1"/>
    <xf numFmtId="164" fontId="16" fillId="0" borderId="12" xfId="0" applyNumberFormat="1" applyFont="1" applyBorder="1"/>
    <xf numFmtId="164" fontId="16" fillId="0" borderId="32" xfId="0" applyNumberFormat="1" applyFont="1" applyBorder="1"/>
    <xf numFmtId="164" fontId="16" fillId="0" borderId="14" xfId="0" applyNumberFormat="1" applyFont="1" applyBorder="1"/>
    <xf numFmtId="164" fontId="16" fillId="0" borderId="34" xfId="0" applyNumberFormat="1" applyFont="1" applyBorder="1"/>
    <xf numFmtId="44" fontId="33" fillId="0" borderId="0" xfId="2" applyNumberFormat="1" applyFont="1" applyBorder="1" applyAlignment="1" applyProtection="1"/>
    <xf numFmtId="0" fontId="140" fillId="0" borderId="0" xfId="0" applyFont="1" applyBorder="1"/>
    <xf numFmtId="0" fontId="141" fillId="3" borderId="0" xfId="0" applyFont="1" applyFill="1"/>
    <xf numFmtId="0" fontId="114" fillId="0" borderId="0" xfId="0" applyFont="1"/>
    <xf numFmtId="0" fontId="116" fillId="0" borderId="0" xfId="0" applyFont="1" applyBorder="1"/>
    <xf numFmtId="0" fontId="118" fillId="0" borderId="7" xfId="0" applyFont="1" applyBorder="1"/>
    <xf numFmtId="0" fontId="119" fillId="0" borderId="7" xfId="0" applyFont="1" applyBorder="1"/>
    <xf numFmtId="0" fontId="118" fillId="0" borderId="0" xfId="0" applyFont="1" applyBorder="1"/>
    <xf numFmtId="164" fontId="123" fillId="0" borderId="0" xfId="0" applyNumberFormat="1" applyFont="1" applyBorder="1" applyAlignment="1">
      <alignment wrapText="1"/>
    </xf>
    <xf numFmtId="164" fontId="6" fillId="0" borderId="0" xfId="0" applyNumberFormat="1" applyFont="1" applyFill="1" applyBorder="1" applyAlignment="1"/>
    <xf numFmtId="164" fontId="102" fillId="0" borderId="8" xfId="0" applyNumberFormat="1" applyFont="1" applyFill="1" applyBorder="1" applyAlignment="1">
      <alignment horizontal="center"/>
    </xf>
    <xf numFmtId="164" fontId="122" fillId="0" borderId="1" xfId="0" applyNumberFormat="1" applyFont="1" applyBorder="1"/>
    <xf numFmtId="164" fontId="122" fillId="0" borderId="12" xfId="0" applyNumberFormat="1" applyFont="1" applyBorder="1"/>
    <xf numFmtId="164" fontId="122" fillId="0" borderId="14" xfId="0" applyNumberFormat="1" applyFont="1" applyBorder="1"/>
    <xf numFmtId="164" fontId="135" fillId="0" borderId="0" xfId="0" applyNumberFormat="1" applyFont="1" applyBorder="1" applyAlignment="1">
      <alignment wrapText="1"/>
    </xf>
    <xf numFmtId="0" fontId="20" fillId="0" borderId="0" xfId="0" applyFont="1" applyBorder="1"/>
    <xf numFmtId="164" fontId="20" fillId="0" borderId="0" xfId="0" applyNumberFormat="1" applyFont="1" applyBorder="1"/>
    <xf numFmtId="164" fontId="86" fillId="0" borderId="0" xfId="0" applyNumberFormat="1" applyFont="1" applyBorder="1" applyAlignment="1">
      <alignment wrapText="1"/>
    </xf>
    <xf numFmtId="164" fontId="131" fillId="0" borderId="0" xfId="0" applyNumberFormat="1" applyFont="1" applyBorder="1" applyAlignment="1">
      <alignment horizontal="center"/>
    </xf>
    <xf numFmtId="0" fontId="139" fillId="0" borderId="0" xfId="0" applyFont="1" applyBorder="1"/>
    <xf numFmtId="0" fontId="139" fillId="0" borderId="0" xfId="0" applyFont="1"/>
    <xf numFmtId="166" fontId="144" fillId="0" borderId="0" xfId="0" applyNumberFormat="1" applyFont="1" applyBorder="1"/>
    <xf numFmtId="3" fontId="11" fillId="5" borderId="24" xfId="0" applyNumberFormat="1" applyFont="1" applyFill="1" applyBorder="1" applyAlignment="1">
      <alignment wrapText="1"/>
    </xf>
    <xf numFmtId="164" fontId="8" fillId="0" borderId="1" xfId="0" applyNumberFormat="1" applyFont="1" applyBorder="1"/>
    <xf numFmtId="164" fontId="8" fillId="0" borderId="2" xfId="0" applyNumberFormat="1" applyFont="1" applyBorder="1"/>
    <xf numFmtId="164" fontId="20" fillId="0" borderId="8" xfId="0" applyNumberFormat="1" applyFont="1" applyBorder="1"/>
    <xf numFmtId="164" fontId="139" fillId="0" borderId="8" xfId="0" applyNumberFormat="1" applyFont="1" applyBorder="1"/>
    <xf numFmtId="0" fontId="118" fillId="0" borderId="0" xfId="0" applyFont="1"/>
    <xf numFmtId="0" fontId="119" fillId="0" borderId="0" xfId="0" applyFont="1" applyBorder="1"/>
    <xf numFmtId="0" fontId="145" fillId="0" borderId="0" xfId="0" applyFont="1" applyBorder="1"/>
    <xf numFmtId="164" fontId="0" fillId="0" borderId="12" xfId="0" applyNumberFormat="1" applyBorder="1"/>
    <xf numFmtId="164" fontId="0" fillId="0" borderId="0" xfId="0" applyNumberFormat="1" applyBorder="1"/>
    <xf numFmtId="0" fontId="120" fillId="0" borderId="0" xfId="0" applyFont="1" applyAlignment="1">
      <alignment wrapText="1"/>
    </xf>
    <xf numFmtId="0" fontId="33" fillId="0" borderId="7" xfId="2" applyBorder="1" applyAlignment="1" applyProtection="1"/>
    <xf numFmtId="0" fontId="14" fillId="0" borderId="0" xfId="0" applyFont="1"/>
    <xf numFmtId="0" fontId="146" fillId="0" borderId="1" xfId="0" applyFont="1" applyBorder="1"/>
    <xf numFmtId="0" fontId="146" fillId="0" borderId="2" xfId="0" applyFont="1" applyBorder="1"/>
    <xf numFmtId="0" fontId="146" fillId="0" borderId="0" xfId="0" applyFont="1"/>
    <xf numFmtId="0" fontId="15" fillId="0" borderId="0" xfId="0" applyFont="1" applyFill="1" applyBorder="1" applyAlignment="1">
      <alignment wrapText="1"/>
    </xf>
    <xf numFmtId="164" fontId="15" fillId="0" borderId="0" xfId="0" applyNumberFormat="1" applyFont="1" applyFill="1" applyBorder="1"/>
    <xf numFmtId="0" fontId="15" fillId="0" borderId="0" xfId="0" applyFont="1" applyFill="1" applyBorder="1"/>
    <xf numFmtId="164" fontId="124" fillId="0" borderId="0" xfId="0" applyNumberFormat="1" applyFont="1" applyFill="1" applyBorder="1"/>
    <xf numFmtId="0" fontId="123" fillId="0" borderId="0" xfId="0" applyFont="1" applyFill="1" applyBorder="1"/>
    <xf numFmtId="164" fontId="123" fillId="0" borderId="0" xfId="0" applyNumberFormat="1" applyFont="1" applyFill="1" applyBorder="1"/>
    <xf numFmtId="0" fontId="122" fillId="0" borderId="0" xfId="0" applyFont="1" applyFill="1" applyBorder="1" applyAlignment="1">
      <alignment wrapText="1"/>
    </xf>
    <xf numFmtId="0" fontId="113" fillId="0" borderId="0" xfId="0" applyFont="1" applyBorder="1"/>
    <xf numFmtId="0" fontId="16" fillId="0" borderId="7" xfId="0" applyFont="1" applyBorder="1"/>
    <xf numFmtId="164" fontId="16" fillId="0" borderId="35" xfId="0" applyNumberFormat="1" applyFont="1" applyBorder="1"/>
    <xf numFmtId="0" fontId="16" fillId="0" borderId="10" xfId="0" applyFont="1" applyBorder="1"/>
    <xf numFmtId="164" fontId="16" fillId="0" borderId="3" xfId="0" applyNumberFormat="1" applyFont="1" applyBorder="1"/>
    <xf numFmtId="164" fontId="16" fillId="0" borderId="36" xfId="0" applyNumberFormat="1" applyFont="1" applyBorder="1"/>
    <xf numFmtId="0" fontId="120" fillId="14" borderId="24" xfId="0" applyFont="1" applyFill="1" applyBorder="1" applyAlignment="1">
      <alignment wrapText="1"/>
    </xf>
    <xf numFmtId="3" fontId="120" fillId="15" borderId="24" xfId="0" applyNumberFormat="1" applyFont="1" applyFill="1" applyBorder="1" applyAlignment="1">
      <alignment wrapText="1"/>
    </xf>
    <xf numFmtId="0" fontId="120" fillId="15" borderId="24" xfId="0" applyFont="1" applyFill="1" applyBorder="1" applyAlignment="1">
      <alignment wrapText="1"/>
    </xf>
    <xf numFmtId="6" fontId="26" fillId="0" borderId="1" xfId="0" applyNumberFormat="1" applyFont="1" applyBorder="1"/>
    <xf numFmtId="6" fontId="16" fillId="0" borderId="1" xfId="0" applyNumberFormat="1" applyFont="1" applyBorder="1"/>
    <xf numFmtId="10" fontId="26" fillId="0" borderId="1" xfId="0" applyNumberFormat="1" applyFont="1" applyBorder="1"/>
    <xf numFmtId="44" fontId="86" fillId="0" borderId="0" xfId="1" applyFont="1" applyBorder="1"/>
    <xf numFmtId="0" fontId="117" fillId="3" borderId="24" xfId="0" applyFont="1" applyFill="1" applyBorder="1" applyAlignment="1">
      <alignment wrapText="1"/>
    </xf>
    <xf numFmtId="164" fontId="12" fillId="0" borderId="0" xfId="0" applyNumberFormat="1" applyFont="1" applyBorder="1"/>
    <xf numFmtId="164" fontId="12" fillId="0" borderId="3" xfId="0" applyNumberFormat="1" applyFont="1" applyBorder="1"/>
    <xf numFmtId="0" fontId="89" fillId="0" borderId="0" xfId="0" applyFont="1" applyBorder="1"/>
    <xf numFmtId="0" fontId="133" fillId="0" borderId="0" xfId="0" applyFont="1" applyBorder="1"/>
    <xf numFmtId="44" fontId="90" fillId="0" borderId="0" xfId="1" applyFont="1" applyBorder="1"/>
    <xf numFmtId="44" fontId="89" fillId="0" borderId="0" xfId="1" applyFont="1" applyBorder="1"/>
    <xf numFmtId="0" fontId="7" fillId="16" borderId="24" xfId="0" applyFont="1" applyFill="1" applyBorder="1" applyAlignment="1">
      <alignment wrapText="1"/>
    </xf>
    <xf numFmtId="44" fontId="94" fillId="0" borderId="0" xfId="1" applyFont="1" applyFill="1" applyBorder="1"/>
    <xf numFmtId="0" fontId="89" fillId="0" borderId="0" xfId="0" applyFont="1" applyFill="1" applyBorder="1"/>
    <xf numFmtId="0" fontId="142" fillId="0" borderId="0" xfId="0" applyFont="1" applyFill="1" applyBorder="1" applyAlignment="1">
      <alignment horizontal="center"/>
    </xf>
    <xf numFmtId="0" fontId="90" fillId="0" borderId="0" xfId="0" applyFont="1" applyFill="1" applyBorder="1"/>
    <xf numFmtId="44" fontId="90" fillId="0" borderId="0" xfId="1" applyFont="1" applyFill="1" applyBorder="1"/>
    <xf numFmtId="10" fontId="92" fillId="0" borderId="0" xfId="0" applyNumberFormat="1" applyFont="1" applyBorder="1"/>
    <xf numFmtId="164" fontId="148" fillId="0" borderId="8" xfId="0" applyNumberFormat="1" applyFont="1" applyBorder="1" applyAlignment="1">
      <alignment wrapText="1"/>
    </xf>
    <xf numFmtId="164" fontId="122" fillId="0" borderId="32" xfId="0" applyNumberFormat="1" applyFont="1" applyBorder="1"/>
    <xf numFmtId="164" fontId="122" fillId="0" borderId="34" xfId="0" applyNumberFormat="1" applyFont="1" applyBorder="1"/>
    <xf numFmtId="164" fontId="119" fillId="0" borderId="0" xfId="0" applyNumberFormat="1" applyFont="1" applyBorder="1"/>
    <xf numFmtId="164" fontId="102" fillId="0" borderId="0" xfId="0" applyNumberFormat="1" applyFont="1" applyBorder="1" applyAlignment="1">
      <alignment horizontal="center"/>
    </xf>
    <xf numFmtId="0" fontId="7" fillId="11" borderId="24" xfId="0" applyFont="1" applyFill="1" applyBorder="1" applyAlignment="1">
      <alignment wrapText="1"/>
    </xf>
    <xf numFmtId="164" fontId="23" fillId="0" borderId="37" xfId="0" applyNumberFormat="1" applyFont="1" applyBorder="1"/>
    <xf numFmtId="164" fontId="23" fillId="0" borderId="13" xfId="0" applyNumberFormat="1" applyFont="1" applyBorder="1"/>
    <xf numFmtId="164" fontId="23" fillId="0" borderId="15" xfId="0" applyNumberFormat="1" applyFont="1" applyBorder="1"/>
    <xf numFmtId="0" fontId="53" fillId="0" borderId="0" xfId="0" applyFont="1" applyFill="1" applyBorder="1"/>
    <xf numFmtId="0" fontId="11" fillId="6" borderId="24" xfId="0" applyFont="1" applyFill="1" applyBorder="1" applyAlignment="1">
      <alignment wrapText="1"/>
    </xf>
    <xf numFmtId="0" fontId="120" fillId="4" borderId="24" xfId="0" applyFont="1" applyFill="1" applyBorder="1" applyAlignment="1">
      <alignment wrapText="1"/>
    </xf>
    <xf numFmtId="0" fontId="67" fillId="0" borderId="0" xfId="0" applyFont="1" applyFill="1" applyBorder="1"/>
    <xf numFmtId="164" fontId="120" fillId="0" borderId="0" xfId="0" applyNumberFormat="1" applyFont="1" applyBorder="1"/>
    <xf numFmtId="164" fontId="129" fillId="0" borderId="32" xfId="0" applyNumberFormat="1" applyFont="1" applyBorder="1"/>
    <xf numFmtId="164" fontId="129" fillId="0" borderId="34" xfId="0" applyNumberFormat="1" applyFont="1" applyBorder="1"/>
    <xf numFmtId="164" fontId="126" fillId="0" borderId="12" xfId="0" applyNumberFormat="1" applyFont="1" applyBorder="1"/>
    <xf numFmtId="164" fontId="126" fillId="0" borderId="0" xfId="0" applyNumberFormat="1" applyFont="1" applyBorder="1"/>
    <xf numFmtId="164" fontId="126" fillId="0" borderId="32" xfId="0" applyNumberFormat="1" applyFont="1" applyBorder="1"/>
    <xf numFmtId="164" fontId="126" fillId="0" borderId="14" xfId="0" applyNumberFormat="1" applyFont="1" applyBorder="1"/>
    <xf numFmtId="164" fontId="126" fillId="0" borderId="34" xfId="0" applyNumberFormat="1" applyFont="1" applyBorder="1"/>
    <xf numFmtId="0" fontId="0" fillId="0" borderId="0" xfId="0" applyAlignment="1">
      <alignment wrapText="1"/>
    </xf>
    <xf numFmtId="0" fontId="12" fillId="0" borderId="0" xfId="0" applyFont="1" applyAlignment="1">
      <alignment wrapText="1"/>
    </xf>
    <xf numFmtId="0" fontId="46" fillId="0" borderId="1" xfId="0" applyFont="1" applyBorder="1"/>
    <xf numFmtId="164" fontId="23" fillId="0" borderId="2" xfId="0" applyNumberFormat="1" applyFont="1" applyBorder="1"/>
    <xf numFmtId="164" fontId="23" fillId="0" borderId="8" xfId="0" applyNumberFormat="1" applyFont="1" applyBorder="1"/>
    <xf numFmtId="0" fontId="12" fillId="0" borderId="0" xfId="0" applyFont="1"/>
    <xf numFmtId="164" fontId="6" fillId="7" borderId="38" xfId="0" applyNumberFormat="1" applyFont="1" applyFill="1" applyBorder="1" applyAlignment="1"/>
    <xf numFmtId="164" fontId="2" fillId="0" borderId="0" xfId="0" applyNumberFormat="1" applyFont="1" applyBorder="1"/>
    <xf numFmtId="164" fontId="2" fillId="0" borderId="8" xfId="0" applyNumberFormat="1" applyFont="1" applyBorder="1"/>
    <xf numFmtId="6" fontId="2" fillId="0" borderId="0" xfId="0" applyNumberFormat="1" applyFont="1" applyBorder="1"/>
    <xf numFmtId="10" fontId="2" fillId="0" borderId="0" xfId="0" applyNumberFormat="1" applyFont="1" applyBorder="1"/>
    <xf numFmtId="0" fontId="11" fillId="12" borderId="24" xfId="0" applyFont="1" applyFill="1" applyBorder="1" applyAlignment="1">
      <alignment wrapText="1"/>
    </xf>
    <xf numFmtId="0" fontId="11" fillId="11" borderId="24" xfId="0" applyFont="1" applyFill="1" applyBorder="1" applyAlignment="1">
      <alignment wrapText="1"/>
    </xf>
    <xf numFmtId="0" fontId="11" fillId="17" borderId="24" xfId="0" applyFont="1" applyFill="1" applyBorder="1" applyAlignment="1">
      <alignment wrapText="1"/>
    </xf>
    <xf numFmtId="0" fontId="11" fillId="14" borderId="24" xfId="0" applyFont="1" applyFill="1" applyBorder="1" applyAlignment="1">
      <alignment wrapText="1"/>
    </xf>
    <xf numFmtId="0" fontId="23" fillId="0" borderId="22" xfId="0" applyFont="1" applyBorder="1"/>
    <xf numFmtId="167" fontId="16" fillId="0" borderId="0" xfId="0" applyNumberFormat="1" applyFont="1" applyBorder="1"/>
    <xf numFmtId="167" fontId="16" fillId="0" borderId="3" xfId="0" applyNumberFormat="1" applyFont="1" applyBorder="1"/>
    <xf numFmtId="0" fontId="11" fillId="18" borderId="24" xfId="0" applyFont="1" applyFill="1" applyBorder="1" applyAlignment="1">
      <alignment wrapText="1"/>
    </xf>
    <xf numFmtId="0" fontId="153" fillId="0" borderId="0" xfId="0" applyFont="1"/>
    <xf numFmtId="0" fontId="152" fillId="0" borderId="22" xfId="0" applyFont="1" applyBorder="1"/>
    <xf numFmtId="0" fontId="2" fillId="0" borderId="7" xfId="0" applyFont="1" applyFill="1" applyBorder="1"/>
    <xf numFmtId="0" fontId="2" fillId="0" borderId="8" xfId="0" applyFont="1" applyFill="1" applyBorder="1"/>
    <xf numFmtId="10" fontId="154" fillId="0" borderId="0" xfId="0" applyNumberFormat="1" applyFont="1" applyBorder="1"/>
    <xf numFmtId="0" fontId="119" fillId="3" borderId="40" xfId="0" applyFont="1" applyFill="1" applyBorder="1" applyAlignment="1">
      <alignment wrapText="1"/>
    </xf>
    <xf numFmtId="0" fontId="119" fillId="3" borderId="41" xfId="0" applyFont="1" applyFill="1" applyBorder="1" applyAlignment="1">
      <alignment wrapText="1"/>
    </xf>
    <xf numFmtId="3" fontId="119" fillId="16" borderId="41" xfId="0" applyNumberFormat="1" applyFont="1" applyFill="1" applyBorder="1" applyAlignment="1">
      <alignment wrapText="1"/>
    </xf>
    <xf numFmtId="3" fontId="119" fillId="15" borderId="41" xfId="0" applyNumberFormat="1" applyFont="1" applyFill="1" applyBorder="1" applyAlignment="1">
      <alignment wrapText="1"/>
    </xf>
    <xf numFmtId="0" fontId="119" fillId="15" borderId="41" xfId="0" applyFont="1" applyFill="1" applyBorder="1" applyAlignment="1">
      <alignment wrapText="1"/>
    </xf>
    <xf numFmtId="164" fontId="24" fillId="0" borderId="1" xfId="0" applyNumberFormat="1" applyFont="1" applyFill="1" applyBorder="1"/>
    <xf numFmtId="0" fontId="114" fillId="0" borderId="1" xfId="0" applyFont="1" applyBorder="1"/>
    <xf numFmtId="44" fontId="119" fillId="0" borderId="7" xfId="1" applyFont="1" applyBorder="1"/>
    <xf numFmtId="0" fontId="119" fillId="0" borderId="7" xfId="0" applyFont="1" applyFill="1" applyBorder="1"/>
    <xf numFmtId="6" fontId="145" fillId="0" borderId="0" xfId="0" applyNumberFormat="1" applyFont="1" applyBorder="1"/>
    <xf numFmtId="0" fontId="156" fillId="0" borderId="0" xfId="2" applyFont="1" applyBorder="1" applyAlignment="1" applyProtection="1"/>
    <xf numFmtId="44" fontId="7" fillId="19" borderId="7" xfId="1" applyFont="1" applyFill="1" applyBorder="1"/>
    <xf numFmtId="0" fontId="8" fillId="19" borderId="0" xfId="0" applyFont="1" applyFill="1" applyBorder="1"/>
    <xf numFmtId="10" fontId="10" fillId="19" borderId="0" xfId="0" applyNumberFormat="1" applyFont="1" applyFill="1" applyBorder="1"/>
    <xf numFmtId="0" fontId="0" fillId="19" borderId="0" xfId="0" applyFill="1" applyBorder="1"/>
    <xf numFmtId="38" fontId="10" fillId="19" borderId="0" xfId="0" applyNumberFormat="1" applyFont="1" applyFill="1" applyBorder="1"/>
    <xf numFmtId="0" fontId="81" fillId="19" borderId="0" xfId="0" applyFont="1" applyFill="1" applyBorder="1"/>
    <xf numFmtId="0" fontId="119" fillId="19" borderId="0" xfId="0" applyFont="1" applyFill="1" applyBorder="1"/>
    <xf numFmtId="0" fontId="128" fillId="19" borderId="0" xfId="0" applyFont="1" applyFill="1" applyBorder="1"/>
    <xf numFmtId="6" fontId="127" fillId="19" borderId="0" xfId="0" applyNumberFormat="1" applyFont="1" applyFill="1" applyBorder="1"/>
    <xf numFmtId="0" fontId="143" fillId="19" borderId="0" xfId="0" applyFont="1" applyFill="1" applyBorder="1"/>
    <xf numFmtId="10" fontId="154" fillId="19" borderId="0" xfId="0" applyNumberFormat="1" applyFont="1" applyFill="1" applyBorder="1"/>
    <xf numFmtId="6" fontId="154" fillId="19" borderId="0" xfId="0" applyNumberFormat="1" applyFont="1" applyFill="1" applyBorder="1"/>
    <xf numFmtId="0" fontId="155" fillId="19" borderId="0" xfId="0" applyFont="1" applyFill="1" applyBorder="1"/>
    <xf numFmtId="0" fontId="0" fillId="19" borderId="8" xfId="0" applyFill="1" applyBorder="1"/>
    <xf numFmtId="44" fontId="7" fillId="19" borderId="10" xfId="1" applyFont="1" applyFill="1" applyBorder="1"/>
    <xf numFmtId="6" fontId="145" fillId="19" borderId="3" xfId="0" applyNumberFormat="1" applyFont="1" applyFill="1" applyBorder="1"/>
    <xf numFmtId="0" fontId="156" fillId="19" borderId="3" xfId="2" applyFont="1" applyFill="1" applyBorder="1" applyAlignment="1" applyProtection="1"/>
    <xf numFmtId="10" fontId="154" fillId="19" borderId="3" xfId="0" applyNumberFormat="1" applyFont="1" applyFill="1" applyBorder="1"/>
    <xf numFmtId="0" fontId="0" fillId="19" borderId="3" xfId="0" applyFill="1" applyBorder="1"/>
    <xf numFmtId="0" fontId="0" fillId="19" borderId="9" xfId="0" applyFill="1" applyBorder="1"/>
    <xf numFmtId="0" fontId="119" fillId="19" borderId="7" xfId="0" applyFont="1" applyFill="1" applyBorder="1"/>
    <xf numFmtId="0" fontId="50" fillId="19" borderId="0" xfId="0" applyFont="1" applyFill="1" applyBorder="1"/>
    <xf numFmtId="10" fontId="82" fillId="19" borderId="0" xfId="0" applyNumberFormat="1" applyFont="1" applyFill="1" applyBorder="1"/>
    <xf numFmtId="44" fontId="119" fillId="0" borderId="0" xfId="1" applyFont="1" applyBorder="1"/>
    <xf numFmtId="0" fontId="0" fillId="19" borderId="0" xfId="0" applyFill="1"/>
    <xf numFmtId="0" fontId="76" fillId="19" borderId="0" xfId="0" applyFont="1" applyFill="1" applyBorder="1"/>
    <xf numFmtId="0" fontId="31" fillId="19" borderId="0" xfId="0" applyFont="1" applyFill="1" applyBorder="1"/>
    <xf numFmtId="0" fontId="126" fillId="19" borderId="0" xfId="0" applyFont="1" applyFill="1" applyBorder="1"/>
    <xf numFmtId="0" fontId="143" fillId="19" borderId="0" xfId="0" applyFont="1" applyFill="1"/>
    <xf numFmtId="0" fontId="31" fillId="19" borderId="3" xfId="0" applyFont="1" applyFill="1" applyBorder="1"/>
    <xf numFmtId="0" fontId="136" fillId="19" borderId="0" xfId="0" applyFont="1" applyFill="1" applyBorder="1"/>
    <xf numFmtId="0" fontId="8" fillId="19" borderId="3" xfId="0" applyFont="1" applyFill="1" applyBorder="1"/>
    <xf numFmtId="10" fontId="10" fillId="19" borderId="3" xfId="0" applyNumberFormat="1" applyFont="1" applyFill="1" applyBorder="1"/>
    <xf numFmtId="0" fontId="126" fillId="19" borderId="3" xfId="0" applyFont="1" applyFill="1" applyBorder="1"/>
    <xf numFmtId="0" fontId="11" fillId="9" borderId="24" xfId="0" applyFont="1" applyFill="1" applyBorder="1" applyAlignment="1">
      <alignment wrapText="1"/>
    </xf>
    <xf numFmtId="0" fontId="11" fillId="10" borderId="24" xfId="0" applyFont="1" applyFill="1" applyBorder="1" applyAlignment="1">
      <alignment wrapText="1"/>
    </xf>
    <xf numFmtId="164" fontId="122" fillId="0" borderId="0" xfId="0" applyNumberFormat="1" applyFont="1" applyFill="1" applyBorder="1"/>
    <xf numFmtId="0" fontId="11" fillId="20" borderId="25" xfId="0" applyFont="1" applyFill="1" applyBorder="1" applyAlignment="1">
      <alignment wrapText="1"/>
    </xf>
    <xf numFmtId="0" fontId="11" fillId="0" borderId="0" xfId="0" applyFont="1" applyFill="1" applyBorder="1" applyAlignment="1">
      <alignment wrapText="1"/>
    </xf>
    <xf numFmtId="6" fontId="122" fillId="0" borderId="12" xfId="0" applyNumberFormat="1" applyFont="1" applyBorder="1"/>
    <xf numFmtId="6" fontId="122" fillId="0" borderId="0" xfId="0" applyNumberFormat="1" applyFont="1" applyBorder="1"/>
    <xf numFmtId="6" fontId="122" fillId="0" borderId="14" xfId="0" applyNumberFormat="1" applyFont="1" applyBorder="1"/>
    <xf numFmtId="6" fontId="122" fillId="0" borderId="3" xfId="0" applyNumberFormat="1" applyFont="1" applyBorder="1"/>
    <xf numFmtId="6" fontId="122" fillId="0" borderId="12" xfId="0" applyNumberFormat="1" applyFont="1" applyFill="1" applyBorder="1"/>
    <xf numFmtId="6" fontId="122" fillId="0" borderId="8" xfId="0" applyNumberFormat="1" applyFont="1" applyFill="1" applyBorder="1"/>
    <xf numFmtId="6" fontId="122" fillId="0" borderId="14" xfId="0" applyNumberFormat="1" applyFont="1" applyFill="1" applyBorder="1"/>
    <xf numFmtId="10" fontId="5" fillId="0" borderId="0" xfId="0" applyNumberFormat="1" applyFont="1" applyBorder="1"/>
    <xf numFmtId="3" fontId="11" fillId="19" borderId="24" xfId="0" applyNumberFormat="1" applyFont="1" applyFill="1" applyBorder="1" applyAlignment="1">
      <alignment wrapText="1"/>
    </xf>
    <xf numFmtId="0" fontId="53" fillId="0" borderId="2" xfId="0" applyFont="1" applyFill="1" applyBorder="1"/>
    <xf numFmtId="0" fontId="10" fillId="0" borderId="8" xfId="0" applyFont="1" applyFill="1" applyBorder="1"/>
    <xf numFmtId="0" fontId="26" fillId="0" borderId="10" xfId="0" applyFont="1" applyBorder="1"/>
    <xf numFmtId="0" fontId="11" fillId="21" borderId="24" xfId="0" applyFont="1" applyFill="1" applyBorder="1" applyAlignment="1">
      <alignment wrapText="1"/>
    </xf>
    <xf numFmtId="164" fontId="23" fillId="0" borderId="9" xfId="0" applyNumberFormat="1" applyFont="1" applyBorder="1"/>
    <xf numFmtId="0" fontId="0" fillId="3" borderId="0" xfId="0" applyFont="1" applyFill="1" applyBorder="1"/>
    <xf numFmtId="0" fontId="160" fillId="0" borderId="0" xfId="0" applyFont="1" applyBorder="1"/>
    <xf numFmtId="0" fontId="7" fillId="3" borderId="23" xfId="0" applyFont="1" applyFill="1" applyBorder="1" applyAlignment="1">
      <alignment wrapText="1"/>
    </xf>
    <xf numFmtId="0" fontId="7" fillId="3" borderId="24" xfId="0" applyFont="1" applyFill="1" applyBorder="1" applyAlignment="1">
      <alignment wrapText="1"/>
    </xf>
    <xf numFmtId="3" fontId="7" fillId="13" borderId="24" xfId="0" applyNumberFormat="1" applyFont="1" applyFill="1" applyBorder="1" applyAlignment="1">
      <alignment wrapText="1"/>
    </xf>
    <xf numFmtId="0" fontId="7" fillId="21" borderId="24" xfId="0" applyFont="1" applyFill="1" applyBorder="1" applyAlignment="1">
      <alignment wrapText="1"/>
    </xf>
    <xf numFmtId="0" fontId="7" fillId="21" borderId="25" xfId="0" applyFont="1" applyFill="1" applyBorder="1" applyAlignment="1">
      <alignment wrapText="1"/>
    </xf>
    <xf numFmtId="164" fontId="8" fillId="0" borderId="8" xfId="0" applyNumberFormat="1" applyFont="1" applyBorder="1"/>
    <xf numFmtId="164" fontId="8" fillId="0" borderId="9" xfId="0" applyNumberFormat="1" applyFont="1" applyBorder="1"/>
    <xf numFmtId="0" fontId="8" fillId="0" borderId="32" xfId="0" applyFont="1" applyFill="1" applyBorder="1"/>
    <xf numFmtId="171" fontId="129" fillId="0" borderId="0" xfId="0" applyNumberFormat="1" applyFont="1" applyFill="1" applyBorder="1"/>
    <xf numFmtId="164" fontId="129" fillId="0" borderId="12" xfId="0" applyNumberFormat="1" applyFont="1" applyFill="1" applyBorder="1"/>
    <xf numFmtId="0" fontId="129" fillId="0" borderId="0" xfId="0" applyFont="1" applyFill="1"/>
    <xf numFmtId="0" fontId="12" fillId="0" borderId="0" xfId="0" applyFont="1" applyFill="1"/>
    <xf numFmtId="164" fontId="16" fillId="0" borderId="35" xfId="0" applyNumberFormat="1" applyFont="1" applyFill="1" applyBorder="1"/>
    <xf numFmtId="164" fontId="16" fillId="0" borderId="12" xfId="0" applyNumberFormat="1" applyFont="1" applyFill="1" applyBorder="1"/>
    <xf numFmtId="9" fontId="54" fillId="0" borderId="0" xfId="0" applyNumberFormat="1" applyFont="1" applyFill="1" applyBorder="1"/>
    <xf numFmtId="167" fontId="16" fillId="0" borderId="0" xfId="0" applyNumberFormat="1" applyFont="1" applyFill="1" applyBorder="1"/>
    <xf numFmtId="0" fontId="16" fillId="0" borderId="7" xfId="0" applyFont="1" applyFill="1" applyBorder="1"/>
    <xf numFmtId="9" fontId="10" fillId="0" borderId="0" xfId="0" applyNumberFormat="1" applyFont="1" applyBorder="1"/>
    <xf numFmtId="164" fontId="12" fillId="0" borderId="0" xfId="0" applyNumberFormat="1" applyFont="1" applyFill="1" applyBorder="1"/>
    <xf numFmtId="164" fontId="129" fillId="0" borderId="32" xfId="0" applyNumberFormat="1" applyFont="1" applyFill="1" applyBorder="1"/>
    <xf numFmtId="164" fontId="8" fillId="0" borderId="8" xfId="0" applyNumberFormat="1" applyFont="1" applyFill="1" applyBorder="1"/>
    <xf numFmtId="0" fontId="0" fillId="0" borderId="8" xfId="0" applyFill="1" applyBorder="1"/>
    <xf numFmtId="164" fontId="126" fillId="0" borderId="12" xfId="0" applyNumberFormat="1" applyFont="1" applyFill="1" applyBorder="1"/>
    <xf numFmtId="164" fontId="126" fillId="0" borderId="0" xfId="0" applyNumberFormat="1" applyFont="1" applyFill="1" applyBorder="1"/>
    <xf numFmtId="164" fontId="126" fillId="0" borderId="32" xfId="0" applyNumberFormat="1" applyFont="1" applyFill="1" applyBorder="1"/>
    <xf numFmtId="6" fontId="122" fillId="0" borderId="0" xfId="0" applyNumberFormat="1" applyFont="1" applyFill="1" applyBorder="1"/>
    <xf numFmtId="0" fontId="122" fillId="0" borderId="0" xfId="0" applyFont="1" applyFill="1"/>
    <xf numFmtId="0" fontId="11" fillId="12" borderId="43" xfId="0" applyFont="1" applyFill="1" applyBorder="1" applyAlignment="1">
      <alignment wrapText="1"/>
    </xf>
    <xf numFmtId="0" fontId="0" fillId="6" borderId="24" xfId="0" applyFill="1" applyBorder="1" applyAlignment="1">
      <alignment wrapText="1"/>
    </xf>
    <xf numFmtId="0" fontId="7" fillId="16" borderId="25" xfId="0" applyFont="1" applyFill="1" applyBorder="1" applyAlignment="1">
      <alignment wrapText="1"/>
    </xf>
    <xf numFmtId="6" fontId="122" fillId="0" borderId="2" xfId="0" applyNumberFormat="1" applyFont="1" applyBorder="1"/>
    <xf numFmtId="6" fontId="122" fillId="0" borderId="8" xfId="0" applyNumberFormat="1" applyFont="1" applyBorder="1"/>
    <xf numFmtId="0" fontId="122" fillId="0" borderId="10" xfId="0" applyFont="1" applyFill="1" applyBorder="1"/>
    <xf numFmtId="6" fontId="122" fillId="0" borderId="9" xfId="0" applyNumberFormat="1" applyFont="1" applyBorder="1"/>
    <xf numFmtId="0" fontId="122" fillId="0" borderId="32" xfId="0" applyFont="1" applyFill="1" applyBorder="1"/>
    <xf numFmtId="0" fontId="122" fillId="0" borderId="34" xfId="0" applyFont="1" applyFill="1" applyBorder="1"/>
    <xf numFmtId="0" fontId="122" fillId="0" borderId="39" xfId="0" applyFont="1" applyBorder="1"/>
    <xf numFmtId="0" fontId="44" fillId="0" borderId="22" xfId="0" applyFont="1" applyFill="1" applyBorder="1"/>
    <xf numFmtId="0" fontId="123" fillId="0" borderId="1" xfId="0" applyFont="1" applyFill="1" applyBorder="1"/>
    <xf numFmtId="164" fontId="123" fillId="0" borderId="1" xfId="0" applyNumberFormat="1" applyFont="1" applyFill="1" applyBorder="1"/>
    <xf numFmtId="0" fontId="122" fillId="0" borderId="2" xfId="0" applyFont="1" applyBorder="1"/>
    <xf numFmtId="0" fontId="122" fillId="0" borderId="8" xfId="0" applyFont="1" applyBorder="1"/>
    <xf numFmtId="164" fontId="123" fillId="0" borderId="3" xfId="0" applyNumberFormat="1" applyFont="1" applyFill="1" applyBorder="1"/>
    <xf numFmtId="164" fontId="124" fillId="0" borderId="3" xfId="0" applyNumberFormat="1" applyFont="1" applyFill="1" applyBorder="1"/>
    <xf numFmtId="0" fontId="122" fillId="0" borderId="9" xfId="0" applyFont="1" applyBorder="1"/>
    <xf numFmtId="0" fontId="16" fillId="3" borderId="0" xfId="0" applyFont="1" applyFill="1" applyBorder="1"/>
    <xf numFmtId="164" fontId="23" fillId="3" borderId="0" xfId="0" applyNumberFormat="1" applyFont="1" applyFill="1" applyBorder="1"/>
    <xf numFmtId="164" fontId="16" fillId="3" borderId="0" xfId="0" applyNumberFormat="1" applyFont="1" applyFill="1" applyBorder="1"/>
    <xf numFmtId="0" fontId="11" fillId="6" borderId="1" xfId="0" applyFont="1" applyFill="1" applyBorder="1" applyAlignment="1">
      <alignment wrapText="1"/>
    </xf>
    <xf numFmtId="6" fontId="162" fillId="19" borderId="3" xfId="0" applyNumberFormat="1" applyFont="1" applyFill="1" applyBorder="1"/>
    <xf numFmtId="44" fontId="163" fillId="19" borderId="7" xfId="1" applyFont="1" applyFill="1" applyBorder="1"/>
    <xf numFmtId="0" fontId="164" fillId="19" borderId="0" xfId="0" applyFont="1" applyFill="1" applyBorder="1"/>
    <xf numFmtId="44" fontId="163" fillId="19" borderId="10" xfId="1" applyFont="1" applyFill="1" applyBorder="1"/>
    <xf numFmtId="0" fontId="165" fillId="19" borderId="3" xfId="2" applyFont="1" applyFill="1" applyBorder="1" applyAlignment="1" applyProtection="1"/>
    <xf numFmtId="0" fontId="165" fillId="19" borderId="0" xfId="2" applyFont="1" applyFill="1" applyBorder="1" applyAlignment="1" applyProtection="1"/>
    <xf numFmtId="0" fontId="164" fillId="19" borderId="7" xfId="0" applyFont="1" applyFill="1" applyBorder="1"/>
    <xf numFmtId="0" fontId="166" fillId="0" borderId="0" xfId="0" applyFont="1"/>
    <xf numFmtId="0" fontId="167" fillId="0" borderId="0" xfId="0" applyFont="1" applyBorder="1"/>
    <xf numFmtId="0" fontId="158" fillId="0" borderId="0" xfId="0" applyFont="1" applyBorder="1"/>
    <xf numFmtId="0" fontId="62" fillId="3" borderId="0" xfId="0" applyFont="1" applyFill="1" applyBorder="1"/>
    <xf numFmtId="0" fontId="63" fillId="3" borderId="0" xfId="0" applyFont="1" applyFill="1" applyBorder="1"/>
    <xf numFmtId="10" fontId="29" fillId="3" borderId="0" xfId="0" applyNumberFormat="1" applyFont="1" applyFill="1" applyBorder="1"/>
    <xf numFmtId="164" fontId="29" fillId="3" borderId="0" xfId="0" applyNumberFormat="1" applyFont="1" applyFill="1" applyBorder="1"/>
    <xf numFmtId="0" fontId="8" fillId="3" borderId="0" xfId="0" applyFont="1" applyFill="1" applyBorder="1"/>
    <xf numFmtId="164" fontId="18" fillId="3" borderId="0" xfId="0" applyNumberFormat="1" applyFont="1" applyFill="1" applyBorder="1"/>
    <xf numFmtId="0" fontId="62" fillId="3" borderId="44" xfId="0" applyFont="1" applyFill="1" applyBorder="1"/>
    <xf numFmtId="0" fontId="0" fillId="3" borderId="45" xfId="0" applyFill="1" applyBorder="1"/>
    <xf numFmtId="0" fontId="166" fillId="0" borderId="0" xfId="0" applyFont="1" applyFill="1" applyBorder="1"/>
    <xf numFmtId="0" fontId="166" fillId="0" borderId="0" xfId="0" applyFont="1" applyFill="1"/>
    <xf numFmtId="0" fontId="169" fillId="0" borderId="0" xfId="0" applyFont="1" applyFill="1" applyBorder="1"/>
    <xf numFmtId="10" fontId="170" fillId="0" borderId="0" xfId="0" applyNumberFormat="1" applyFont="1" applyFill="1" applyBorder="1"/>
    <xf numFmtId="164" fontId="170" fillId="0" borderId="0" xfId="0" applyNumberFormat="1" applyFont="1" applyFill="1" applyBorder="1"/>
    <xf numFmtId="0" fontId="170" fillId="0" borderId="0" xfId="0" applyFont="1" applyFill="1" applyBorder="1"/>
    <xf numFmtId="10" fontId="90" fillId="0" borderId="0" xfId="0" applyNumberFormat="1" applyFont="1" applyFill="1" applyBorder="1"/>
    <xf numFmtId="164" fontId="90" fillId="0" borderId="0" xfId="0" applyNumberFormat="1" applyFont="1" applyFill="1" applyBorder="1"/>
    <xf numFmtId="164" fontId="90" fillId="0" borderId="0" xfId="0" applyNumberFormat="1" applyFont="1" applyFill="1"/>
    <xf numFmtId="0" fontId="168" fillId="0" borderId="0" xfId="0" applyFont="1" applyFill="1" applyBorder="1"/>
    <xf numFmtId="164" fontId="162" fillId="0" borderId="0" xfId="0" applyNumberFormat="1" applyFont="1" applyFill="1" applyBorder="1"/>
    <xf numFmtId="0" fontId="162" fillId="0" borderId="0" xfId="0" applyFont="1" applyFill="1" applyBorder="1"/>
    <xf numFmtId="0" fontId="62" fillId="0" borderId="1" xfId="0" applyFont="1" applyFill="1" applyBorder="1"/>
    <xf numFmtId="0" fontId="63" fillId="0" borderId="1" xfId="0" applyFont="1" applyFill="1" applyBorder="1"/>
    <xf numFmtId="10" fontId="29" fillId="0" borderId="1" xfId="0" applyNumberFormat="1" applyFont="1" applyFill="1" applyBorder="1"/>
    <xf numFmtId="164" fontId="29" fillId="0" borderId="1" xfId="0" applyNumberFormat="1" applyFont="1" applyFill="1" applyBorder="1"/>
    <xf numFmtId="0" fontId="16" fillId="0" borderId="1" xfId="0" applyFont="1" applyFill="1" applyBorder="1"/>
    <xf numFmtId="164" fontId="16" fillId="0" borderId="1" xfId="0" applyNumberFormat="1" applyFont="1" applyFill="1" applyBorder="1"/>
    <xf numFmtId="164" fontId="23" fillId="0" borderId="1" xfId="0" applyNumberFormat="1" applyFont="1" applyFill="1" applyBorder="1"/>
    <xf numFmtId="164" fontId="18" fillId="0" borderId="1" xfId="0" applyNumberFormat="1" applyFont="1" applyFill="1" applyBorder="1"/>
    <xf numFmtId="0" fontId="166" fillId="0" borderId="7" xfId="0" applyFont="1" applyFill="1" applyBorder="1"/>
    <xf numFmtId="0" fontId="164" fillId="0" borderId="8" xfId="0" applyFont="1" applyBorder="1"/>
    <xf numFmtId="0" fontId="61" fillId="0" borderId="3" xfId="0" applyFont="1" applyFill="1" applyBorder="1"/>
    <xf numFmtId="164" fontId="90" fillId="0" borderId="3" xfId="0" applyNumberFormat="1" applyFont="1" applyFill="1" applyBorder="1"/>
    <xf numFmtId="0" fontId="90" fillId="0" borderId="3" xfId="0" applyFont="1" applyBorder="1"/>
    <xf numFmtId="0" fontId="2" fillId="0" borderId="7" xfId="0" applyFont="1" applyFill="1" applyBorder="1" applyAlignment="1">
      <alignment horizontal="center"/>
    </xf>
    <xf numFmtId="0" fontId="166" fillId="0" borderId="7" xfId="0" applyFont="1" applyFill="1" applyBorder="1" applyAlignment="1">
      <alignment horizontal="center"/>
    </xf>
    <xf numFmtId="0" fontId="168" fillId="0" borderId="0" xfId="0" applyFont="1"/>
    <xf numFmtId="0" fontId="172" fillId="9" borderId="46" xfId="0" applyFont="1" applyFill="1" applyBorder="1"/>
    <xf numFmtId="0" fontId="0" fillId="9" borderId="11" xfId="0" applyFill="1" applyBorder="1"/>
    <xf numFmtId="0" fontId="82" fillId="9" borderId="11" xfId="0" applyFont="1" applyFill="1" applyBorder="1"/>
    <xf numFmtId="0" fontId="0" fillId="9" borderId="47" xfId="0" applyFill="1" applyBorder="1"/>
    <xf numFmtId="0" fontId="173" fillId="9" borderId="48" xfId="0" applyFont="1" applyFill="1" applyBorder="1"/>
    <xf numFmtId="0" fontId="0" fillId="9" borderId="42" xfId="0" applyFill="1" applyBorder="1"/>
    <xf numFmtId="0" fontId="174" fillId="9" borderId="49" xfId="0" applyFont="1" applyFill="1" applyBorder="1"/>
    <xf numFmtId="0" fontId="172" fillId="9" borderId="42" xfId="0" applyFont="1" applyFill="1" applyBorder="1"/>
    <xf numFmtId="0" fontId="0" fillId="9" borderId="49" xfId="0" applyFill="1" applyBorder="1"/>
    <xf numFmtId="0" fontId="111" fillId="0" borderId="0" xfId="0" applyFont="1" applyFill="1" applyBorder="1"/>
    <xf numFmtId="0" fontId="172" fillId="9" borderId="50" xfId="0" applyFont="1" applyFill="1" applyBorder="1"/>
    <xf numFmtId="0" fontId="0" fillId="9" borderId="51" xfId="0" applyFill="1" applyBorder="1"/>
    <xf numFmtId="0" fontId="0" fillId="9" borderId="52" xfId="0" applyFill="1" applyBorder="1"/>
    <xf numFmtId="165" fontId="26" fillId="0" borderId="0" xfId="0" applyNumberFormat="1" applyFont="1" applyBorder="1"/>
    <xf numFmtId="0" fontId="176" fillId="19" borderId="0" xfId="0" applyFont="1" applyFill="1"/>
    <xf numFmtId="0" fontId="166" fillId="19" borderId="0" xfId="0" applyFont="1" applyFill="1"/>
    <xf numFmtId="0" fontId="163" fillId="0" borderId="0" xfId="0" applyFont="1" applyBorder="1"/>
    <xf numFmtId="0" fontId="55" fillId="9" borderId="49" xfId="0" applyFont="1" applyFill="1" applyBorder="1"/>
    <xf numFmtId="44" fontId="2" fillId="0" borderId="7" xfId="1" applyFont="1" applyBorder="1"/>
    <xf numFmtId="3" fontId="11" fillId="4" borderId="24" xfId="0" applyNumberFormat="1" applyFont="1" applyFill="1" applyBorder="1" applyAlignment="1">
      <alignment wrapText="1"/>
    </xf>
    <xf numFmtId="0" fontId="59" fillId="0" borderId="0" xfId="0" applyFont="1" applyFill="1" applyBorder="1"/>
    <xf numFmtId="44" fontId="44" fillId="0" borderId="22" xfId="1" applyFont="1" applyFill="1" applyBorder="1"/>
    <xf numFmtId="0" fontId="38" fillId="0" borderId="0" xfId="0" applyFont="1" applyFill="1" applyBorder="1"/>
    <xf numFmtId="0" fontId="83" fillId="0" borderId="0" xfId="0" applyFont="1" applyFill="1" applyBorder="1"/>
    <xf numFmtId="0" fontId="0" fillId="0" borderId="3" xfId="0" applyFill="1" applyBorder="1"/>
    <xf numFmtId="0" fontId="0" fillId="0" borderId="9" xfId="0" applyFill="1" applyBorder="1"/>
    <xf numFmtId="10" fontId="121" fillId="0" borderId="0" xfId="0" applyNumberFormat="1" applyFont="1" applyFill="1" applyBorder="1"/>
    <xf numFmtId="165" fontId="26" fillId="0" borderId="1" xfId="0" applyNumberFormat="1" applyFont="1" applyBorder="1"/>
    <xf numFmtId="164" fontId="12" fillId="0" borderId="1" xfId="0" applyNumberFormat="1" applyFont="1" applyBorder="1"/>
    <xf numFmtId="165" fontId="11" fillId="6" borderId="24" xfId="0" applyNumberFormat="1" applyFont="1" applyFill="1" applyBorder="1" applyAlignment="1">
      <alignment wrapText="1"/>
    </xf>
    <xf numFmtId="0" fontId="20" fillId="0" borderId="8" xfId="0" applyFont="1" applyBorder="1"/>
    <xf numFmtId="0" fontId="139" fillId="0" borderId="8" xfId="0" applyFont="1" applyBorder="1"/>
    <xf numFmtId="165" fontId="60" fillId="0" borderId="0" xfId="0" applyNumberFormat="1" applyFont="1" applyBorder="1"/>
    <xf numFmtId="164" fontId="16" fillId="0" borderId="32" xfId="0" applyNumberFormat="1" applyFont="1" applyFill="1" applyBorder="1"/>
    <xf numFmtId="164" fontId="16" fillId="0" borderId="0" xfId="0" applyNumberFormat="1" applyFont="1"/>
    <xf numFmtId="0" fontId="177" fillId="0" borderId="0" xfId="0" applyFont="1"/>
    <xf numFmtId="0" fontId="11" fillId="9" borderId="23" xfId="0" applyFont="1" applyFill="1" applyBorder="1" applyAlignment="1">
      <alignment wrapText="1"/>
    </xf>
    <xf numFmtId="0" fontId="11" fillId="8" borderId="24" xfId="0" applyFont="1" applyFill="1" applyBorder="1" applyAlignment="1">
      <alignment wrapText="1"/>
    </xf>
    <xf numFmtId="0" fontId="11" fillId="13" borderId="25" xfId="0" applyFont="1" applyFill="1" applyBorder="1" applyAlignment="1">
      <alignment wrapText="1"/>
    </xf>
    <xf numFmtId="0" fontId="11" fillId="12" borderId="23" xfId="0" applyFont="1" applyFill="1" applyBorder="1" applyAlignment="1">
      <alignment wrapText="1"/>
    </xf>
    <xf numFmtId="0" fontId="39" fillId="0" borderId="7" xfId="0" applyFont="1" applyFill="1" applyBorder="1"/>
    <xf numFmtId="0" fontId="12" fillId="0" borderId="0" xfId="0" applyFont="1" applyBorder="1" applyAlignment="1">
      <alignment horizontal="center"/>
    </xf>
    <xf numFmtId="164" fontId="148" fillId="0" borderId="0" xfId="0" applyNumberFormat="1" applyFont="1" applyBorder="1" applyAlignment="1">
      <alignment wrapText="1"/>
    </xf>
    <xf numFmtId="0" fontId="11" fillId="12" borderId="25" xfId="0" applyFont="1" applyFill="1" applyBorder="1" applyAlignment="1">
      <alignment wrapText="1"/>
    </xf>
    <xf numFmtId="0" fontId="178" fillId="0" borderId="53" xfId="0" applyFont="1" applyBorder="1"/>
    <xf numFmtId="0" fontId="0" fillId="0" borderId="54" xfId="0" applyBorder="1"/>
    <xf numFmtId="0" fontId="33" fillId="0" borderId="54" xfId="2" applyBorder="1" applyAlignment="1" applyProtection="1"/>
    <xf numFmtId="0" fontId="34" fillId="0" borderId="54" xfId="0" applyFont="1" applyBorder="1"/>
    <xf numFmtId="0" fontId="0" fillId="0" borderId="55" xfId="0" applyBorder="1"/>
    <xf numFmtId="0" fontId="0" fillId="0" borderId="56" xfId="0" applyBorder="1"/>
    <xf numFmtId="0" fontId="34" fillId="0" borderId="0" xfId="0" applyFont="1" applyBorder="1"/>
    <xf numFmtId="0" fontId="0" fillId="0" borderId="57" xfId="0" applyBorder="1"/>
    <xf numFmtId="0" fontId="2" fillId="0" borderId="56" xfId="0" applyFont="1" applyBorder="1"/>
    <xf numFmtId="0" fontId="0" fillId="0" borderId="58" xfId="0" applyBorder="1"/>
    <xf numFmtId="0" fontId="34" fillId="0" borderId="58" xfId="0" applyFont="1" applyBorder="1"/>
    <xf numFmtId="0" fontId="0" fillId="0" borderId="59" xfId="0" applyBorder="1"/>
    <xf numFmtId="0" fontId="180" fillId="6" borderId="24" xfId="0" applyFont="1" applyFill="1" applyBorder="1" applyAlignment="1">
      <alignment wrapText="1"/>
    </xf>
    <xf numFmtId="0" fontId="12" fillId="0" borderId="0" xfId="0" applyFont="1" applyFill="1" applyBorder="1"/>
    <xf numFmtId="0" fontId="115" fillId="0" borderId="7" xfId="0" applyFont="1" applyBorder="1"/>
    <xf numFmtId="0" fontId="12" fillId="0" borderId="7" xfId="0" applyFont="1" applyFill="1" applyBorder="1"/>
    <xf numFmtId="0" fontId="12" fillId="0" borderId="10" xfId="0" applyFont="1" applyBorder="1"/>
    <xf numFmtId="0" fontId="12" fillId="0" borderId="3" xfId="0" applyFont="1" applyBorder="1"/>
    <xf numFmtId="0" fontId="122" fillId="0" borderId="32" xfId="0" applyFont="1" applyBorder="1"/>
    <xf numFmtId="0" fontId="122" fillId="0" borderId="34" xfId="0" applyFont="1" applyBorder="1"/>
    <xf numFmtId="0" fontId="97" fillId="0" borderId="7" xfId="0" applyFont="1" applyBorder="1"/>
    <xf numFmtId="0" fontId="97" fillId="0" borderId="7" xfId="0" applyFont="1" applyFill="1" applyBorder="1"/>
    <xf numFmtId="0" fontId="100" fillId="0" borderId="0" xfId="0" applyFont="1" applyBorder="1"/>
    <xf numFmtId="0" fontId="0" fillId="0" borderId="0" xfId="0" applyBorder="1" applyProtection="1">
      <protection locked="0"/>
    </xf>
    <xf numFmtId="0" fontId="31" fillId="0" borderId="0" xfId="0" applyFont="1" applyBorder="1" applyProtection="1">
      <protection locked="0"/>
    </xf>
    <xf numFmtId="0" fontId="9" fillId="0" borderId="0" xfId="0" applyFont="1" applyBorder="1" applyProtection="1">
      <protection locked="0"/>
    </xf>
    <xf numFmtId="10" fontId="10" fillId="0" borderId="0" xfId="0" applyNumberFormat="1" applyFont="1" applyBorder="1" applyProtection="1">
      <protection locked="0"/>
    </xf>
    <xf numFmtId="0" fontId="2" fillId="0" borderId="0" xfId="0" applyFont="1" applyBorder="1" applyProtection="1">
      <protection locked="0"/>
    </xf>
    <xf numFmtId="0" fontId="178" fillId="0" borderId="4" xfId="0" applyFont="1" applyBorder="1"/>
    <xf numFmtId="0" fontId="9" fillId="0" borderId="5" xfId="0" applyFont="1" applyBorder="1"/>
    <xf numFmtId="0" fontId="0" fillId="0" borderId="5" xfId="0" applyBorder="1"/>
    <xf numFmtId="10" fontId="10" fillId="0" borderId="5" xfId="0" applyNumberFormat="1" applyFont="1" applyBorder="1"/>
    <xf numFmtId="169" fontId="0" fillId="0" borderId="5" xfId="0" applyNumberFormat="1" applyBorder="1"/>
    <xf numFmtId="169" fontId="0" fillId="0" borderId="6" xfId="0" applyNumberFormat="1" applyBorder="1"/>
    <xf numFmtId="0" fontId="0" fillId="0" borderId="16" xfId="0" applyBorder="1"/>
    <xf numFmtId="169" fontId="0" fillId="0" borderId="17" xfId="0" applyNumberFormat="1" applyBorder="1"/>
    <xf numFmtId="0" fontId="0" fillId="0" borderId="19" xfId="0" applyBorder="1"/>
    <xf numFmtId="169" fontId="0" fillId="0" borderId="19" xfId="0" applyNumberFormat="1" applyBorder="1"/>
    <xf numFmtId="169" fontId="0" fillId="0" borderId="20" xfId="0" applyNumberFormat="1" applyBorder="1"/>
    <xf numFmtId="10" fontId="10" fillId="0" borderId="19" xfId="0" applyNumberFormat="1" applyFont="1" applyBorder="1" applyProtection="1">
      <protection locked="0"/>
    </xf>
    <xf numFmtId="0" fontId="0" fillId="0" borderId="19" xfId="0" applyBorder="1" applyProtection="1">
      <protection locked="0"/>
    </xf>
    <xf numFmtId="0" fontId="173" fillId="0" borderId="0" xfId="0" applyFont="1" applyFill="1" applyBorder="1"/>
    <xf numFmtId="0" fontId="174" fillId="0" borderId="0" xfId="0" applyFont="1" applyFill="1" applyBorder="1"/>
    <xf numFmtId="0" fontId="172" fillId="0" borderId="0" xfId="0" applyFont="1" applyFill="1" applyBorder="1"/>
    <xf numFmtId="0" fontId="173" fillId="9" borderId="51" xfId="0" applyFont="1" applyFill="1" applyBorder="1"/>
    <xf numFmtId="0" fontId="173" fillId="9" borderId="52" xfId="0" applyFont="1" applyFill="1" applyBorder="1"/>
    <xf numFmtId="0" fontId="100" fillId="0" borderId="1" xfId="0" applyFont="1" applyBorder="1"/>
    <xf numFmtId="0" fontId="16" fillId="0" borderId="22" xfId="0" applyFont="1" applyBorder="1"/>
    <xf numFmtId="0" fontId="16" fillId="0" borderId="1" xfId="0" applyFont="1" applyBorder="1"/>
    <xf numFmtId="164" fontId="16" fillId="0" borderId="2" xfId="0" applyNumberFormat="1" applyFont="1" applyFill="1" applyBorder="1"/>
    <xf numFmtId="164" fontId="16" fillId="0" borderId="8" xfId="0" applyNumberFormat="1" applyFont="1" applyFill="1" applyBorder="1"/>
    <xf numFmtId="164" fontId="16" fillId="0" borderId="3" xfId="0" applyNumberFormat="1" applyFont="1" applyFill="1" applyBorder="1"/>
    <xf numFmtId="164" fontId="16" fillId="0" borderId="9" xfId="0" applyNumberFormat="1" applyFont="1" applyFill="1" applyBorder="1"/>
    <xf numFmtId="6" fontId="16" fillId="0" borderId="60" xfId="0" applyNumberFormat="1" applyFont="1" applyBorder="1"/>
    <xf numFmtId="6" fontId="16" fillId="0" borderId="35" xfId="0" applyNumberFormat="1" applyFont="1" applyBorder="1"/>
    <xf numFmtId="6" fontId="16" fillId="0" borderId="21" xfId="0" applyNumberFormat="1" applyFont="1" applyBorder="1"/>
    <xf numFmtId="6" fontId="16" fillId="0" borderId="39" xfId="0" applyNumberFormat="1" applyFont="1" applyBorder="1"/>
    <xf numFmtId="6" fontId="16" fillId="0" borderId="12" xfId="0" applyNumberFormat="1" applyFont="1" applyBorder="1"/>
    <xf numFmtId="6" fontId="16" fillId="0" borderId="32" xfId="0" applyNumberFormat="1" applyFont="1" applyBorder="1"/>
    <xf numFmtId="6" fontId="16" fillId="0" borderId="14" xfId="0" applyNumberFormat="1" applyFont="1" applyBorder="1"/>
    <xf numFmtId="6" fontId="16" fillId="0" borderId="34" xfId="0" applyNumberFormat="1" applyFont="1" applyBorder="1"/>
    <xf numFmtId="44" fontId="60" fillId="0" borderId="7" xfId="1" applyFont="1" applyBorder="1"/>
    <xf numFmtId="0" fontId="134" fillId="0" borderId="0" xfId="0" applyFont="1" applyBorder="1"/>
    <xf numFmtId="0" fontId="82" fillId="0" borderId="1" xfId="0" applyFont="1" applyBorder="1"/>
    <xf numFmtId="0" fontId="55" fillId="0" borderId="0" xfId="0" applyFont="1" applyFill="1" applyBorder="1"/>
    <xf numFmtId="0" fontId="173" fillId="0" borderId="5" xfId="0" applyFont="1" applyFill="1" applyBorder="1"/>
    <xf numFmtId="0" fontId="0" fillId="0" borderId="5" xfId="0" applyFill="1" applyBorder="1"/>
    <xf numFmtId="0" fontId="0" fillId="0" borderId="6" xfId="0" applyFill="1" applyBorder="1"/>
    <xf numFmtId="44" fontId="2" fillId="0" borderId="16" xfId="1" applyFont="1" applyBorder="1"/>
    <xf numFmtId="0" fontId="0" fillId="0" borderId="17" xfId="0" applyFill="1" applyBorder="1"/>
    <xf numFmtId="44" fontId="2" fillId="0" borderId="18" xfId="1" applyFont="1" applyBorder="1"/>
    <xf numFmtId="0" fontId="173" fillId="0" borderId="19" xfId="0" applyFont="1" applyFill="1" applyBorder="1"/>
    <xf numFmtId="0" fontId="0" fillId="0" borderId="19" xfId="0" applyFill="1" applyBorder="1"/>
    <xf numFmtId="0" fontId="0" fillId="0" borderId="20" xfId="0" applyFill="1" applyBorder="1"/>
    <xf numFmtId="0" fontId="0" fillId="0" borderId="6" xfId="0" applyBorder="1"/>
    <xf numFmtId="0" fontId="0" fillId="0" borderId="17" xfId="0" applyBorder="1"/>
    <xf numFmtId="0" fontId="0" fillId="0" borderId="20" xfId="0" applyBorder="1"/>
    <xf numFmtId="0" fontId="96" fillId="0" borderId="0" xfId="0" applyFont="1" applyFill="1" applyBorder="1"/>
    <xf numFmtId="0" fontId="172" fillId="0" borderId="54" xfId="0" applyFont="1" applyFill="1" applyBorder="1"/>
    <xf numFmtId="0" fontId="0" fillId="0" borderId="54" xfId="0" applyFill="1" applyBorder="1"/>
    <xf numFmtId="0" fontId="2" fillId="0" borderId="61" xfId="0" applyFont="1" applyBorder="1"/>
    <xf numFmtId="0" fontId="96" fillId="0" borderId="58" xfId="0" applyFont="1" applyFill="1" applyBorder="1"/>
    <xf numFmtId="0" fontId="0" fillId="0" borderId="58" xfId="0" applyFill="1" applyBorder="1"/>
    <xf numFmtId="0" fontId="185" fillId="0" borderId="0" xfId="0" applyFont="1" applyBorder="1"/>
    <xf numFmtId="44" fontId="2" fillId="0" borderId="0" xfId="1" applyFont="1" applyFill="1" applyBorder="1"/>
    <xf numFmtId="0" fontId="109" fillId="0" borderId="1" xfId="0" applyFont="1" applyBorder="1"/>
    <xf numFmtId="0" fontId="172" fillId="0" borderId="5" xfId="0" applyFont="1" applyFill="1" applyBorder="1"/>
    <xf numFmtId="0" fontId="2" fillId="0" borderId="16" xfId="0" applyFont="1" applyBorder="1"/>
    <xf numFmtId="0" fontId="172" fillId="0" borderId="19" xfId="0" applyFont="1" applyFill="1" applyBorder="1"/>
    <xf numFmtId="0" fontId="173" fillId="0" borderId="54" xfId="0" applyFont="1" applyFill="1" applyBorder="1"/>
    <xf numFmtId="44" fontId="2" fillId="0" borderId="56" xfId="1" applyFont="1" applyBorder="1"/>
    <xf numFmtId="44" fontId="2" fillId="0" borderId="56" xfId="1" applyFont="1" applyFill="1" applyBorder="1"/>
    <xf numFmtId="0" fontId="55" fillId="0" borderId="54" xfId="0" applyFont="1" applyFill="1" applyBorder="1"/>
    <xf numFmtId="44" fontId="90" fillId="0" borderId="56" xfId="1" applyFont="1" applyBorder="1"/>
    <xf numFmtId="0" fontId="2" fillId="0" borderId="56" xfId="0" applyFont="1" applyFill="1" applyBorder="1"/>
    <xf numFmtId="0" fontId="55" fillId="0" borderId="58" xfId="0" applyFont="1" applyFill="1" applyBorder="1"/>
    <xf numFmtId="0" fontId="48" fillId="0" borderId="0" xfId="0" applyFont="1"/>
    <xf numFmtId="0" fontId="120" fillId="3" borderId="10" xfId="0" applyFont="1" applyFill="1" applyBorder="1" applyAlignment="1">
      <alignment wrapText="1"/>
    </xf>
    <xf numFmtId="0" fontId="120" fillId="3" borderId="3" xfId="0" applyFont="1" applyFill="1" applyBorder="1" applyAlignment="1">
      <alignment wrapText="1"/>
    </xf>
    <xf numFmtId="0" fontId="120" fillId="12" borderId="3" xfId="0" applyFont="1" applyFill="1" applyBorder="1" applyAlignment="1">
      <alignment wrapText="1"/>
    </xf>
    <xf numFmtId="0" fontId="157" fillId="12" borderId="3" xfId="0" applyFont="1" applyFill="1" applyBorder="1" applyAlignment="1">
      <alignment wrapText="1"/>
    </xf>
    <xf numFmtId="0" fontId="120" fillId="4" borderId="3" xfId="0" applyFont="1" applyFill="1" applyBorder="1" applyAlignment="1">
      <alignment wrapText="1"/>
    </xf>
    <xf numFmtId="0" fontId="7" fillId="16" borderId="3" xfId="0" applyFont="1" applyFill="1" applyBorder="1" applyAlignment="1">
      <alignment wrapText="1"/>
    </xf>
    <xf numFmtId="0" fontId="7" fillId="13" borderId="3" xfId="0" applyFont="1" applyFill="1" applyBorder="1" applyAlignment="1">
      <alignment wrapText="1"/>
    </xf>
    <xf numFmtId="0" fontId="7" fillId="13" borderId="9" xfId="0" applyFont="1" applyFill="1" applyBorder="1" applyAlignment="1">
      <alignment wrapText="1"/>
    </xf>
    <xf numFmtId="0" fontId="2" fillId="0" borderId="18" xfId="0" applyFont="1" applyFill="1" applyBorder="1"/>
    <xf numFmtId="0" fontId="0" fillId="0" borderId="19" xfId="0" applyFont="1" applyBorder="1"/>
    <xf numFmtId="0" fontId="139" fillId="0" borderId="0" xfId="0" applyFont="1" applyFill="1"/>
    <xf numFmtId="164" fontId="47" fillId="0" borderId="8" xfId="0" applyNumberFormat="1" applyFont="1" applyFill="1" applyBorder="1" applyAlignment="1">
      <alignment horizontal="center"/>
    </xf>
    <xf numFmtId="164" fontId="23" fillId="0" borderId="31" xfId="0" applyNumberFormat="1" applyFont="1" applyFill="1" applyBorder="1"/>
    <xf numFmtId="0" fontId="26" fillId="0" borderId="31" xfId="0" applyFont="1" applyFill="1" applyBorder="1"/>
    <xf numFmtId="164" fontId="47" fillId="0" borderId="31" xfId="0" applyNumberFormat="1" applyFont="1" applyFill="1" applyBorder="1" applyAlignment="1">
      <alignment horizontal="center"/>
    </xf>
    <xf numFmtId="164" fontId="6" fillId="0" borderId="31" xfId="0" applyNumberFormat="1" applyFont="1" applyFill="1" applyBorder="1" applyAlignment="1"/>
    <xf numFmtId="0" fontId="139" fillId="0" borderId="8" xfId="0" applyFont="1" applyFill="1" applyBorder="1"/>
    <xf numFmtId="0" fontId="6" fillId="0" borderId="0" xfId="0" applyFont="1" applyFill="1"/>
    <xf numFmtId="0" fontId="44" fillId="3" borderId="62" xfId="0" applyFont="1" applyFill="1" applyBorder="1"/>
    <xf numFmtId="44" fontId="6" fillId="0" borderId="7" xfId="1" applyFont="1" applyFill="1" applyBorder="1"/>
    <xf numFmtId="0" fontId="0" fillId="0" borderId="7" xfId="0" applyFont="1" applyFill="1" applyBorder="1"/>
    <xf numFmtId="0" fontId="6" fillId="0" borderId="7" xfId="0" applyFont="1" applyFill="1" applyBorder="1"/>
    <xf numFmtId="0" fontId="6" fillId="7" borderId="38" xfId="0" applyFont="1" applyFill="1" applyBorder="1"/>
    <xf numFmtId="0" fontId="6" fillId="19" borderId="7" xfId="0" applyFont="1" applyFill="1" applyBorder="1"/>
    <xf numFmtId="0" fontId="6" fillId="19" borderId="0" xfId="0" applyFont="1" applyFill="1" applyBorder="1"/>
    <xf numFmtId="44" fontId="6" fillId="19" borderId="7" xfId="1" applyFont="1" applyFill="1" applyBorder="1"/>
    <xf numFmtId="0" fontId="2" fillId="19" borderId="0" xfId="0" applyFont="1" applyFill="1" applyBorder="1"/>
    <xf numFmtId="44" fontId="6" fillId="19" borderId="10" xfId="1" applyFont="1" applyFill="1" applyBorder="1"/>
    <xf numFmtId="0" fontId="102" fillId="0" borderId="0" xfId="0" applyFont="1" applyFill="1" applyBorder="1"/>
    <xf numFmtId="164" fontId="26" fillId="0" borderId="0" xfId="0" applyNumberFormat="1" applyFont="1" applyFill="1" applyBorder="1"/>
    <xf numFmtId="0" fontId="9" fillId="3" borderId="0" xfId="0" applyFont="1" applyFill="1" applyBorder="1"/>
    <xf numFmtId="10" fontId="10" fillId="3" borderId="0" xfId="0" applyNumberFormat="1" applyFont="1" applyFill="1" applyBorder="1"/>
    <xf numFmtId="6" fontId="10" fillId="3" borderId="0" xfId="0" applyNumberFormat="1" applyFont="1" applyFill="1" applyBorder="1"/>
    <xf numFmtId="0" fontId="60" fillId="0" borderId="0" xfId="0" applyFont="1" applyFill="1" applyBorder="1"/>
    <xf numFmtId="0" fontId="10" fillId="0" borderId="0" xfId="0" applyFont="1" applyFill="1" applyBorder="1"/>
    <xf numFmtId="6" fontId="122" fillId="0" borderId="32" xfId="0" applyNumberFormat="1" applyFont="1" applyFill="1" applyBorder="1"/>
    <xf numFmtId="6" fontId="122" fillId="0" borderId="34" xfId="0" applyNumberFormat="1" applyFont="1" applyFill="1" applyBorder="1"/>
    <xf numFmtId="166" fontId="25" fillId="0" borderId="3" xfId="0" applyNumberFormat="1" applyFont="1" applyBorder="1"/>
    <xf numFmtId="0" fontId="6" fillId="0" borderId="0" xfId="0" applyFont="1" applyBorder="1" applyAlignment="1">
      <alignment wrapText="1"/>
    </xf>
    <xf numFmtId="0" fontId="139" fillId="0" borderId="7" xfId="0" applyFont="1" applyBorder="1"/>
    <xf numFmtId="0" fontId="139" fillId="0" borderId="7" xfId="0" applyFont="1" applyFill="1" applyBorder="1"/>
    <xf numFmtId="0" fontId="139" fillId="0" borderId="0" xfId="0" applyFont="1" applyFill="1" applyBorder="1"/>
    <xf numFmtId="164" fontId="29" fillId="0" borderId="7" xfId="0" applyNumberFormat="1" applyFont="1" applyFill="1" applyBorder="1" applyAlignment="1"/>
    <xf numFmtId="164" fontId="26" fillId="0" borderId="12" xfId="0" applyNumberFormat="1" applyFont="1" applyFill="1" applyBorder="1"/>
    <xf numFmtId="164" fontId="23" fillId="0" borderId="13" xfId="0" applyNumberFormat="1" applyFont="1" applyFill="1" applyBorder="1"/>
    <xf numFmtId="6" fontId="16" fillId="0" borderId="12" xfId="0" applyNumberFormat="1" applyFont="1" applyFill="1" applyBorder="1"/>
    <xf numFmtId="6" fontId="16" fillId="0" borderId="32" xfId="0" applyNumberFormat="1" applyFont="1" applyFill="1" applyBorder="1"/>
    <xf numFmtId="0" fontId="109" fillId="0" borderId="0" xfId="0" applyFont="1" applyBorder="1"/>
    <xf numFmtId="0" fontId="173" fillId="9" borderId="63" xfId="0" applyFont="1" applyFill="1" applyBorder="1"/>
    <xf numFmtId="0" fontId="173" fillId="9" borderId="64" xfId="0" applyFont="1" applyFill="1" applyBorder="1"/>
    <xf numFmtId="0" fontId="183" fillId="9" borderId="50" xfId="0" applyFont="1" applyFill="1" applyBorder="1"/>
    <xf numFmtId="0" fontId="183" fillId="9" borderId="51" xfId="0" applyFont="1" applyFill="1" applyBorder="1"/>
    <xf numFmtId="0" fontId="183" fillId="9" borderId="52" xfId="0" applyFont="1" applyFill="1" applyBorder="1"/>
    <xf numFmtId="0" fontId="183" fillId="9" borderId="65" xfId="0" applyFont="1" applyFill="1" applyBorder="1"/>
    <xf numFmtId="0" fontId="44" fillId="3" borderId="44" xfId="0" applyFont="1" applyFill="1" applyBorder="1"/>
    <xf numFmtId="10" fontId="57" fillId="3" borderId="0" xfId="0" applyNumberFormat="1" applyFont="1" applyFill="1" applyBorder="1"/>
    <xf numFmtId="10" fontId="37" fillId="3" borderId="0" xfId="0" applyNumberFormat="1" applyFont="1" applyFill="1" applyBorder="1" applyAlignment="1"/>
    <xf numFmtId="10" fontId="7" fillId="3" borderId="0" xfId="0" applyNumberFormat="1" applyFont="1" applyFill="1" applyBorder="1"/>
    <xf numFmtId="10" fontId="7" fillId="3" borderId="45" xfId="0" applyNumberFormat="1" applyFont="1" applyFill="1" applyBorder="1"/>
    <xf numFmtId="0" fontId="184" fillId="0" borderId="0" xfId="0" applyFont="1" applyBorder="1"/>
    <xf numFmtId="0" fontId="185" fillId="0" borderId="0" xfId="0" applyFont="1"/>
    <xf numFmtId="164" fontId="16" fillId="0" borderId="0" xfId="0" applyNumberFormat="1" applyFont="1" applyFill="1"/>
    <xf numFmtId="164" fontId="26" fillId="3" borderId="0" xfId="0" applyNumberFormat="1" applyFont="1" applyFill="1" applyBorder="1"/>
    <xf numFmtId="0" fontId="189" fillId="0" borderId="0" xfId="0" applyFont="1"/>
    <xf numFmtId="0" fontId="11" fillId="16" borderId="23" xfId="0" applyFont="1" applyFill="1" applyBorder="1" applyAlignment="1">
      <alignment wrapText="1"/>
    </xf>
    <xf numFmtId="0" fontId="11" fillId="16" borderId="25" xfId="0" applyFont="1" applyFill="1" applyBorder="1" applyAlignment="1">
      <alignment wrapText="1"/>
    </xf>
    <xf numFmtId="0" fontId="191" fillId="0" borderId="66" xfId="0" applyFont="1" applyBorder="1"/>
    <xf numFmtId="164" fontId="191" fillId="0" borderId="1" xfId="0" applyNumberFormat="1" applyFont="1" applyBorder="1"/>
    <xf numFmtId="3" fontId="191" fillId="0" borderId="21" xfId="0" applyNumberFormat="1" applyFont="1" applyBorder="1"/>
    <xf numFmtId="164" fontId="191" fillId="0" borderId="0" xfId="0" applyNumberFormat="1" applyFont="1" applyBorder="1"/>
    <xf numFmtId="164" fontId="191" fillId="0" borderId="2" xfId="0" applyNumberFormat="1" applyFont="1" applyBorder="1"/>
    <xf numFmtId="0" fontId="191" fillId="0" borderId="67" xfId="0" applyFont="1" applyBorder="1"/>
    <xf numFmtId="3" fontId="191" fillId="0" borderId="0" xfId="0" applyNumberFormat="1" applyFont="1" applyBorder="1"/>
    <xf numFmtId="3" fontId="191" fillId="0" borderId="12" xfId="0" applyNumberFormat="1" applyFont="1" applyBorder="1"/>
    <xf numFmtId="164" fontId="191" fillId="0" borderId="8" xfId="0" applyNumberFormat="1" applyFont="1" applyBorder="1"/>
    <xf numFmtId="164" fontId="191" fillId="0" borderId="3" xfId="0" applyNumberFormat="1" applyFont="1" applyBorder="1"/>
    <xf numFmtId="164" fontId="191" fillId="0" borderId="9" xfId="0" applyNumberFormat="1" applyFont="1" applyBorder="1"/>
    <xf numFmtId="164" fontId="23" fillId="0" borderId="7" xfId="0" applyNumberFormat="1" applyFont="1" applyBorder="1"/>
    <xf numFmtId="0" fontId="11" fillId="0" borderId="7" xfId="0" applyFont="1" applyFill="1" applyBorder="1" applyAlignment="1">
      <alignment wrapText="1"/>
    </xf>
    <xf numFmtId="164" fontId="16" fillId="0" borderId="7" xfId="0" applyNumberFormat="1" applyFont="1" applyBorder="1"/>
    <xf numFmtId="0" fontId="191" fillId="0" borderId="22" xfId="0" applyFont="1" applyBorder="1"/>
    <xf numFmtId="0" fontId="191" fillId="0" borderId="1" xfId="0" applyFont="1" applyBorder="1"/>
    <xf numFmtId="0" fontId="191" fillId="0" borderId="7" xfId="0" applyFont="1" applyBorder="1"/>
    <xf numFmtId="0" fontId="191" fillId="0" borderId="0" xfId="0" applyFont="1" applyBorder="1"/>
    <xf numFmtId="0" fontId="191" fillId="0" borderId="10" xfId="0" applyFont="1" applyBorder="1"/>
    <xf numFmtId="0" fontId="191" fillId="0" borderId="3" xfId="0" applyFont="1" applyBorder="1"/>
    <xf numFmtId="6" fontId="191" fillId="0" borderId="21" xfId="0" applyNumberFormat="1" applyFont="1" applyBorder="1"/>
    <xf numFmtId="6" fontId="191" fillId="0" borderId="39" xfId="0" applyNumberFormat="1" applyFont="1" applyBorder="1"/>
    <xf numFmtId="6" fontId="191" fillId="0" borderId="1" xfId="0" applyNumberFormat="1" applyFont="1" applyBorder="1"/>
    <xf numFmtId="6" fontId="191" fillId="0" borderId="12" xfId="0" applyNumberFormat="1" applyFont="1" applyBorder="1"/>
    <xf numFmtId="6" fontId="191" fillId="0" borderId="32" xfId="0" applyNumberFormat="1" applyFont="1" applyBorder="1"/>
    <xf numFmtId="6" fontId="191" fillId="0" borderId="0" xfId="0" applyNumberFormat="1" applyFont="1" applyBorder="1"/>
    <xf numFmtId="0" fontId="122" fillId="0" borderId="0" xfId="0" applyFont="1" applyAlignment="1">
      <alignment wrapText="1"/>
    </xf>
    <xf numFmtId="0" fontId="191" fillId="0" borderId="0" xfId="0" applyFont="1"/>
    <xf numFmtId="0" fontId="180" fillId="6" borderId="25" xfId="0" applyFont="1" applyFill="1" applyBorder="1" applyAlignment="1">
      <alignment wrapText="1"/>
    </xf>
    <xf numFmtId="164" fontId="191" fillId="0" borderId="1" xfId="0" applyNumberFormat="1" applyFont="1" applyFill="1" applyBorder="1"/>
    <xf numFmtId="164" fontId="191" fillId="0" borderId="39" xfId="0" applyNumberFormat="1" applyFont="1" applyBorder="1"/>
    <xf numFmtId="164" fontId="191" fillId="0" borderId="21" xfId="0" applyNumberFormat="1" applyFont="1" applyBorder="1"/>
    <xf numFmtId="164" fontId="191" fillId="0" borderId="12" xfId="0" applyNumberFormat="1" applyFont="1" applyFill="1" applyBorder="1"/>
    <xf numFmtId="164" fontId="191" fillId="0" borderId="0" xfId="0" applyNumberFormat="1" applyFont="1" applyFill="1" applyBorder="1"/>
    <xf numFmtId="164" fontId="191" fillId="0" borderId="32" xfId="0" applyNumberFormat="1" applyFont="1" applyBorder="1"/>
    <xf numFmtId="164" fontId="191" fillId="0" borderId="12" xfId="0" applyNumberFormat="1" applyFont="1" applyBorder="1"/>
    <xf numFmtId="164" fontId="191" fillId="0" borderId="13" xfId="0" applyNumberFormat="1" applyFont="1" applyBorder="1"/>
    <xf numFmtId="0" fontId="192" fillId="0" borderId="0" xfId="0" applyFont="1" applyBorder="1"/>
    <xf numFmtId="0" fontId="192" fillId="0" borderId="7" xfId="0" applyFont="1" applyBorder="1"/>
    <xf numFmtId="0" fontId="191" fillId="0" borderId="7" xfId="0" applyFont="1" applyFill="1" applyBorder="1"/>
    <xf numFmtId="0" fontId="191" fillId="0" borderId="0" xfId="0" applyFont="1" applyFill="1" applyBorder="1"/>
    <xf numFmtId="164" fontId="191" fillId="0" borderId="32" xfId="0" applyNumberFormat="1" applyFont="1" applyFill="1" applyBorder="1"/>
    <xf numFmtId="164" fontId="191" fillId="0" borderId="14" xfId="0" applyNumberFormat="1" applyFont="1" applyFill="1" applyBorder="1"/>
    <xf numFmtId="164" fontId="191" fillId="0" borderId="34" xfId="0" applyNumberFormat="1" applyFont="1" applyBorder="1"/>
    <xf numFmtId="164" fontId="191" fillId="0" borderId="14" xfId="0" applyNumberFormat="1" applyFont="1" applyBorder="1"/>
    <xf numFmtId="164" fontId="191" fillId="0" borderId="15" xfId="0" applyNumberFormat="1" applyFont="1" applyBorder="1"/>
    <xf numFmtId="164" fontId="191" fillId="0" borderId="8" xfId="0" applyNumberFormat="1" applyFont="1" applyFill="1" applyBorder="1"/>
    <xf numFmtId="0" fontId="183" fillId="0" borderId="0" xfId="0" applyFont="1" applyFill="1" applyBorder="1"/>
    <xf numFmtId="0" fontId="191" fillId="0" borderId="39" xfId="0" applyFont="1" applyBorder="1"/>
    <xf numFmtId="0" fontId="191" fillId="0" borderId="32" xfId="0" applyFont="1" applyBorder="1"/>
    <xf numFmtId="0" fontId="12" fillId="0" borderId="32" xfId="0" applyFont="1" applyBorder="1"/>
    <xf numFmtId="0" fontId="184" fillId="0" borderId="0" xfId="0" applyFont="1"/>
    <xf numFmtId="44" fontId="44" fillId="0" borderId="0" xfId="1" applyFont="1" applyFill="1" applyBorder="1"/>
    <xf numFmtId="0" fontId="174" fillId="0" borderId="6" xfId="0" applyFont="1" applyFill="1" applyBorder="1"/>
    <xf numFmtId="0" fontId="174" fillId="0" borderId="17" xfId="0" applyFont="1" applyFill="1" applyBorder="1"/>
    <xf numFmtId="0" fontId="182" fillId="0" borderId="0" xfId="0" applyFont="1" applyFill="1" applyBorder="1"/>
    <xf numFmtId="0" fontId="181" fillId="0" borderId="0" xfId="0" applyFont="1" applyFill="1" applyBorder="1"/>
    <xf numFmtId="164" fontId="26" fillId="0" borderId="39" xfId="0" applyNumberFormat="1" applyFont="1" applyBorder="1"/>
    <xf numFmtId="164" fontId="26" fillId="0" borderId="32" xfId="0" applyNumberFormat="1" applyFont="1" applyBorder="1"/>
    <xf numFmtId="164" fontId="26" fillId="0" borderId="34" xfId="0" applyNumberFormat="1" applyFont="1" applyBorder="1"/>
    <xf numFmtId="10" fontId="191" fillId="0" borderId="0" xfId="0" applyNumberFormat="1" applyFont="1" applyBorder="1"/>
    <xf numFmtId="10" fontId="191" fillId="0" borderId="13" xfId="0" applyNumberFormat="1" applyFont="1" applyBorder="1"/>
    <xf numFmtId="0" fontId="60" fillId="0" borderId="68" xfId="0" applyFont="1" applyBorder="1"/>
    <xf numFmtId="0" fontId="193" fillId="3" borderId="10" xfId="0" applyFont="1" applyFill="1" applyBorder="1" applyAlignment="1">
      <alignment wrapText="1"/>
    </xf>
    <xf numFmtId="0" fontId="193" fillId="3" borderId="3" xfId="0" applyFont="1" applyFill="1" applyBorder="1" applyAlignment="1">
      <alignment wrapText="1"/>
    </xf>
    <xf numFmtId="0" fontId="193" fillId="14" borderId="3" xfId="0" applyFont="1" applyFill="1" applyBorder="1" applyAlignment="1">
      <alignment wrapText="1"/>
    </xf>
    <xf numFmtId="0" fontId="193" fillId="6" borderId="3" xfId="0" applyFont="1" applyFill="1" applyBorder="1" applyAlignment="1">
      <alignment wrapText="1"/>
    </xf>
    <xf numFmtId="0" fontId="193" fillId="14" borderId="9" xfId="0" applyFont="1" applyFill="1" applyBorder="1" applyAlignment="1">
      <alignment wrapText="1"/>
    </xf>
    <xf numFmtId="0" fontId="193" fillId="10" borderId="3" xfId="0" applyFont="1" applyFill="1" applyBorder="1" applyAlignment="1">
      <alignment wrapText="1"/>
    </xf>
    <xf numFmtId="0" fontId="193" fillId="6" borderId="9" xfId="0" applyFont="1" applyFill="1" applyBorder="1" applyAlignment="1">
      <alignment wrapText="1"/>
    </xf>
    <xf numFmtId="0" fontId="193" fillId="7" borderId="3" xfId="0" applyFont="1" applyFill="1" applyBorder="1" applyAlignment="1">
      <alignment wrapText="1"/>
    </xf>
    <xf numFmtId="166" fontId="25" fillId="0" borderId="0" xfId="0" applyNumberFormat="1" applyFont="1" applyFill="1" applyBorder="1"/>
    <xf numFmtId="6" fontId="177" fillId="0" borderId="0" xfId="0" applyNumberFormat="1" applyFont="1" applyBorder="1"/>
    <xf numFmtId="6" fontId="177" fillId="0" borderId="21" xfId="0" applyNumberFormat="1" applyFont="1" applyBorder="1"/>
    <xf numFmtId="6" fontId="177" fillId="0" borderId="39" xfId="0" applyNumberFormat="1" applyFont="1" applyBorder="1"/>
    <xf numFmtId="6" fontId="177" fillId="0" borderId="12" xfId="0" applyNumberFormat="1" applyFont="1" applyBorder="1"/>
    <xf numFmtId="6" fontId="177" fillId="0" borderId="2" xfId="0" applyNumberFormat="1" applyFont="1" applyBorder="1"/>
    <xf numFmtId="6" fontId="177" fillId="0" borderId="32" xfId="0" applyNumberFormat="1" applyFont="1" applyBorder="1"/>
    <xf numFmtId="6" fontId="177" fillId="0" borderId="8" xfId="0" applyNumberFormat="1" applyFont="1" applyBorder="1"/>
    <xf numFmtId="6" fontId="177" fillId="0" borderId="3" xfId="0" applyNumberFormat="1" applyFont="1" applyBorder="1"/>
    <xf numFmtId="6" fontId="177" fillId="0" borderId="14" xfId="0" applyNumberFormat="1" applyFont="1" applyBorder="1"/>
    <xf numFmtId="6" fontId="177" fillId="0" borderId="34" xfId="0" applyNumberFormat="1" applyFont="1" applyBorder="1"/>
    <xf numFmtId="6" fontId="177" fillId="0" borderId="9" xfId="0" applyNumberFormat="1" applyFont="1" applyBorder="1"/>
    <xf numFmtId="6" fontId="12" fillId="0" borderId="12" xfId="0" applyNumberFormat="1" applyFont="1" applyBorder="1"/>
    <xf numFmtId="6" fontId="12" fillId="0" borderId="0" xfId="0" applyNumberFormat="1" applyFont="1" applyBorder="1"/>
    <xf numFmtId="6" fontId="12" fillId="0" borderId="14" xfId="0" applyNumberFormat="1" applyFont="1" applyBorder="1"/>
    <xf numFmtId="6" fontId="12" fillId="0" borderId="3" xfId="0" applyNumberFormat="1" applyFont="1" applyBorder="1"/>
    <xf numFmtId="6" fontId="191" fillId="0" borderId="14" xfId="0" applyNumberFormat="1" applyFont="1" applyBorder="1"/>
    <xf numFmtId="6" fontId="191" fillId="0" borderId="3" xfId="0" applyNumberFormat="1" applyFont="1" applyBorder="1"/>
    <xf numFmtId="6" fontId="191" fillId="0" borderId="34" xfId="0" applyNumberFormat="1" applyFont="1" applyBorder="1"/>
    <xf numFmtId="6" fontId="191" fillId="0" borderId="0" xfId="0" applyNumberFormat="1" applyFont="1" applyFill="1" applyBorder="1"/>
    <xf numFmtId="6" fontId="177" fillId="0" borderId="1" xfId="0" applyNumberFormat="1" applyFont="1" applyBorder="1"/>
    <xf numFmtId="0" fontId="67" fillId="0" borderId="1" xfId="0" applyFont="1" applyBorder="1"/>
    <xf numFmtId="0" fontId="0" fillId="0" borderId="69" xfId="0" applyFill="1" applyBorder="1"/>
    <xf numFmtId="0" fontId="11" fillId="12" borderId="3" xfId="0" applyFont="1" applyFill="1" applyBorder="1" applyAlignment="1">
      <alignment wrapText="1"/>
    </xf>
    <xf numFmtId="0" fontId="11" fillId="8" borderId="3" xfId="0" applyFont="1" applyFill="1" applyBorder="1" applyAlignment="1">
      <alignment wrapText="1"/>
    </xf>
    <xf numFmtId="0" fontId="11" fillId="10" borderId="3" xfId="0" applyFont="1" applyFill="1" applyBorder="1" applyAlignment="1">
      <alignment wrapText="1"/>
    </xf>
    <xf numFmtId="0" fontId="11" fillId="11" borderId="3" xfId="0" applyFont="1" applyFill="1" applyBorder="1" applyAlignment="1">
      <alignment wrapText="1"/>
    </xf>
    <xf numFmtId="0" fontId="11" fillId="13" borderId="9" xfId="0" applyFont="1" applyFill="1" applyBorder="1" applyAlignment="1">
      <alignment wrapText="1"/>
    </xf>
    <xf numFmtId="0" fontId="100" fillId="0" borderId="3" xfId="0" applyFont="1" applyBorder="1"/>
    <xf numFmtId="0" fontId="0" fillId="0" borderId="12" xfId="0" applyFill="1" applyBorder="1"/>
    <xf numFmtId="10" fontId="195" fillId="0" borderId="0" xfId="2" applyNumberFormat="1" applyFont="1" applyBorder="1" applyAlignment="1" applyProtection="1"/>
    <xf numFmtId="0" fontId="193" fillId="0" borderId="0" xfId="0" applyFont="1" applyBorder="1"/>
    <xf numFmtId="0" fontId="195" fillId="0" borderId="0" xfId="2" applyFont="1" applyBorder="1" applyAlignment="1" applyProtection="1"/>
    <xf numFmtId="0" fontId="184" fillId="0" borderId="0" xfId="0" applyFont="1" applyBorder="1" applyAlignment="1">
      <alignment wrapText="1"/>
    </xf>
    <xf numFmtId="0" fontId="193" fillId="0" borderId="0" xfId="0" applyFont="1" applyFill="1" applyBorder="1"/>
    <xf numFmtId="0" fontId="196" fillId="0" borderId="0" xfId="0" applyFont="1" applyBorder="1"/>
    <xf numFmtId="164" fontId="196" fillId="0" borderId="0" xfId="0" applyNumberFormat="1" applyFont="1" applyBorder="1"/>
    <xf numFmtId="10" fontId="195" fillId="9" borderId="0" xfId="2" applyNumberFormat="1" applyFont="1" applyFill="1" applyBorder="1" applyAlignment="1" applyProtection="1"/>
    <xf numFmtId="0" fontId="195" fillId="9" borderId="0" xfId="2" applyFont="1" applyFill="1" applyBorder="1" applyAlignment="1" applyProtection="1"/>
    <xf numFmtId="0" fontId="0" fillId="9" borderId="0" xfId="0" applyFill="1" applyBorder="1"/>
    <xf numFmtId="0" fontId="184" fillId="9" borderId="0" xfId="0" applyFont="1" applyFill="1" applyBorder="1"/>
    <xf numFmtId="0" fontId="0" fillId="9" borderId="70" xfId="0" applyFill="1" applyBorder="1"/>
    <xf numFmtId="0" fontId="184" fillId="9" borderId="70" xfId="0" applyFont="1" applyFill="1" applyBorder="1"/>
    <xf numFmtId="0" fontId="184" fillId="9" borderId="71" xfId="0" applyFont="1" applyFill="1" applyBorder="1"/>
    <xf numFmtId="0" fontId="0" fillId="9" borderId="72" xfId="0" applyFill="1" applyBorder="1"/>
    <xf numFmtId="0" fontId="0" fillId="9" borderId="73" xfId="0" applyFill="1" applyBorder="1"/>
    <xf numFmtId="0" fontId="0" fillId="9" borderId="74" xfId="0" applyFill="1" applyBorder="1"/>
    <xf numFmtId="0" fontId="197" fillId="0" borderId="0" xfId="0" applyFont="1" applyFill="1" applyBorder="1"/>
    <xf numFmtId="0" fontId="184" fillId="0" borderId="0" xfId="0" applyFont="1" applyFill="1" applyBorder="1"/>
    <xf numFmtId="164" fontId="188" fillId="0" borderId="0" xfId="0" applyNumberFormat="1" applyFont="1" applyFill="1" applyBorder="1"/>
    <xf numFmtId="164" fontId="187" fillId="0" borderId="0" xfId="0" applyNumberFormat="1" applyFont="1" applyBorder="1"/>
    <xf numFmtId="164" fontId="198" fillId="0" borderId="0" xfId="2" applyNumberFormat="1" applyFont="1" applyBorder="1" applyAlignment="1" applyProtection="1"/>
    <xf numFmtId="166" fontId="199" fillId="0" borderId="1" xfId="0" applyNumberFormat="1" applyFont="1" applyBorder="1"/>
    <xf numFmtId="166" fontId="199" fillId="0" borderId="0" xfId="0" applyNumberFormat="1" applyFont="1" applyBorder="1"/>
    <xf numFmtId="164" fontId="186" fillId="0" borderId="0" xfId="0" applyNumberFormat="1" applyFont="1" applyBorder="1"/>
    <xf numFmtId="0" fontId="44" fillId="9" borderId="75" xfId="0" applyFont="1" applyFill="1" applyBorder="1"/>
    <xf numFmtId="164" fontId="60" fillId="0" borderId="0" xfId="0" applyNumberFormat="1" applyFont="1" applyBorder="1"/>
    <xf numFmtId="0" fontId="26" fillId="0" borderId="8" xfId="0" applyFont="1" applyFill="1" applyBorder="1"/>
    <xf numFmtId="6" fontId="8" fillId="0" borderId="0" xfId="0" applyNumberFormat="1" applyFont="1" applyBorder="1"/>
    <xf numFmtId="0" fontId="48" fillId="9" borderId="76" xfId="0" applyFont="1" applyFill="1" applyBorder="1"/>
    <xf numFmtId="164" fontId="94" fillId="3" borderId="0" xfId="0" applyNumberFormat="1" applyFont="1" applyFill="1" applyBorder="1"/>
    <xf numFmtId="0" fontId="33" fillId="0" borderId="0" xfId="2" applyFont="1" applyBorder="1" applyAlignment="1" applyProtection="1"/>
    <xf numFmtId="0" fontId="200" fillId="0" borderId="0" xfId="0" applyFont="1" applyBorder="1"/>
    <xf numFmtId="9" fontId="14" fillId="0" borderId="77" xfId="0" applyNumberFormat="1" applyFont="1" applyFill="1" applyBorder="1" applyAlignment="1">
      <alignment wrapText="1"/>
    </xf>
    <xf numFmtId="6" fontId="24" fillId="0" borderId="8" xfId="0" applyNumberFormat="1" applyFont="1" applyFill="1" applyBorder="1" applyAlignment="1">
      <alignment wrapText="1"/>
    </xf>
    <xf numFmtId="0" fontId="194" fillId="0" borderId="0" xfId="0" applyFont="1" applyFill="1"/>
    <xf numFmtId="0" fontId="164" fillId="0" borderId="0" xfId="0" applyFont="1" applyFill="1" applyBorder="1"/>
    <xf numFmtId="10" fontId="154" fillId="0" borderId="0" xfId="0" applyNumberFormat="1" applyFont="1" applyFill="1" applyBorder="1"/>
    <xf numFmtId="6" fontId="145" fillId="0" borderId="0" xfId="0" applyNumberFormat="1" applyFont="1" applyFill="1" applyBorder="1"/>
    <xf numFmtId="0" fontId="80" fillId="0" borderId="0" xfId="2" applyFont="1" applyFill="1" applyBorder="1" applyAlignment="1" applyProtection="1"/>
    <xf numFmtId="0" fontId="33" fillId="0" borderId="0" xfId="2" applyFill="1" applyBorder="1" applyAlignment="1" applyProtection="1"/>
    <xf numFmtId="0" fontId="2" fillId="0" borderId="3" xfId="0" applyFont="1" applyFill="1" applyBorder="1"/>
    <xf numFmtId="0" fontId="195" fillId="0" borderId="0" xfId="2" applyFont="1" applyFill="1" applyAlignment="1" applyProtection="1"/>
    <xf numFmtId="0" fontId="195" fillId="0" borderId="0" xfId="2" applyFont="1" applyAlignment="1" applyProtection="1"/>
    <xf numFmtId="164" fontId="195" fillId="0" borderId="0" xfId="2" applyNumberFormat="1" applyFont="1" applyBorder="1" applyAlignment="1" applyProtection="1"/>
    <xf numFmtId="164" fontId="193" fillId="0" borderId="0" xfId="0" applyNumberFormat="1" applyFont="1" applyBorder="1"/>
    <xf numFmtId="0" fontId="190" fillId="0" borderId="8" xfId="0" applyFont="1" applyFill="1" applyBorder="1"/>
    <xf numFmtId="0" fontId="166" fillId="0" borderId="10" xfId="0" applyFont="1" applyFill="1" applyBorder="1" applyAlignment="1">
      <alignment horizontal="center"/>
    </xf>
    <xf numFmtId="0" fontId="0" fillId="0" borderId="0" xfId="0" applyFill="1" applyBorder="1" applyAlignment="1">
      <alignment wrapText="1"/>
    </xf>
    <xf numFmtId="0" fontId="33" fillId="19" borderId="0" xfId="2" applyFont="1" applyFill="1" applyAlignment="1" applyProtection="1"/>
    <xf numFmtId="0" fontId="187" fillId="0" borderId="0" xfId="0" applyFont="1" applyBorder="1"/>
    <xf numFmtId="10" fontId="202" fillId="0" borderId="0" xfId="0" applyNumberFormat="1" applyFont="1" applyBorder="1"/>
    <xf numFmtId="0" fontId="2" fillId="0" borderId="61" xfId="0" applyFont="1" applyFill="1" applyBorder="1"/>
    <xf numFmtId="0" fontId="203" fillId="0" borderId="0" xfId="0" applyFont="1"/>
    <xf numFmtId="0" fontId="76" fillId="0" borderId="0" xfId="0" applyFont="1" applyFill="1" applyBorder="1"/>
    <xf numFmtId="164" fontId="79" fillId="0" borderId="0" xfId="0" applyNumberFormat="1" applyFont="1" applyBorder="1"/>
    <xf numFmtId="6" fontId="204" fillId="0" borderId="0" xfId="0" applyNumberFormat="1" applyFont="1" applyBorder="1"/>
    <xf numFmtId="6" fontId="191" fillId="0" borderId="21" xfId="0" applyNumberFormat="1" applyFont="1" applyFill="1" applyBorder="1"/>
    <xf numFmtId="6" fontId="191" fillId="0" borderId="12" xfId="0" applyNumberFormat="1" applyFont="1" applyFill="1" applyBorder="1"/>
    <xf numFmtId="6" fontId="191" fillId="0" borderId="8" xfId="0" applyNumberFormat="1" applyFont="1" applyBorder="1"/>
    <xf numFmtId="6" fontId="191" fillId="0" borderId="9" xfId="0" applyNumberFormat="1" applyFont="1" applyBorder="1"/>
    <xf numFmtId="6" fontId="191" fillId="0" borderId="32" xfId="0" applyNumberFormat="1" applyFont="1" applyFill="1" applyBorder="1"/>
    <xf numFmtId="6" fontId="191" fillId="0" borderId="13" xfId="0" applyNumberFormat="1" applyFont="1" applyBorder="1"/>
    <xf numFmtId="6" fontId="191" fillId="0" borderId="15" xfId="0" applyNumberFormat="1" applyFont="1" applyBorder="1"/>
    <xf numFmtId="164" fontId="94" fillId="0" borderId="0" xfId="0" applyNumberFormat="1" applyFont="1" applyFill="1" applyBorder="1"/>
    <xf numFmtId="44" fontId="11" fillId="0" borderId="0" xfId="1" applyFont="1" applyFill="1" applyBorder="1"/>
    <xf numFmtId="6" fontId="16" fillId="0" borderId="2" xfId="0" applyNumberFormat="1" applyFont="1" applyBorder="1"/>
    <xf numFmtId="6" fontId="16" fillId="0" borderId="8" xfId="0" applyNumberFormat="1" applyFont="1" applyBorder="1"/>
    <xf numFmtId="6" fontId="16" fillId="0" borderId="0" xfId="0" applyNumberFormat="1" applyFont="1" applyFill="1" applyBorder="1"/>
    <xf numFmtId="6" fontId="16" fillId="0" borderId="8" xfId="0" applyNumberFormat="1" applyFont="1" applyFill="1" applyBorder="1"/>
    <xf numFmtId="6" fontId="16" fillId="0" borderId="3" xfId="0" applyNumberFormat="1" applyFont="1" applyBorder="1"/>
    <xf numFmtId="6" fontId="16" fillId="0" borderId="9" xfId="0" applyNumberFormat="1" applyFont="1" applyBorder="1"/>
    <xf numFmtId="0" fontId="11" fillId="20" borderId="24" xfId="0" applyFont="1" applyFill="1" applyBorder="1" applyAlignment="1">
      <alignment wrapText="1"/>
    </xf>
    <xf numFmtId="0" fontId="11" fillId="16" borderId="24" xfId="0" applyFont="1" applyFill="1" applyBorder="1" applyAlignment="1">
      <alignment wrapText="1"/>
    </xf>
    <xf numFmtId="44" fontId="193" fillId="0" borderId="7" xfId="1" applyFont="1" applyBorder="1"/>
    <xf numFmtId="0" fontId="16" fillId="0" borderId="8" xfId="0" applyFont="1" applyFill="1" applyBorder="1"/>
    <xf numFmtId="0" fontId="204" fillId="0" borderId="0" xfId="0" applyFont="1" applyBorder="1"/>
    <xf numFmtId="166" fontId="206" fillId="0" borderId="0" xfId="0" applyNumberFormat="1" applyFont="1" applyBorder="1"/>
    <xf numFmtId="166" fontId="206" fillId="0" borderId="3" xfId="0" applyNumberFormat="1" applyFont="1" applyBorder="1"/>
    <xf numFmtId="0" fontId="207" fillId="0" borderId="22" xfId="0" applyFont="1" applyBorder="1"/>
    <xf numFmtId="0" fontId="207" fillId="0" borderId="2" xfId="0" applyFont="1" applyBorder="1"/>
    <xf numFmtId="164" fontId="207" fillId="0" borderId="10" xfId="0" applyNumberFormat="1" applyFont="1" applyBorder="1"/>
    <xf numFmtId="164" fontId="207" fillId="0" borderId="9" xfId="0" applyNumberFormat="1" applyFont="1" applyBorder="1"/>
    <xf numFmtId="164" fontId="207" fillId="0" borderId="0" xfId="0" applyNumberFormat="1" applyFont="1" applyBorder="1"/>
    <xf numFmtId="0" fontId="6" fillId="9" borderId="0" xfId="0" applyFont="1" applyFill="1" applyBorder="1"/>
    <xf numFmtId="0" fontId="208" fillId="0" borderId="0" xfId="0" applyFont="1" applyBorder="1"/>
    <xf numFmtId="0" fontId="209" fillId="0" borderId="0" xfId="0" applyFont="1"/>
    <xf numFmtId="0" fontId="44" fillId="0" borderId="53" xfId="0" applyFont="1" applyBorder="1"/>
    <xf numFmtId="10" fontId="10" fillId="0" borderId="11" xfId="0" applyNumberFormat="1" applyFont="1" applyBorder="1"/>
    <xf numFmtId="0" fontId="0" fillId="0" borderId="42" xfId="0" applyBorder="1"/>
    <xf numFmtId="0" fontId="195" fillId="0" borderId="0" xfId="2" applyFont="1" applyFill="1" applyBorder="1" applyAlignment="1" applyProtection="1"/>
    <xf numFmtId="0" fontId="6" fillId="0" borderId="0" xfId="0" applyFont="1" applyFill="1" applyBorder="1"/>
    <xf numFmtId="0" fontId="210" fillId="0" borderId="0" xfId="0" applyFont="1"/>
    <xf numFmtId="14" fontId="44" fillId="0" borderId="0" xfId="0" applyNumberFormat="1" applyFont="1"/>
    <xf numFmtId="0" fontId="4" fillId="3" borderId="0" xfId="0" applyFont="1" applyFill="1"/>
    <xf numFmtId="0" fontId="48" fillId="3" borderId="0" xfId="0" applyFont="1" applyFill="1"/>
    <xf numFmtId="0" fontId="211" fillId="3" borderId="0" xfId="0" applyFont="1" applyFill="1"/>
    <xf numFmtId="0" fontId="59" fillId="3" borderId="0" xfId="0" applyFont="1" applyFill="1"/>
    <xf numFmtId="0" fontId="59" fillId="19" borderId="0" xfId="0" applyFont="1" applyFill="1"/>
    <xf numFmtId="0" fontId="48" fillId="19" borderId="0" xfId="0" applyFont="1" applyFill="1"/>
    <xf numFmtId="0" fontId="4" fillId="19" borderId="0" xfId="0" applyFont="1" applyFill="1"/>
    <xf numFmtId="0" fontId="167" fillId="0" borderId="0" xfId="0" applyFont="1" applyFill="1"/>
    <xf numFmtId="0" fontId="176" fillId="0" borderId="0" xfId="0" applyFont="1" applyFill="1"/>
    <xf numFmtId="14" fontId="44" fillId="0" borderId="54" xfId="0" applyNumberFormat="1" applyFont="1" applyBorder="1"/>
    <xf numFmtId="0" fontId="209" fillId="0" borderId="54" xfId="0" applyFont="1" applyBorder="1"/>
    <xf numFmtId="0" fontId="209" fillId="0" borderId="55" xfId="0" applyFont="1" applyBorder="1"/>
    <xf numFmtId="14" fontId="44" fillId="0" borderId="0" xfId="0" applyNumberFormat="1" applyFont="1" applyBorder="1"/>
    <xf numFmtId="0" fontId="209" fillId="0" borderId="0" xfId="0" applyFont="1" applyBorder="1"/>
    <xf numFmtId="0" fontId="209" fillId="0" borderId="57" xfId="0" applyFont="1" applyBorder="1"/>
    <xf numFmtId="14" fontId="2" fillId="0" borderId="0" xfId="0" applyNumberFormat="1" applyFont="1" applyBorder="1"/>
    <xf numFmtId="0" fontId="0" fillId="0" borderId="57" xfId="0" applyFont="1" applyBorder="1"/>
    <xf numFmtId="0" fontId="0" fillId="0" borderId="61" xfId="0" applyBorder="1"/>
    <xf numFmtId="14" fontId="44" fillId="0" borderId="58" xfId="0" applyNumberFormat="1" applyFont="1" applyBorder="1"/>
    <xf numFmtId="0" fontId="209" fillId="0" borderId="58" xfId="0" applyFont="1" applyBorder="1"/>
    <xf numFmtId="0" fontId="209" fillId="0" borderId="59" xfId="0" applyFont="1" applyBorder="1"/>
    <xf numFmtId="0" fontId="44" fillId="0" borderId="56" xfId="0" applyFont="1" applyBorder="1"/>
    <xf numFmtId="14" fontId="6" fillId="0" borderId="0" xfId="0" applyNumberFormat="1" applyFont="1" applyBorder="1"/>
    <xf numFmtId="6" fontId="90" fillId="0" borderId="0" xfId="0" applyNumberFormat="1" applyFont="1" applyBorder="1"/>
    <xf numFmtId="6" fontId="138" fillId="0" borderId="0" xfId="0" applyNumberFormat="1" applyFont="1" applyBorder="1"/>
    <xf numFmtId="0" fontId="0" fillId="9" borderId="76" xfId="0" applyNumberFormat="1" applyFill="1" applyBorder="1" applyAlignment="1">
      <alignment horizontal="left" indent="3"/>
    </xf>
    <xf numFmtId="0" fontId="212" fillId="3" borderId="46" xfId="0" applyFont="1" applyFill="1" applyBorder="1"/>
    <xf numFmtId="0" fontId="0" fillId="3" borderId="11" xfId="0" applyFill="1" applyBorder="1"/>
    <xf numFmtId="0" fontId="0" fillId="3" borderId="47" xfId="0" applyFill="1" applyBorder="1"/>
    <xf numFmtId="0" fontId="212" fillId="3" borderId="12" xfId="0" applyFont="1" applyFill="1" applyBorder="1"/>
    <xf numFmtId="0" fontId="0" fillId="3" borderId="32" xfId="0" applyFill="1" applyBorder="1"/>
    <xf numFmtId="0" fontId="212" fillId="3" borderId="48" xfId="0" applyFont="1" applyFill="1" applyBorder="1"/>
    <xf numFmtId="0" fontId="0" fillId="3" borderId="42" xfId="0" applyFill="1" applyBorder="1"/>
    <xf numFmtId="0" fontId="0" fillId="3" borderId="49" xfId="0" applyFill="1" applyBorder="1"/>
    <xf numFmtId="0" fontId="210" fillId="0" borderId="0" xfId="0" applyFont="1" applyFill="1"/>
    <xf numFmtId="0" fontId="0" fillId="0" borderId="0" xfId="0" applyFont="1" applyFill="1"/>
    <xf numFmtId="166" fontId="213" fillId="0" borderId="0" xfId="0" applyNumberFormat="1" applyFont="1" applyBorder="1"/>
    <xf numFmtId="165" fontId="60" fillId="0" borderId="0" xfId="0" applyNumberFormat="1" applyFont="1" applyFill="1" applyBorder="1"/>
    <xf numFmtId="164" fontId="195" fillId="0" borderId="0" xfId="2" applyNumberFormat="1" applyFont="1" applyFill="1" applyBorder="1" applyAlignment="1" applyProtection="1"/>
    <xf numFmtId="166" fontId="214" fillId="0" borderId="0" xfId="0" applyNumberFormat="1" applyFont="1" applyBorder="1"/>
    <xf numFmtId="0" fontId="48" fillId="0" borderId="7" xfId="0" applyFont="1" applyBorder="1"/>
    <xf numFmtId="0" fontId="7" fillId="11" borderId="33" xfId="0" applyFont="1" applyFill="1" applyBorder="1" applyAlignment="1">
      <alignment wrapText="1"/>
    </xf>
    <xf numFmtId="0" fontId="7" fillId="17" borderId="25" xfId="0" applyFont="1" applyFill="1" applyBorder="1" applyAlignment="1">
      <alignment wrapText="1"/>
    </xf>
    <xf numFmtId="0" fontId="8" fillId="0" borderId="8" xfId="0" applyFont="1" applyBorder="1"/>
    <xf numFmtId="44" fontId="2" fillId="0" borderId="56" xfId="1" applyFont="1" applyBorder="1" applyAlignment="1">
      <alignment horizontal="left"/>
    </xf>
    <xf numFmtId="14" fontId="44" fillId="0" borderId="0" xfId="0" applyNumberFormat="1" applyFont="1" applyBorder="1" applyAlignment="1">
      <alignment horizontal="left"/>
    </xf>
    <xf numFmtId="0" fontId="209" fillId="0" borderId="0" xfId="0" applyFont="1" applyBorder="1" applyAlignment="1">
      <alignment horizontal="left"/>
    </xf>
    <xf numFmtId="0" fontId="209" fillId="0" borderId="57" xfId="0" applyFont="1" applyBorder="1" applyAlignment="1">
      <alignment horizontal="left"/>
    </xf>
    <xf numFmtId="0" fontId="209" fillId="0" borderId="0" xfId="0" applyFont="1" applyAlignment="1">
      <alignment horizontal="left"/>
    </xf>
    <xf numFmtId="0" fontId="216" fillId="0" borderId="0" xfId="0" applyFont="1"/>
    <xf numFmtId="0" fontId="217" fillId="0" borderId="0" xfId="0" applyFont="1"/>
    <xf numFmtId="0" fontId="88" fillId="0" borderId="0" xfId="0" applyFont="1" applyAlignment="1">
      <alignment wrapText="1"/>
    </xf>
    <xf numFmtId="0" fontId="218" fillId="9" borderId="0" xfId="2" applyFont="1" applyFill="1" applyBorder="1" applyAlignment="1" applyProtection="1"/>
    <xf numFmtId="0" fontId="219" fillId="0" borderId="0" xfId="0" applyFont="1"/>
    <xf numFmtId="0" fontId="215" fillId="9" borderId="76" xfId="0" applyNumberFormat="1" applyFont="1" applyFill="1" applyBorder="1" applyAlignment="1">
      <alignment horizontal="left" indent="3"/>
    </xf>
    <xf numFmtId="0" fontId="217" fillId="0" borderId="0" xfId="0" applyFont="1" applyBorder="1"/>
    <xf numFmtId="0" fontId="221" fillId="0" borderId="0" xfId="0" applyFont="1"/>
    <xf numFmtId="0" fontId="222" fillId="0" borderId="0" xfId="0" applyFont="1"/>
    <xf numFmtId="0" fontId="6" fillId="9" borderId="71" xfId="0" applyFont="1" applyFill="1" applyBorder="1"/>
    <xf numFmtId="0" fontId="184" fillId="9" borderId="79" xfId="0" applyFont="1" applyFill="1" applyBorder="1"/>
    <xf numFmtId="0" fontId="195" fillId="9" borderId="71" xfId="2" applyFont="1" applyFill="1" applyBorder="1" applyAlignment="1" applyProtection="1"/>
    <xf numFmtId="0" fontId="0" fillId="0" borderId="56" xfId="0" applyFont="1" applyBorder="1"/>
    <xf numFmtId="44" fontId="223" fillId="0" borderId="7" xfId="1" applyFont="1" applyBorder="1"/>
    <xf numFmtId="6" fontId="10" fillId="0" borderId="0" xfId="0" applyNumberFormat="1" applyFont="1" applyFill="1" applyBorder="1"/>
    <xf numFmtId="10" fontId="10" fillId="0" borderId="0" xfId="0" applyNumberFormat="1" applyFont="1" applyFill="1" applyBorder="1"/>
    <xf numFmtId="0" fontId="226" fillId="0" borderId="0" xfId="0" applyFont="1" applyFill="1"/>
    <xf numFmtId="0" fontId="227" fillId="0" borderId="0" xfId="0" applyFont="1" applyBorder="1"/>
    <xf numFmtId="0" fontId="224" fillId="0" borderId="0" xfId="2" applyFont="1" applyBorder="1" applyAlignment="1" applyProtection="1"/>
    <xf numFmtId="0" fontId="227" fillId="0" borderId="0" xfId="0" applyFont="1" applyFill="1" applyBorder="1"/>
    <xf numFmtId="0" fontId="224" fillId="0" borderId="0" xfId="2" applyFont="1" applyFill="1" applyBorder="1" applyAlignment="1" applyProtection="1"/>
    <xf numFmtId="0" fontId="111" fillId="0" borderId="0" xfId="0" applyFont="1" applyFill="1"/>
    <xf numFmtId="6" fontId="129" fillId="0" borderId="0" xfId="0" applyNumberFormat="1" applyFont="1"/>
    <xf numFmtId="6" fontId="129" fillId="0" borderId="14" xfId="0" applyNumberFormat="1" applyFont="1" applyBorder="1"/>
    <xf numFmtId="6" fontId="129" fillId="0" borderId="34" xfId="0" applyNumberFormat="1" applyFont="1" applyBorder="1"/>
    <xf numFmtId="6" fontId="122" fillId="0" borderId="0" xfId="0" applyNumberFormat="1" applyFont="1" applyFill="1"/>
    <xf numFmtId="6" fontId="12" fillId="0" borderId="0" xfId="0" applyNumberFormat="1" applyFont="1" applyFill="1"/>
    <xf numFmtId="164" fontId="129" fillId="0" borderId="14" xfId="0" applyNumberFormat="1" applyFont="1" applyFill="1" applyBorder="1"/>
    <xf numFmtId="6" fontId="191" fillId="0" borderId="12" xfId="0" applyNumberFormat="1" applyFont="1" applyBorder="1" applyAlignment="1">
      <alignment wrapText="1"/>
    </xf>
    <xf numFmtId="6" fontId="191" fillId="0" borderId="0" xfId="0" applyNumberFormat="1" applyFont="1" applyBorder="1" applyAlignment="1">
      <alignment wrapText="1"/>
    </xf>
    <xf numFmtId="6" fontId="191" fillId="0" borderId="14" xfId="0" applyNumberFormat="1" applyFont="1" applyBorder="1" applyAlignment="1">
      <alignment wrapText="1"/>
    </xf>
    <xf numFmtId="6" fontId="191" fillId="0" borderId="3" xfId="0" applyNumberFormat="1" applyFont="1" applyBorder="1" applyAlignment="1">
      <alignment wrapText="1"/>
    </xf>
    <xf numFmtId="6" fontId="191" fillId="0" borderId="36" xfId="0" applyNumberFormat="1" applyFont="1" applyBorder="1"/>
    <xf numFmtId="0" fontId="230" fillId="0" borderId="0" xfId="0" applyFont="1" applyBorder="1"/>
    <xf numFmtId="0" fontId="232" fillId="0" borderId="0" xfId="0" applyFont="1" applyBorder="1" applyAlignment="1">
      <alignment horizontal="left"/>
    </xf>
    <xf numFmtId="6" fontId="233" fillId="0" borderId="0" xfId="0" applyNumberFormat="1" applyFont="1" applyBorder="1" applyAlignment="1">
      <alignment horizontal="right"/>
    </xf>
    <xf numFmtId="0" fontId="58" fillId="0" borderId="0" xfId="0" applyFont="1" applyBorder="1" applyAlignment="1">
      <alignment horizontal="left"/>
    </xf>
    <xf numFmtId="0" fontId="233" fillId="0" borderId="0" xfId="0" applyFont="1" applyBorder="1" applyAlignment="1">
      <alignment horizontal="right"/>
    </xf>
    <xf numFmtId="0" fontId="90" fillId="0" borderId="0" xfId="0" applyFont="1" applyBorder="1" applyAlignment="1">
      <alignment horizontal="left"/>
    </xf>
    <xf numFmtId="6" fontId="233" fillId="0" borderId="0" xfId="0" applyNumberFormat="1" applyFont="1" applyBorder="1"/>
    <xf numFmtId="10" fontId="231" fillId="0" borderId="0" xfId="0" applyNumberFormat="1" applyFont="1" applyBorder="1"/>
    <xf numFmtId="6" fontId="234" fillId="0" borderId="0" xfId="0" applyNumberFormat="1" applyFont="1" applyBorder="1"/>
    <xf numFmtId="0" fontId="48" fillId="0" borderId="3" xfId="0" applyFont="1" applyBorder="1"/>
    <xf numFmtId="0" fontId="58" fillId="0" borderId="3" xfId="0" applyFont="1" applyBorder="1" applyAlignment="1">
      <alignment horizontal="left"/>
    </xf>
    <xf numFmtId="0" fontId="232" fillId="0" borderId="3" xfId="0" applyFont="1" applyBorder="1" applyAlignment="1">
      <alignment horizontal="left"/>
    </xf>
    <xf numFmtId="0" fontId="235" fillId="0" borderId="0" xfId="0" applyFont="1" applyBorder="1"/>
    <xf numFmtId="6" fontId="235" fillId="0" borderId="0" xfId="0" applyNumberFormat="1" applyFont="1" applyBorder="1"/>
    <xf numFmtId="6" fontId="235" fillId="0" borderId="3" xfId="0" applyNumberFormat="1" applyFont="1" applyBorder="1"/>
    <xf numFmtId="0" fontId="137" fillId="0" borderId="0" xfId="0" applyFont="1" applyFill="1" applyBorder="1"/>
    <xf numFmtId="0" fontId="7" fillId="22" borderId="24" xfId="0" applyFont="1" applyFill="1" applyBorder="1" applyAlignment="1">
      <alignment wrapText="1"/>
    </xf>
    <xf numFmtId="0" fontId="122" fillId="0" borderId="0" xfId="0" applyFont="1" applyBorder="1" applyAlignment="1"/>
    <xf numFmtId="0" fontId="122" fillId="0" borderId="0" xfId="0" applyFont="1" applyAlignment="1"/>
    <xf numFmtId="6" fontId="12" fillId="0" borderId="0" xfId="0" applyNumberFormat="1" applyFont="1" applyFill="1" applyBorder="1"/>
    <xf numFmtId="0" fontId="229" fillId="0" borderId="0" xfId="0" applyFont="1" applyFill="1"/>
    <xf numFmtId="6" fontId="129" fillId="0" borderId="0" xfId="0" applyNumberFormat="1" applyFont="1" applyFill="1"/>
    <xf numFmtId="6" fontId="12" fillId="0" borderId="21" xfId="0" applyNumberFormat="1" applyFont="1" applyFill="1" applyBorder="1"/>
    <xf numFmtId="6" fontId="12" fillId="0" borderId="1" xfId="0" applyNumberFormat="1" applyFont="1" applyFill="1" applyBorder="1"/>
    <xf numFmtId="164" fontId="129" fillId="0" borderId="21" xfId="0" applyNumberFormat="1" applyFont="1" applyFill="1" applyBorder="1"/>
    <xf numFmtId="164" fontId="8" fillId="0" borderId="2" xfId="0" applyNumberFormat="1" applyFont="1" applyFill="1" applyBorder="1"/>
    <xf numFmtId="0" fontId="174" fillId="0" borderId="20" xfId="0" applyFont="1" applyFill="1" applyBorder="1"/>
    <xf numFmtId="44" fontId="42" fillId="0" borderId="0" xfId="2" applyNumberFormat="1" applyFont="1" applyBorder="1" applyAlignment="1" applyProtection="1"/>
    <xf numFmtId="0" fontId="140" fillId="0" borderId="0" xfId="0" applyFont="1"/>
    <xf numFmtId="14" fontId="40" fillId="0" borderId="0" xfId="0" applyNumberFormat="1" applyFont="1"/>
    <xf numFmtId="0" fontId="244" fillId="0" borderId="0" xfId="0" applyFont="1"/>
    <xf numFmtId="0" fontId="152" fillId="0" borderId="10" xfId="0" applyFont="1" applyBorder="1"/>
    <xf numFmtId="164" fontId="228" fillId="0" borderId="0" xfId="0" applyNumberFormat="1" applyFont="1" applyFill="1" applyBorder="1" applyAlignment="1"/>
    <xf numFmtId="0" fontId="226" fillId="0" borderId="0" xfId="0" applyFont="1" applyFill="1" applyBorder="1"/>
    <xf numFmtId="6" fontId="122" fillId="0" borderId="9" xfId="0" applyNumberFormat="1" applyFont="1" applyFill="1" applyBorder="1"/>
    <xf numFmtId="6" fontId="228" fillId="0" borderId="0" xfId="0" applyNumberFormat="1" applyFont="1" applyFill="1" applyBorder="1"/>
    <xf numFmtId="164" fontId="225" fillId="0" borderId="0" xfId="0" applyNumberFormat="1" applyFont="1" applyFill="1" applyBorder="1"/>
    <xf numFmtId="44" fontId="7" fillId="0" borderId="10" xfId="1" applyFont="1" applyBorder="1"/>
    <xf numFmtId="0" fontId="0" fillId="23" borderId="0" xfId="0" applyFill="1"/>
    <xf numFmtId="0" fontId="6" fillId="0" borderId="7" xfId="0" quotePrefix="1" applyFont="1" applyBorder="1"/>
    <xf numFmtId="164" fontId="48" fillId="0" borderId="0" xfId="0" applyNumberFormat="1" applyFont="1" applyBorder="1"/>
    <xf numFmtId="0" fontId="0" fillId="0" borderId="0" xfId="0" applyBorder="1" applyAlignment="1">
      <alignment wrapText="1"/>
    </xf>
    <xf numFmtId="164" fontId="0" fillId="0" borderId="0" xfId="0" applyNumberFormat="1"/>
    <xf numFmtId="10" fontId="205" fillId="0" borderId="0" xfId="0" applyNumberFormat="1" applyFont="1" applyBorder="1"/>
    <xf numFmtId="0" fontId="242" fillId="0" borderId="0" xfId="0" applyFont="1"/>
    <xf numFmtId="0" fontId="242" fillId="0" borderId="0" xfId="0" applyFont="1" applyBorder="1"/>
    <xf numFmtId="10" fontId="0" fillId="0" borderId="8" xfId="0" applyNumberFormat="1" applyFill="1" applyBorder="1"/>
    <xf numFmtId="0" fontId="248" fillId="0" borderId="0" xfId="0" applyFont="1" applyBorder="1" applyAlignment="1">
      <alignment horizontal="center"/>
    </xf>
    <xf numFmtId="3" fontId="7" fillId="16" borderId="41" xfId="0" applyNumberFormat="1" applyFont="1" applyFill="1" applyBorder="1" applyAlignment="1">
      <alignment wrapText="1"/>
    </xf>
    <xf numFmtId="164" fontId="247" fillId="0" borderId="21" xfId="0" applyNumberFormat="1" applyFont="1" applyBorder="1"/>
    <xf numFmtId="164" fontId="247" fillId="0" borderId="39" xfId="0" applyNumberFormat="1" applyFont="1" applyBorder="1"/>
    <xf numFmtId="164" fontId="247" fillId="0" borderId="12" xfId="0" applyNumberFormat="1" applyFont="1" applyBorder="1"/>
    <xf numFmtId="164" fontId="247" fillId="0" borderId="32" xfId="0" applyNumberFormat="1" applyFont="1" applyBorder="1"/>
    <xf numFmtId="164" fontId="247" fillId="0" borderId="14" xfId="0" applyNumberFormat="1" applyFont="1" applyBorder="1"/>
    <xf numFmtId="164" fontId="247" fillId="0" borderId="34" xfId="0" applyNumberFormat="1" applyFont="1" applyBorder="1"/>
    <xf numFmtId="9" fontId="0" fillId="0" borderId="21" xfId="0" applyNumberFormat="1" applyBorder="1"/>
    <xf numFmtId="9" fontId="0" fillId="0" borderId="12" xfId="0" applyNumberFormat="1" applyBorder="1"/>
    <xf numFmtId="9" fontId="0" fillId="0" borderId="14" xfId="0" applyNumberFormat="1" applyBorder="1"/>
    <xf numFmtId="0" fontId="0" fillId="0" borderId="2" xfId="0" applyBorder="1"/>
    <xf numFmtId="0" fontId="0" fillId="0" borderId="11" xfId="0" applyBorder="1"/>
    <xf numFmtId="9" fontId="248" fillId="0" borderId="0" xfId="0" applyNumberFormat="1" applyFont="1" applyBorder="1"/>
    <xf numFmtId="0" fontId="251" fillId="0" borderId="0" xfId="0" applyFont="1" applyBorder="1"/>
    <xf numFmtId="44" fontId="163" fillId="0" borderId="0" xfId="1" applyFont="1" applyFill="1" applyBorder="1"/>
    <xf numFmtId="6" fontId="162" fillId="0" borderId="0" xfId="0" applyNumberFormat="1" applyFont="1" applyFill="1" applyBorder="1"/>
    <xf numFmtId="0" fontId="165" fillId="0" borderId="0" xfId="2" applyFont="1" applyFill="1" applyBorder="1" applyAlignment="1" applyProtection="1"/>
    <xf numFmtId="0" fontId="156" fillId="0" borderId="0" xfId="2" applyFont="1" applyFill="1" applyBorder="1" applyAlignment="1" applyProtection="1"/>
    <xf numFmtId="6" fontId="90" fillId="0" borderId="0" xfId="0" applyNumberFormat="1" applyFont="1" applyFill="1" applyBorder="1"/>
    <xf numFmtId="9" fontId="0" fillId="0" borderId="0" xfId="0" applyNumberFormat="1"/>
    <xf numFmtId="3" fontId="0" fillId="0" borderId="0" xfId="0" applyNumberFormat="1"/>
    <xf numFmtId="9" fontId="252" fillId="0" borderId="0" xfId="0" applyNumberFormat="1" applyFont="1" applyBorder="1"/>
    <xf numFmtId="0" fontId="7" fillId="26" borderId="3" xfId="0" applyFont="1" applyFill="1" applyBorder="1" applyAlignment="1">
      <alignment wrapText="1"/>
    </xf>
    <xf numFmtId="0" fontId="11" fillId="27" borderId="25" xfId="0" applyFont="1" applyFill="1" applyBorder="1" applyAlignment="1">
      <alignment wrapText="1"/>
    </xf>
    <xf numFmtId="0" fontId="249" fillId="0" borderId="0" xfId="0" applyFont="1"/>
    <xf numFmtId="0" fontId="253" fillId="0" borderId="0" xfId="0" applyFont="1"/>
    <xf numFmtId="0" fontId="114" fillId="0" borderId="0" xfId="0" applyFont="1" applyAlignment="1">
      <alignment wrapText="1"/>
    </xf>
    <xf numFmtId="0" fontId="253" fillId="0" borderId="0" xfId="0" applyFont="1" applyAlignment="1">
      <alignment wrapText="1"/>
    </xf>
    <xf numFmtId="3" fontId="7" fillId="16" borderId="3" xfId="0" applyNumberFormat="1" applyFont="1" applyFill="1" applyBorder="1" applyAlignment="1">
      <alignment wrapText="1"/>
    </xf>
    <xf numFmtId="0" fontId="42" fillId="0" borderId="7" xfId="2" applyFont="1" applyBorder="1" applyAlignment="1" applyProtection="1"/>
    <xf numFmtId="0" fontId="247" fillId="0" borderId="0" xfId="0" applyFont="1" applyBorder="1"/>
    <xf numFmtId="0" fontId="120" fillId="3" borderId="22" xfId="0" applyFont="1" applyFill="1" applyBorder="1" applyAlignment="1">
      <alignment wrapText="1"/>
    </xf>
    <xf numFmtId="0" fontId="120" fillId="3" borderId="1" xfId="0" applyFont="1" applyFill="1" applyBorder="1" applyAlignment="1">
      <alignment wrapText="1"/>
    </xf>
    <xf numFmtId="0" fontId="11" fillId="14" borderId="1" xfId="0" applyFont="1" applyFill="1" applyBorder="1" applyAlignment="1">
      <alignment wrapText="1"/>
    </xf>
    <xf numFmtId="0" fontId="8" fillId="0" borderId="22" xfId="0" applyFont="1" applyBorder="1"/>
    <xf numFmtId="0" fontId="8" fillId="0" borderId="39" xfId="0" applyFont="1" applyBorder="1"/>
    <xf numFmtId="167" fontId="129" fillId="0" borderId="1" xfId="0" applyNumberFormat="1" applyFont="1" applyBorder="1"/>
    <xf numFmtId="0" fontId="254" fillId="0" borderId="0" xfId="0" applyFont="1" applyBorder="1"/>
    <xf numFmtId="0" fontId="255" fillId="0" borderId="0" xfId="0" applyFont="1" applyBorder="1"/>
    <xf numFmtId="0" fontId="256" fillId="0" borderId="0" xfId="0" applyFont="1" applyBorder="1"/>
    <xf numFmtId="38" fontId="257" fillId="0" borderId="0" xfId="0" applyNumberFormat="1" applyFont="1" applyBorder="1"/>
    <xf numFmtId="0" fontId="257" fillId="0" borderId="0" xfId="0" applyFont="1" applyFill="1" applyBorder="1"/>
    <xf numFmtId="0" fontId="36" fillId="0" borderId="11" xfId="0" applyFont="1" applyBorder="1"/>
    <xf numFmtId="0" fontId="0" fillId="0" borderId="47" xfId="0" applyBorder="1"/>
    <xf numFmtId="0" fontId="258" fillId="0" borderId="32" xfId="0" applyFont="1" applyBorder="1"/>
    <xf numFmtId="0" fontId="0" fillId="0" borderId="81" xfId="0" applyBorder="1"/>
    <xf numFmtId="0" fontId="33" fillId="0" borderId="42" xfId="2" applyBorder="1" applyAlignment="1" applyProtection="1"/>
    <xf numFmtId="0" fontId="36" fillId="0" borderId="42" xfId="0" applyFont="1" applyBorder="1"/>
    <xf numFmtId="10" fontId="205" fillId="0" borderId="42" xfId="0" applyNumberFormat="1" applyFont="1" applyBorder="1"/>
    <xf numFmtId="44" fontId="33" fillId="0" borderId="42" xfId="2" applyNumberFormat="1" applyFont="1" applyBorder="1" applyAlignment="1" applyProtection="1"/>
    <xf numFmtId="0" fontId="248" fillId="0" borderId="42" xfId="0" applyFont="1" applyBorder="1" applyAlignment="1">
      <alignment horizontal="center"/>
    </xf>
    <xf numFmtId="0" fontId="258" fillId="0" borderId="49" xfId="0" applyFont="1" applyBorder="1"/>
    <xf numFmtId="0" fontId="248" fillId="0" borderId="0" xfId="0" applyFont="1" applyFill="1"/>
    <xf numFmtId="0" fontId="50" fillId="0" borderId="46" xfId="0" applyFont="1" applyBorder="1"/>
    <xf numFmtId="164" fontId="124" fillId="0" borderId="32" xfId="0" applyNumberFormat="1" applyFont="1" applyFill="1" applyBorder="1"/>
    <xf numFmtId="164" fontId="148" fillId="0" borderId="32" xfId="0" applyNumberFormat="1" applyFont="1" applyFill="1" applyBorder="1" applyAlignment="1">
      <alignment wrapText="1"/>
    </xf>
    <xf numFmtId="164" fontId="102" fillId="0" borderId="0" xfId="0" applyNumberFormat="1" applyFont="1" applyFill="1" applyBorder="1" applyAlignment="1">
      <alignment horizontal="center"/>
    </xf>
    <xf numFmtId="164" fontId="257" fillId="0" borderId="0" xfId="0" applyNumberFormat="1" applyFont="1" applyBorder="1"/>
    <xf numFmtId="44" fontId="6" fillId="0" borderId="0" xfId="1" applyFont="1" applyFill="1" applyBorder="1"/>
    <xf numFmtId="3" fontId="11" fillId="0" borderId="0" xfId="0" applyNumberFormat="1" applyFont="1" applyBorder="1"/>
    <xf numFmtId="0" fontId="207" fillId="23" borderId="22" xfId="0" applyFont="1" applyFill="1" applyBorder="1"/>
    <xf numFmtId="0" fontId="207" fillId="23" borderId="2" xfId="0" applyFont="1" applyFill="1" applyBorder="1"/>
    <xf numFmtId="164" fontId="207" fillId="23" borderId="10" xfId="0" applyNumberFormat="1" applyFont="1" applyFill="1" applyBorder="1"/>
    <xf numFmtId="164" fontId="207" fillId="23" borderId="9" xfId="0" applyNumberFormat="1" applyFont="1" applyFill="1" applyBorder="1"/>
    <xf numFmtId="0" fontId="186" fillId="23" borderId="22" xfId="0" applyFont="1" applyFill="1" applyBorder="1"/>
    <xf numFmtId="0" fontId="186" fillId="23" borderId="2" xfId="0" applyFont="1" applyFill="1" applyBorder="1"/>
    <xf numFmtId="164" fontId="186" fillId="23" borderId="10" xfId="0" applyNumberFormat="1" applyFont="1" applyFill="1" applyBorder="1"/>
    <xf numFmtId="164" fontId="186" fillId="23" borderId="9" xfId="0" applyNumberFormat="1" applyFont="1" applyFill="1" applyBorder="1"/>
    <xf numFmtId="0" fontId="249" fillId="0" borderId="0" xfId="0" applyFont="1" applyBorder="1"/>
    <xf numFmtId="167" fontId="249" fillId="0" borderId="0" xfId="0" applyNumberFormat="1" applyFont="1"/>
    <xf numFmtId="171" fontId="129" fillId="0" borderId="1" xfId="0" applyNumberFormat="1" applyFont="1" applyFill="1" applyBorder="1"/>
    <xf numFmtId="171" fontId="129" fillId="0" borderId="39" xfId="0" applyNumberFormat="1" applyFont="1" applyFill="1" applyBorder="1"/>
    <xf numFmtId="171" fontId="129" fillId="0" borderId="21" xfId="0" applyNumberFormat="1" applyFont="1" applyFill="1" applyBorder="1"/>
    <xf numFmtId="171" fontId="129" fillId="0" borderId="12" xfId="0" applyNumberFormat="1" applyFont="1" applyFill="1" applyBorder="1"/>
    <xf numFmtId="171" fontId="129" fillId="0" borderId="32" xfId="0" applyNumberFormat="1" applyFont="1" applyFill="1" applyBorder="1"/>
    <xf numFmtId="171" fontId="129" fillId="0" borderId="14" xfId="0" applyNumberFormat="1" applyFont="1" applyFill="1" applyBorder="1"/>
    <xf numFmtId="171" fontId="129" fillId="0" borderId="3" xfId="0" applyNumberFormat="1" applyFont="1" applyFill="1" applyBorder="1"/>
    <xf numFmtId="171" fontId="129" fillId="0" borderId="34" xfId="0" applyNumberFormat="1" applyFont="1" applyFill="1" applyBorder="1"/>
    <xf numFmtId="0" fontId="251" fillId="0" borderId="0" xfId="0" applyFont="1" applyFill="1" applyBorder="1"/>
    <xf numFmtId="0" fontId="249" fillId="0" borderId="0" xfId="0" applyFont="1" applyFill="1" applyBorder="1"/>
    <xf numFmtId="8" fontId="247" fillId="0" borderId="0" xfId="0" applyNumberFormat="1" applyFont="1" applyFill="1"/>
    <xf numFmtId="168" fontId="260" fillId="0" borderId="0" xfId="0" applyNumberFormat="1" applyFont="1" applyFill="1" applyBorder="1"/>
    <xf numFmtId="173" fontId="12" fillId="0" borderId="0" xfId="0" applyNumberFormat="1" applyFont="1" applyFill="1" applyBorder="1"/>
    <xf numFmtId="6" fontId="177" fillId="0" borderId="12" xfId="0" applyNumberFormat="1" applyFont="1" applyFill="1" applyBorder="1"/>
    <xf numFmtId="6" fontId="177" fillId="0" borderId="0" xfId="0" applyNumberFormat="1" applyFont="1" applyFill="1" applyBorder="1"/>
    <xf numFmtId="6" fontId="177" fillId="0" borderId="32" xfId="0" applyNumberFormat="1" applyFont="1" applyFill="1" applyBorder="1"/>
    <xf numFmtId="6" fontId="177" fillId="0" borderId="8" xfId="0" applyNumberFormat="1" applyFont="1" applyFill="1" applyBorder="1"/>
    <xf numFmtId="0" fontId="8" fillId="29" borderId="7" xfId="0" applyFont="1" applyFill="1" applyBorder="1"/>
    <xf numFmtId="0" fontId="8" fillId="29" borderId="0" xfId="0" applyFont="1" applyFill="1" applyBorder="1"/>
    <xf numFmtId="0" fontId="26" fillId="29" borderId="0" xfId="0" applyFont="1" applyFill="1" applyBorder="1"/>
    <xf numFmtId="0" fontId="8" fillId="29" borderId="10" xfId="0" applyFont="1" applyFill="1" applyBorder="1"/>
    <xf numFmtId="0" fontId="8" fillId="29" borderId="3" xfId="0" applyFont="1" applyFill="1" applyBorder="1"/>
    <xf numFmtId="0" fontId="26" fillId="29" borderId="3" xfId="0" applyFont="1" applyFill="1" applyBorder="1"/>
    <xf numFmtId="44" fontId="1" fillId="0" borderId="7" xfId="1" applyFont="1" applyBorder="1"/>
    <xf numFmtId="164" fontId="240" fillId="0" borderId="0" xfId="0" applyNumberFormat="1" applyFont="1" applyBorder="1"/>
    <xf numFmtId="0" fontId="193" fillId="3" borderId="23" xfId="0" applyFont="1" applyFill="1" applyBorder="1" applyAlignment="1">
      <alignment wrapText="1"/>
    </xf>
    <xf numFmtId="0" fontId="193" fillId="3" borderId="24" xfId="0" applyFont="1" applyFill="1" applyBorder="1" applyAlignment="1">
      <alignment wrapText="1"/>
    </xf>
    <xf numFmtId="0" fontId="7" fillId="5" borderId="24" xfId="0" applyFont="1" applyFill="1" applyBorder="1" applyAlignment="1">
      <alignment wrapText="1"/>
    </xf>
    <xf numFmtId="0" fontId="7" fillId="10" borderId="24" xfId="0" applyFont="1" applyFill="1" applyBorder="1" applyAlignment="1">
      <alignment wrapText="1"/>
    </xf>
    <xf numFmtId="0" fontId="7" fillId="6" borderId="24" xfId="0" applyFont="1" applyFill="1" applyBorder="1" applyAlignment="1">
      <alignment wrapText="1"/>
    </xf>
    <xf numFmtId="0" fontId="7" fillId="6" borderId="25" xfId="0" applyFont="1" applyFill="1" applyBorder="1" applyAlignment="1">
      <alignment wrapText="1"/>
    </xf>
    <xf numFmtId="10" fontId="94" fillId="0" borderId="1" xfId="0" applyNumberFormat="1" applyFont="1" applyBorder="1"/>
    <xf numFmtId="0" fontId="115" fillId="0" borderId="1" xfId="0" applyFont="1" applyBorder="1"/>
    <xf numFmtId="0" fontId="83" fillId="0" borderId="1" xfId="0" applyFont="1" applyBorder="1"/>
    <xf numFmtId="164" fontId="241" fillId="0" borderId="1" xfId="0" applyNumberFormat="1" applyFont="1" applyBorder="1"/>
    <xf numFmtId="164" fontId="241" fillId="0" borderId="39" xfId="0" applyNumberFormat="1" applyFont="1" applyBorder="1"/>
    <xf numFmtId="164" fontId="240" fillId="0" borderId="12" xfId="0" applyNumberFormat="1" applyFont="1" applyBorder="1"/>
    <xf numFmtId="164" fontId="241" fillId="0" borderId="32" xfId="0" applyNumberFormat="1" applyFont="1" applyBorder="1"/>
    <xf numFmtId="0" fontId="1" fillId="0" borderId="7" xfId="0" applyFont="1" applyBorder="1"/>
    <xf numFmtId="164" fontId="129" fillId="0" borderId="1" xfId="0" applyNumberFormat="1" applyFont="1" applyBorder="1"/>
    <xf numFmtId="164" fontId="129" fillId="0" borderId="39" xfId="0" applyNumberFormat="1" applyFont="1" applyBorder="1"/>
    <xf numFmtId="164" fontId="129" fillId="0" borderId="0" xfId="0" applyNumberFormat="1" applyFont="1" applyBorder="1"/>
    <xf numFmtId="164" fontId="129" fillId="0" borderId="3" xfId="0" applyNumberFormat="1" applyFont="1" applyBorder="1"/>
    <xf numFmtId="0" fontId="7" fillId="30" borderId="24" xfId="0" applyFont="1" applyFill="1" applyBorder="1" applyAlignment="1">
      <alignment wrapText="1"/>
    </xf>
    <xf numFmtId="0" fontId="137" fillId="0" borderId="3" xfId="0" applyFont="1" applyFill="1" applyBorder="1"/>
    <xf numFmtId="3" fontId="7" fillId="31" borderId="1" xfId="0" applyNumberFormat="1" applyFont="1" applyFill="1" applyBorder="1" applyAlignment="1">
      <alignment wrapText="1"/>
    </xf>
    <xf numFmtId="164" fontId="256" fillId="0" borderId="0" xfId="0" applyNumberFormat="1" applyFont="1" applyBorder="1"/>
    <xf numFmtId="6" fontId="256" fillId="0" borderId="0" xfId="0" applyNumberFormat="1" applyFont="1" applyBorder="1"/>
    <xf numFmtId="167" fontId="249" fillId="0" borderId="2" xfId="0" applyNumberFormat="1" applyFont="1" applyBorder="1"/>
    <xf numFmtId="167" fontId="249" fillId="0" borderId="8" xfId="0" applyNumberFormat="1" applyFont="1" applyBorder="1"/>
    <xf numFmtId="0" fontId="50" fillId="0" borderId="0" xfId="0" applyFont="1" applyFill="1" applyBorder="1"/>
    <xf numFmtId="9" fontId="82" fillId="0" borderId="0" xfId="0" applyNumberFormat="1" applyFont="1" applyFill="1" applyBorder="1"/>
    <xf numFmtId="42" fontId="129" fillId="0" borderId="35" xfId="0" applyNumberFormat="1" applyFont="1" applyFill="1" applyBorder="1" applyAlignment="1">
      <alignment horizontal="right"/>
    </xf>
    <xf numFmtId="164" fontId="7" fillId="0" borderId="37" xfId="0" applyNumberFormat="1" applyFont="1" applyBorder="1"/>
    <xf numFmtId="164" fontId="7" fillId="0" borderId="13" xfId="0" applyNumberFormat="1" applyFont="1" applyBorder="1"/>
    <xf numFmtId="164" fontId="7" fillId="0" borderId="13" xfId="0" applyNumberFormat="1" applyFont="1" applyFill="1" applyBorder="1"/>
    <xf numFmtId="164" fontId="7" fillId="0" borderId="15" xfId="0" applyNumberFormat="1" applyFont="1" applyBorder="1"/>
    <xf numFmtId="167" fontId="247" fillId="0" borderId="12" xfId="0" applyNumberFormat="1" applyFont="1" applyBorder="1"/>
    <xf numFmtId="167" fontId="247" fillId="0" borderId="14" xfId="0" applyNumberFormat="1" applyFont="1" applyBorder="1"/>
    <xf numFmtId="0" fontId="261" fillId="32" borderId="50" xfId="0" applyFont="1" applyFill="1" applyBorder="1"/>
    <xf numFmtId="0" fontId="0" fillId="32" borderId="52" xfId="0" applyFill="1" applyBorder="1"/>
    <xf numFmtId="0" fontId="7" fillId="0" borderId="0" xfId="0" applyFont="1" applyFill="1" applyBorder="1"/>
    <xf numFmtId="0" fontId="11" fillId="33" borderId="1" xfId="0" applyFont="1" applyFill="1" applyBorder="1" applyAlignment="1">
      <alignment wrapText="1"/>
    </xf>
    <xf numFmtId="3" fontId="11" fillId="33" borderId="2" xfId="0" applyNumberFormat="1" applyFont="1" applyFill="1" applyBorder="1" applyAlignment="1">
      <alignment wrapText="1"/>
    </xf>
    <xf numFmtId="0" fontId="251" fillId="33" borderId="24" xfId="0" applyFont="1" applyFill="1" applyBorder="1" applyAlignment="1">
      <alignment wrapText="1"/>
    </xf>
    <xf numFmtId="10" fontId="256" fillId="0" borderId="0" xfId="0" applyNumberFormat="1" applyFont="1" applyBorder="1"/>
    <xf numFmtId="0" fontId="242" fillId="0" borderId="0" xfId="0" applyFont="1" applyFill="1" applyBorder="1"/>
    <xf numFmtId="0" fontId="1" fillId="0" borderId="0" xfId="0" applyFont="1" applyBorder="1"/>
    <xf numFmtId="0" fontId="11" fillId="33" borderId="24" xfId="0" applyFont="1" applyFill="1" applyBorder="1" applyAlignment="1">
      <alignment wrapText="1"/>
    </xf>
    <xf numFmtId="0" fontId="262" fillId="0" borderId="0" xfId="0" applyFont="1" applyFill="1" applyBorder="1"/>
    <xf numFmtId="0" fontId="11" fillId="0" borderId="0" xfId="0" applyFont="1" applyFill="1" applyBorder="1"/>
    <xf numFmtId="164" fontId="263" fillId="0" borderId="0" xfId="0" applyNumberFormat="1" applyFont="1" applyFill="1" applyBorder="1"/>
    <xf numFmtId="0" fontId="263" fillId="0" borderId="0" xfId="0" applyFont="1" applyFill="1" applyBorder="1"/>
    <xf numFmtId="164" fontId="122" fillId="0" borderId="1" xfId="0" applyNumberFormat="1" applyFont="1" applyFill="1" applyBorder="1"/>
    <xf numFmtId="0" fontId="8" fillId="28" borderId="7" xfId="0" applyFont="1" applyFill="1" applyBorder="1"/>
    <xf numFmtId="0" fontId="16" fillId="28" borderId="0" xfId="0" applyFont="1" applyFill="1" applyBorder="1"/>
    <xf numFmtId="164" fontId="16" fillId="28" borderId="0" xfId="0" applyNumberFormat="1" applyFont="1" applyFill="1" applyBorder="1"/>
    <xf numFmtId="0" fontId="16" fillId="28" borderId="8" xfId="0" applyFont="1" applyFill="1" applyBorder="1"/>
    <xf numFmtId="0" fontId="2" fillId="28" borderId="8" xfId="0" applyFont="1" applyFill="1" applyBorder="1"/>
    <xf numFmtId="0" fontId="8" fillId="28" borderId="10" xfId="0" applyFont="1" applyFill="1" applyBorder="1"/>
    <xf numFmtId="0" fontId="2" fillId="28" borderId="9" xfId="0" applyFont="1" applyFill="1" applyBorder="1"/>
    <xf numFmtId="0" fontId="16" fillId="28" borderId="3" xfId="0" applyFont="1" applyFill="1" applyBorder="1"/>
    <xf numFmtId="0" fontId="0" fillId="0" borderId="87" xfId="0" applyBorder="1"/>
    <xf numFmtId="0" fontId="6" fillId="0" borderId="86" xfId="0" applyFont="1" applyBorder="1"/>
    <xf numFmtId="0" fontId="6" fillId="0" borderId="88" xfId="0" applyFont="1" applyBorder="1"/>
    <xf numFmtId="0" fontId="0" fillId="0" borderId="89" xfId="0" applyBorder="1"/>
    <xf numFmtId="0" fontId="0" fillId="0" borderId="90" xfId="0" applyBorder="1"/>
    <xf numFmtId="0" fontId="258" fillId="0" borderId="0" xfId="0" applyFont="1" applyBorder="1"/>
    <xf numFmtId="0" fontId="1" fillId="0" borderId="0" xfId="0" applyFont="1"/>
    <xf numFmtId="0" fontId="264" fillId="0" borderId="0" xfId="0" applyFont="1" applyBorder="1"/>
    <xf numFmtId="0" fontId="36" fillId="0" borderId="89" xfId="0" applyFont="1" applyBorder="1"/>
    <xf numFmtId="0" fontId="44" fillId="0" borderId="86" xfId="0" applyFont="1" applyFill="1" applyBorder="1"/>
    <xf numFmtId="0" fontId="265" fillId="0" borderId="86" xfId="0" applyFont="1" applyBorder="1"/>
    <xf numFmtId="0" fontId="24" fillId="0" borderId="86" xfId="0" applyFont="1" applyFill="1" applyBorder="1"/>
    <xf numFmtId="0" fontId="8" fillId="0" borderId="86" xfId="0" applyFont="1" applyBorder="1"/>
    <xf numFmtId="44" fontId="48" fillId="0" borderId="86" xfId="1" applyFont="1" applyFill="1" applyBorder="1"/>
    <xf numFmtId="0" fontId="7" fillId="25" borderId="41" xfId="0" applyFont="1" applyFill="1" applyBorder="1" applyAlignment="1">
      <alignment wrapText="1"/>
    </xf>
    <xf numFmtId="0" fontId="7" fillId="25" borderId="91" xfId="0" applyFont="1" applyFill="1" applyBorder="1" applyAlignment="1">
      <alignment wrapText="1"/>
    </xf>
    <xf numFmtId="0" fontId="242" fillId="0" borderId="86" xfId="0" applyFont="1" applyBorder="1"/>
    <xf numFmtId="0" fontId="0" fillId="0" borderId="32" xfId="0" applyBorder="1"/>
    <xf numFmtId="44" fontId="33" fillId="0" borderId="11" xfId="2" applyNumberFormat="1" applyFont="1" applyBorder="1" applyAlignment="1" applyProtection="1"/>
    <xf numFmtId="10" fontId="195" fillId="0" borderId="0" xfId="2" applyNumberFormat="1" applyFont="1" applyFill="1" applyBorder="1" applyAlignment="1" applyProtection="1"/>
    <xf numFmtId="0" fontId="161" fillId="0" borderId="0" xfId="0" applyFont="1" applyFill="1"/>
    <xf numFmtId="0" fontId="51" fillId="0" borderId="0" xfId="0" applyFont="1" applyFill="1"/>
    <xf numFmtId="0" fontId="6" fillId="0" borderId="89" xfId="0" applyFont="1" applyBorder="1"/>
    <xf numFmtId="0" fontId="118" fillId="0" borderId="89" xfId="0" applyFont="1" applyBorder="1"/>
    <xf numFmtId="0" fontId="76" fillId="0" borderId="3" xfId="0" applyFont="1" applyFill="1" applyBorder="1"/>
    <xf numFmtId="0" fontId="0" fillId="0" borderId="86" xfId="0" applyBorder="1"/>
    <xf numFmtId="164" fontId="23" fillId="0" borderId="89" xfId="0" applyNumberFormat="1" applyFont="1" applyFill="1" applyBorder="1"/>
    <xf numFmtId="44" fontId="8" fillId="0" borderId="86" xfId="1" applyFont="1" applyBorder="1"/>
    <xf numFmtId="9" fontId="254" fillId="0" borderId="0" xfId="0" applyNumberFormat="1" applyFont="1" applyBorder="1"/>
    <xf numFmtId="0" fontId="44" fillId="0" borderId="100" xfId="0" applyFont="1" applyBorder="1"/>
    <xf numFmtId="0" fontId="0" fillId="0" borderId="101" xfId="0" applyBorder="1"/>
    <xf numFmtId="0" fontId="0" fillId="0" borderId="102" xfId="0" applyBorder="1"/>
    <xf numFmtId="0" fontId="47" fillId="0" borderId="0" xfId="0" applyFont="1" applyFill="1" applyBorder="1"/>
    <xf numFmtId="0" fontId="0" fillId="0" borderId="87" xfId="0" applyFont="1" applyBorder="1"/>
    <xf numFmtId="44" fontId="6" fillId="0" borderId="86" xfId="1" applyFont="1" applyBorder="1"/>
    <xf numFmtId="0" fontId="242" fillId="0" borderId="19" xfId="0" applyFont="1" applyBorder="1"/>
    <xf numFmtId="37" fontId="122" fillId="0" borderId="101" xfId="0" applyNumberFormat="1" applyFont="1" applyBorder="1"/>
    <xf numFmtId="0" fontId="264" fillId="0" borderId="11" xfId="0" applyFont="1" applyBorder="1"/>
    <xf numFmtId="0" fontId="33" fillId="0" borderId="0" xfId="0" applyFont="1" applyFill="1" applyBorder="1"/>
    <xf numFmtId="0" fontId="259" fillId="23" borderId="0" xfId="0" applyFont="1" applyFill="1"/>
    <xf numFmtId="0" fontId="1" fillId="0" borderId="0" xfId="0" applyFont="1" applyFill="1" applyBorder="1"/>
    <xf numFmtId="164" fontId="254" fillId="0" borderId="0" xfId="0" applyNumberFormat="1" applyFont="1" applyBorder="1"/>
    <xf numFmtId="0" fontId="60" fillId="0" borderId="86" xfId="0" applyFont="1" applyFill="1" applyBorder="1"/>
    <xf numFmtId="44" fontId="6" fillId="0" borderId="86" xfId="1" applyFont="1" applyFill="1" applyBorder="1"/>
    <xf numFmtId="167" fontId="254" fillId="0" borderId="0" xfId="0" applyNumberFormat="1" applyFont="1" applyBorder="1"/>
    <xf numFmtId="0" fontId="195" fillId="32" borderId="0" xfId="2" applyFont="1" applyFill="1" applyBorder="1" applyAlignment="1" applyProtection="1"/>
    <xf numFmtId="0" fontId="184" fillId="32" borderId="0" xfId="0" applyFont="1" applyFill="1" applyBorder="1"/>
    <xf numFmtId="1" fontId="254" fillId="0" borderId="0" xfId="0" applyNumberFormat="1" applyFont="1" applyBorder="1"/>
    <xf numFmtId="0" fontId="8" fillId="0" borderId="101" xfId="0" applyFont="1" applyBorder="1"/>
    <xf numFmtId="10" fontId="10" fillId="0" borderId="101" xfId="0" applyNumberFormat="1" applyFont="1" applyBorder="1"/>
    <xf numFmtId="0" fontId="0" fillId="0" borderId="89" xfId="0" applyFont="1" applyBorder="1"/>
    <xf numFmtId="10" fontId="257" fillId="0" borderId="0" xfId="0" applyNumberFormat="1" applyFont="1" applyBorder="1"/>
    <xf numFmtId="0" fontId="1" fillId="0" borderId="61" xfId="0" applyFont="1" applyBorder="1"/>
    <xf numFmtId="0" fontId="1" fillId="0" borderId="16" xfId="0" applyFont="1" applyBorder="1"/>
    <xf numFmtId="0" fontId="1" fillId="0" borderId="56" xfId="0" applyFont="1" applyBorder="1"/>
    <xf numFmtId="44" fontId="1" fillId="0" borderId="0" xfId="1" applyFont="1" applyBorder="1"/>
    <xf numFmtId="0" fontId="265" fillId="0" borderId="0" xfId="0" applyFont="1"/>
    <xf numFmtId="0" fontId="274" fillId="0" borderId="0" xfId="0" applyFont="1"/>
    <xf numFmtId="44" fontId="44" fillId="0" borderId="100" xfId="1" applyFont="1" applyBorder="1"/>
    <xf numFmtId="14" fontId="1" fillId="0" borderId="0" xfId="0" applyNumberFormat="1" applyFont="1"/>
    <xf numFmtId="0" fontId="0" fillId="0" borderId="0" xfId="0" quotePrefix="1"/>
    <xf numFmtId="0" fontId="33" fillId="0" borderId="0" xfId="2" applyFont="1" applyFill="1" applyBorder="1" applyAlignment="1" applyProtection="1"/>
    <xf numFmtId="44" fontId="6" fillId="0" borderId="0" xfId="1" applyFont="1" applyFill="1"/>
    <xf numFmtId="0" fontId="0" fillId="23" borderId="51" xfId="0" applyFill="1" applyBorder="1"/>
    <xf numFmtId="0" fontId="87" fillId="0" borderId="0" xfId="0" applyFont="1"/>
    <xf numFmtId="14" fontId="1" fillId="0" borderId="0" xfId="0" applyNumberFormat="1" applyFont="1" applyBorder="1" applyAlignment="1">
      <alignment horizontal="right"/>
    </xf>
    <xf numFmtId="0" fontId="1" fillId="3" borderId="7" xfId="0" applyFont="1" applyFill="1" applyBorder="1"/>
    <xf numFmtId="0" fontId="65" fillId="0" borderId="0" xfId="0" applyFont="1"/>
    <xf numFmtId="0" fontId="220" fillId="0" borderId="0" xfId="2" applyFont="1" applyAlignment="1" applyProtection="1"/>
    <xf numFmtId="0" fontId="278" fillId="0" borderId="0" xfId="0" applyFont="1"/>
    <xf numFmtId="0" fontId="80" fillId="0" borderId="0" xfId="2" applyFont="1" applyAlignment="1" applyProtection="1"/>
    <xf numFmtId="0" fontId="279" fillId="0" borderId="0" xfId="0" applyFont="1"/>
    <xf numFmtId="0" fontId="280" fillId="0" borderId="0" xfId="2" applyFont="1" applyAlignment="1" applyProtection="1"/>
    <xf numFmtId="0" fontId="281" fillId="0" borderId="0" xfId="0" applyFont="1"/>
    <xf numFmtId="0" fontId="14" fillId="0" borderId="89" xfId="0" applyFont="1" applyBorder="1"/>
    <xf numFmtId="0" fontId="14" fillId="0" borderId="102" xfId="0" applyFont="1" applyBorder="1"/>
    <xf numFmtId="0" fontId="14" fillId="0" borderId="87" xfId="0" applyFont="1" applyBorder="1"/>
    <xf numFmtId="0" fontId="211" fillId="0" borderId="0" xfId="2" applyFont="1" applyFill="1" applyBorder="1" applyAlignment="1" applyProtection="1"/>
    <xf numFmtId="0" fontId="211" fillId="0" borderId="56" xfId="2" applyFont="1" applyFill="1" applyBorder="1" applyAlignment="1" applyProtection="1"/>
    <xf numFmtId="0" fontId="211" fillId="0" borderId="61" xfId="2" applyFont="1" applyFill="1" applyBorder="1" applyAlignment="1" applyProtection="1"/>
    <xf numFmtId="10" fontId="10" fillId="34" borderId="0" xfId="0" applyNumberFormat="1" applyFont="1" applyFill="1" applyBorder="1"/>
    <xf numFmtId="10" fontId="10" fillId="23" borderId="0" xfId="0" applyNumberFormat="1" applyFont="1" applyFill="1" applyBorder="1"/>
    <xf numFmtId="10" fontId="10" fillId="35" borderId="0" xfId="0" applyNumberFormat="1" applyFont="1" applyFill="1" applyBorder="1"/>
    <xf numFmtId="10" fontId="10" fillId="33" borderId="0" xfId="0" applyNumberFormat="1" applyFont="1" applyFill="1" applyBorder="1"/>
    <xf numFmtId="10" fontId="10" fillId="36" borderId="0" xfId="0" applyNumberFormat="1" applyFont="1" applyFill="1" applyBorder="1"/>
    <xf numFmtId="10" fontId="10" fillId="37" borderId="0" xfId="0" applyNumberFormat="1" applyFont="1" applyFill="1" applyBorder="1"/>
    <xf numFmtId="0" fontId="4" fillId="0" borderId="0" xfId="0" applyFont="1" applyFill="1"/>
    <xf numFmtId="0" fontId="48" fillId="0" borderId="0" xfId="0" applyFont="1" applyFill="1"/>
    <xf numFmtId="0" fontId="1" fillId="0" borderId="58" xfId="0" applyFont="1" applyBorder="1"/>
    <xf numFmtId="10" fontId="147" fillId="0" borderId="0" xfId="0" applyNumberFormat="1" applyFont="1" applyBorder="1"/>
    <xf numFmtId="6" fontId="147" fillId="0" borderId="0" xfId="0" applyNumberFormat="1" applyFont="1" applyBorder="1"/>
    <xf numFmtId="0" fontId="264" fillId="0" borderId="0" xfId="0" applyFont="1"/>
    <xf numFmtId="164" fontId="1" fillId="0" borderId="0" xfId="0" applyNumberFormat="1" applyFont="1" applyBorder="1"/>
    <xf numFmtId="0" fontId="0" fillId="34" borderId="0" xfId="0" applyFill="1"/>
    <xf numFmtId="0" fontId="278" fillId="0" borderId="0" xfId="0" applyFont="1" applyFill="1"/>
    <xf numFmtId="0" fontId="279" fillId="36" borderId="0" xfId="0" applyFont="1" applyFill="1"/>
    <xf numFmtId="0" fontId="280" fillId="36" borderId="0" xfId="2" applyFont="1" applyFill="1" applyAlignment="1" applyProtection="1"/>
    <xf numFmtId="0" fontId="279" fillId="33" borderId="0" xfId="0" applyFont="1" applyFill="1"/>
    <xf numFmtId="0" fontId="280" fillId="33" borderId="0" xfId="2" applyFont="1" applyFill="1" applyAlignment="1" applyProtection="1"/>
    <xf numFmtId="0" fontId="279" fillId="23" borderId="0" xfId="0" applyFont="1" applyFill="1"/>
    <xf numFmtId="0" fontId="280" fillId="23" borderId="0" xfId="2" applyFont="1" applyFill="1" applyAlignment="1" applyProtection="1"/>
    <xf numFmtId="0" fontId="279" fillId="35" borderId="0" xfId="0" applyFont="1" applyFill="1"/>
    <xf numFmtId="0" fontId="280" fillId="35" borderId="0" xfId="2" applyFont="1" applyFill="1" applyAlignment="1" applyProtection="1"/>
    <xf numFmtId="0" fontId="265" fillId="35" borderId="0" xfId="0" applyFont="1" applyFill="1"/>
    <xf numFmtId="44" fontId="6" fillId="0" borderId="87" xfId="1" applyFont="1" applyBorder="1"/>
    <xf numFmtId="0" fontId="1" fillId="0" borderId="86" xfId="0" applyFont="1" applyBorder="1"/>
    <xf numFmtId="0" fontId="279" fillId="37" borderId="0" xfId="0" applyFont="1" applyFill="1"/>
    <xf numFmtId="0" fontId="280" fillId="37" borderId="0" xfId="2" applyFont="1" applyFill="1" applyAlignment="1" applyProtection="1"/>
    <xf numFmtId="0" fontId="0" fillId="37" borderId="0" xfId="0" applyFill="1"/>
    <xf numFmtId="0" fontId="220" fillId="37" borderId="0" xfId="2" applyFont="1" applyFill="1" applyAlignment="1" applyProtection="1"/>
    <xf numFmtId="0" fontId="1" fillId="0" borderId="0" xfId="0" applyFont="1" applyFill="1"/>
    <xf numFmtId="0" fontId="20" fillId="0" borderId="87" xfId="0" applyFont="1" applyBorder="1"/>
    <xf numFmtId="164" fontId="26" fillId="0" borderId="87" xfId="0" applyNumberFormat="1" applyFont="1" applyBorder="1"/>
    <xf numFmtId="0" fontId="280" fillId="34" borderId="0" xfId="2" applyFont="1" applyFill="1" applyAlignment="1" applyProtection="1"/>
    <xf numFmtId="0" fontId="11" fillId="14" borderId="25" xfId="0" applyFont="1" applyFill="1" applyBorder="1" applyAlignment="1">
      <alignment wrapText="1"/>
    </xf>
    <xf numFmtId="0" fontId="1" fillId="0" borderId="56" xfId="0" applyFont="1" applyFill="1" applyBorder="1"/>
    <xf numFmtId="0" fontId="76" fillId="0" borderId="58" xfId="0" applyFont="1" applyFill="1" applyBorder="1"/>
    <xf numFmtId="0" fontId="0" fillId="0" borderId="58" xfId="0" applyFont="1" applyFill="1" applyBorder="1"/>
    <xf numFmtId="0" fontId="10" fillId="0" borderId="87" xfId="0" applyFont="1" applyFill="1" applyBorder="1"/>
    <xf numFmtId="164" fontId="23" fillId="0" borderId="87" xfId="0" applyNumberFormat="1" applyFont="1" applyBorder="1"/>
    <xf numFmtId="6" fontId="191" fillId="0" borderId="112" xfId="0" applyNumberFormat="1" applyFont="1" applyBorder="1"/>
    <xf numFmtId="6" fontId="191" fillId="0" borderId="113" xfId="0" applyNumberFormat="1" applyFont="1" applyBorder="1"/>
    <xf numFmtId="6" fontId="191" fillId="0" borderId="114" xfId="0" applyNumberFormat="1" applyFont="1" applyBorder="1"/>
    <xf numFmtId="0" fontId="275" fillId="0" borderId="0" xfId="0" applyFont="1" applyFill="1"/>
    <xf numFmtId="0" fontId="2" fillId="0" borderId="86" xfId="0" applyFont="1" applyBorder="1"/>
    <xf numFmtId="0" fontId="26" fillId="0" borderId="87" xfId="0" applyFont="1" applyFill="1" applyBorder="1"/>
    <xf numFmtId="164" fontId="2" fillId="0" borderId="87" xfId="0" applyNumberFormat="1" applyFont="1" applyBorder="1"/>
    <xf numFmtId="0" fontId="44" fillId="0" borderId="86" xfId="0" applyFont="1" applyBorder="1"/>
    <xf numFmtId="164" fontId="23" fillId="0" borderId="113" xfId="0" applyNumberFormat="1" applyFont="1" applyBorder="1"/>
    <xf numFmtId="164" fontId="23" fillId="0" borderId="32" xfId="0" applyNumberFormat="1" applyFont="1" applyBorder="1"/>
    <xf numFmtId="0" fontId="132" fillId="0" borderId="0" xfId="0" applyFont="1" applyFill="1" applyBorder="1"/>
    <xf numFmtId="0" fontId="9" fillId="0" borderId="0" xfId="0" applyFont="1" applyFill="1" applyBorder="1"/>
    <xf numFmtId="0" fontId="259" fillId="0" borderId="0" xfId="0" applyFont="1"/>
    <xf numFmtId="0" fontId="191" fillId="0" borderId="86" xfId="0" applyFont="1" applyBorder="1"/>
    <xf numFmtId="0" fontId="16" fillId="0" borderId="101" xfId="0" applyFont="1" applyBorder="1"/>
    <xf numFmtId="164" fontId="16" fillId="0" borderId="101" xfId="0" applyNumberFormat="1" applyFont="1" applyBorder="1"/>
    <xf numFmtId="164" fontId="12" fillId="0" borderId="101" xfId="0" applyNumberFormat="1" applyFont="1" applyBorder="1"/>
    <xf numFmtId="165" fontId="16" fillId="0" borderId="101" xfId="0" applyNumberFormat="1" applyFont="1" applyBorder="1"/>
    <xf numFmtId="164" fontId="16" fillId="0" borderId="102" xfId="0" applyNumberFormat="1" applyFont="1" applyBorder="1"/>
    <xf numFmtId="165" fontId="16" fillId="0" borderId="0" xfId="0" applyNumberFormat="1" applyFont="1" applyBorder="1"/>
    <xf numFmtId="164" fontId="16" fillId="0" borderId="87" xfId="0" applyNumberFormat="1" applyFont="1" applyBorder="1"/>
    <xf numFmtId="10" fontId="12" fillId="0" borderId="0" xfId="0" applyNumberFormat="1" applyFont="1" applyBorder="1"/>
    <xf numFmtId="10" fontId="12" fillId="0" borderId="87" xfId="0" applyNumberFormat="1" applyFont="1" applyBorder="1"/>
    <xf numFmtId="0" fontId="0" fillId="0" borderId="87" xfId="0" applyFill="1" applyBorder="1"/>
    <xf numFmtId="0" fontId="122" fillId="0" borderId="87" xfId="0" applyFont="1" applyBorder="1"/>
    <xf numFmtId="0" fontId="33" fillId="0" borderId="0" xfId="2" applyAlignment="1" applyProtection="1">
      <alignment vertical="center"/>
    </xf>
    <xf numFmtId="164" fontId="1" fillId="0" borderId="12" xfId="0" applyNumberFormat="1" applyFont="1" applyBorder="1"/>
    <xf numFmtId="167" fontId="1" fillId="0" borderId="0" xfId="0" applyNumberFormat="1" applyFont="1" applyBorder="1"/>
    <xf numFmtId="167" fontId="1" fillId="0" borderId="87" xfId="0" applyNumberFormat="1" applyFont="1" applyBorder="1"/>
    <xf numFmtId="0" fontId="6" fillId="0" borderId="115" xfId="0" applyFont="1" applyBorder="1" applyAlignment="1"/>
    <xf numFmtId="0" fontId="6" fillId="0" borderId="116" xfId="0" applyFont="1" applyBorder="1" applyAlignment="1">
      <alignment wrapText="1"/>
    </xf>
    <xf numFmtId="0" fontId="6" fillId="0" borderId="117" xfId="0" applyFont="1" applyBorder="1" applyAlignment="1">
      <alignment wrapText="1"/>
    </xf>
    <xf numFmtId="164" fontId="6" fillId="0" borderId="118" xfId="0" applyNumberFormat="1" applyFont="1" applyBorder="1" applyAlignment="1">
      <alignment wrapText="1"/>
    </xf>
    <xf numFmtId="164" fontId="6" fillId="0" borderId="117" xfId="0" applyNumberFormat="1" applyFont="1" applyBorder="1" applyAlignment="1">
      <alignment wrapText="1"/>
    </xf>
    <xf numFmtId="0" fontId="6" fillId="0" borderId="119" xfId="0" applyFont="1" applyBorder="1" applyAlignment="1">
      <alignment wrapText="1"/>
    </xf>
    <xf numFmtId="10" fontId="6" fillId="0" borderId="117" xfId="0" applyNumberFormat="1" applyFont="1" applyBorder="1" applyAlignment="1">
      <alignment wrapText="1"/>
    </xf>
    <xf numFmtId="10" fontId="6" fillId="0" borderId="120" xfId="0" applyNumberFormat="1" applyFont="1" applyBorder="1" applyAlignment="1">
      <alignment wrapText="1"/>
    </xf>
    <xf numFmtId="0" fontId="0" fillId="0" borderId="0" xfId="0" applyFont="1" applyAlignment="1">
      <alignment vertical="center"/>
    </xf>
    <xf numFmtId="0" fontId="172" fillId="23" borderId="50" xfId="0" applyFont="1" applyFill="1" applyBorder="1"/>
    <xf numFmtId="0" fontId="0" fillId="23" borderId="52" xfId="0" applyFill="1" applyBorder="1"/>
    <xf numFmtId="0" fontId="211" fillId="0" borderId="0" xfId="2" applyFont="1" applyAlignment="1" applyProtection="1"/>
    <xf numFmtId="0" fontId="285" fillId="0" borderId="0" xfId="0" applyFont="1" applyBorder="1"/>
    <xf numFmtId="0" fontId="211" fillId="0" borderId="0" xfId="2" applyFont="1" applyBorder="1" applyAlignment="1" applyProtection="1"/>
    <xf numFmtId="0" fontId="29" fillId="0" borderId="0" xfId="0" applyFont="1"/>
    <xf numFmtId="164" fontId="7" fillId="0" borderId="0" xfId="0" applyNumberFormat="1" applyFont="1" applyBorder="1"/>
    <xf numFmtId="164" fontId="29" fillId="0" borderId="8" xfId="0" applyNumberFormat="1" applyFont="1" applyBorder="1"/>
    <xf numFmtId="0" fontId="195" fillId="0" borderId="103" xfId="2" applyFont="1" applyBorder="1" applyAlignment="1" applyProtection="1"/>
    <xf numFmtId="0" fontId="211" fillId="0" borderId="103" xfId="2" applyFont="1" applyBorder="1" applyAlignment="1" applyProtection="1"/>
    <xf numFmtId="0" fontId="195" fillId="0" borderId="5" xfId="2" applyFont="1" applyBorder="1" applyAlignment="1" applyProtection="1"/>
    <xf numFmtId="0" fontId="195" fillId="0" borderId="109" xfId="2" applyFont="1" applyBorder="1" applyAlignment="1" applyProtection="1"/>
    <xf numFmtId="0" fontId="7" fillId="35" borderId="0" xfId="0" applyFont="1" applyFill="1" applyBorder="1"/>
    <xf numFmtId="0" fontId="0" fillId="35" borderId="0" xfId="0" applyFill="1" applyBorder="1"/>
    <xf numFmtId="167" fontId="94" fillId="0" borderId="0" xfId="0" applyNumberFormat="1" applyFont="1" applyBorder="1" applyAlignment="1">
      <alignment horizontal="left" indent="1"/>
    </xf>
    <xf numFmtId="6" fontId="127" fillId="0" borderId="0" xfId="0" applyNumberFormat="1" applyFont="1" applyFill="1" applyBorder="1"/>
    <xf numFmtId="0" fontId="126" fillId="0" borderId="0" xfId="0" applyFont="1" applyFill="1" applyBorder="1"/>
    <xf numFmtId="0" fontId="31" fillId="0" borderId="0" xfId="0" applyFont="1" applyFill="1" applyBorder="1"/>
    <xf numFmtId="0" fontId="122" fillId="0" borderId="86" xfId="0" applyFont="1" applyBorder="1"/>
    <xf numFmtId="44" fontId="6" fillId="3" borderId="23" xfId="1" applyFont="1" applyFill="1" applyBorder="1" applyAlignment="1">
      <alignment wrapText="1"/>
    </xf>
    <xf numFmtId="44" fontId="6" fillId="21" borderId="24" xfId="1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8" fillId="0" borderId="100" xfId="0" applyFont="1" applyBorder="1"/>
    <xf numFmtId="10" fontId="257" fillId="0" borderId="101" xfId="0" applyNumberFormat="1" applyFont="1" applyBorder="1"/>
    <xf numFmtId="0" fontId="14" fillId="0" borderId="101" xfId="0" applyFont="1" applyBorder="1"/>
    <xf numFmtId="10" fontId="257" fillId="0" borderId="89" xfId="0" applyNumberFormat="1" applyFont="1" applyBorder="1"/>
    <xf numFmtId="6" fontId="33" fillId="0" borderId="0" xfId="2" applyNumberFormat="1" applyFill="1" applyBorder="1" applyAlignment="1" applyProtection="1"/>
    <xf numFmtId="0" fontId="42" fillId="0" borderId="0" xfId="2" applyFont="1" applyBorder="1" applyAlignment="1" applyProtection="1"/>
    <xf numFmtId="0" fontId="109" fillId="0" borderId="86" xfId="0" applyFont="1" applyBorder="1"/>
    <xf numFmtId="0" fontId="100" fillId="0" borderId="101" xfId="0" applyFont="1" applyBorder="1"/>
    <xf numFmtId="0" fontId="100" fillId="0" borderId="89" xfId="0" applyFont="1" applyBorder="1"/>
    <xf numFmtId="0" fontId="279" fillId="0" borderId="0" xfId="0" applyFont="1" applyFill="1"/>
    <xf numFmtId="0" fontId="267" fillId="0" borderId="0" xfId="0" applyFont="1" applyFill="1"/>
    <xf numFmtId="0" fontId="99" fillId="0" borderId="0" xfId="0" applyFont="1" applyFill="1"/>
    <xf numFmtId="0" fontId="1" fillId="0" borderId="0" xfId="0" applyFont="1" applyFill="1" applyBorder="1" applyProtection="1">
      <protection locked="0"/>
    </xf>
    <xf numFmtId="0" fontId="1" fillId="0" borderId="88" xfId="0" applyFont="1" applyBorder="1"/>
    <xf numFmtId="0" fontId="1" fillId="0" borderId="89" xfId="0" applyFont="1" applyBorder="1"/>
    <xf numFmtId="164" fontId="6" fillId="0" borderId="89" xfId="0" applyNumberFormat="1" applyFont="1" applyBorder="1"/>
    <xf numFmtId="164" fontId="254" fillId="0" borderId="121" xfId="0" applyNumberFormat="1" applyFont="1" applyBorder="1"/>
    <xf numFmtId="167" fontId="254" fillId="0" borderId="89" xfId="0" applyNumberFormat="1" applyFont="1" applyBorder="1"/>
    <xf numFmtId="164" fontId="254" fillId="0" borderId="89" xfId="0" applyNumberFormat="1" applyFont="1" applyBorder="1"/>
    <xf numFmtId="0" fontId="1" fillId="0" borderId="100" xfId="0" applyFont="1" applyBorder="1"/>
    <xf numFmtId="0" fontId="1" fillId="0" borderId="101" xfId="0" applyFont="1" applyBorder="1"/>
    <xf numFmtId="164" fontId="1" fillId="0" borderId="101" xfId="0" applyNumberFormat="1" applyFont="1" applyBorder="1"/>
    <xf numFmtId="167" fontId="1" fillId="0" borderId="101" xfId="0" applyNumberFormat="1" applyFont="1" applyBorder="1"/>
    <xf numFmtId="167" fontId="1" fillId="0" borderId="102" xfId="0" applyNumberFormat="1" applyFont="1" applyBorder="1"/>
    <xf numFmtId="0" fontId="1" fillId="0" borderId="19" xfId="0" applyFont="1" applyBorder="1"/>
    <xf numFmtId="164" fontId="1" fillId="0" borderId="19" xfId="0" applyNumberFormat="1" applyFont="1" applyBorder="1"/>
    <xf numFmtId="164" fontId="1" fillId="0" borderId="122" xfId="0" applyNumberFormat="1" applyFont="1" applyBorder="1"/>
    <xf numFmtId="167" fontId="1" fillId="0" borderId="19" xfId="0" applyNumberFormat="1" applyFont="1" applyBorder="1"/>
    <xf numFmtId="0" fontId="11" fillId="3" borderId="10" xfId="0" applyFont="1" applyFill="1" applyBorder="1" applyAlignment="1">
      <alignment wrapText="1"/>
    </xf>
    <xf numFmtId="0" fontId="11" fillId="3" borderId="3" xfId="0" applyFont="1" applyFill="1" applyBorder="1" applyAlignment="1">
      <alignment wrapText="1"/>
    </xf>
    <xf numFmtId="0" fontId="11" fillId="5" borderId="3" xfId="0" applyFont="1" applyFill="1" applyBorder="1" applyAlignment="1">
      <alignment wrapText="1"/>
    </xf>
    <xf numFmtId="3" fontId="11" fillId="5" borderId="3" xfId="0" applyNumberFormat="1" applyFont="1" applyFill="1" applyBorder="1" applyAlignment="1">
      <alignment wrapText="1"/>
    </xf>
    <xf numFmtId="0" fontId="11" fillId="15" borderId="3" xfId="0" applyFont="1" applyFill="1" applyBorder="1" applyAlignment="1">
      <alignment wrapText="1"/>
    </xf>
    <xf numFmtId="0" fontId="94" fillId="15" borderId="3" xfId="0" applyFont="1" applyFill="1" applyBorder="1" applyAlignment="1">
      <alignment wrapText="1"/>
    </xf>
    <xf numFmtId="164" fontId="8" fillId="0" borderId="101" xfId="0" applyNumberFormat="1" applyFont="1" applyBorder="1"/>
    <xf numFmtId="164" fontId="8" fillId="0" borderId="102" xfId="0" applyNumberFormat="1" applyFont="1" applyBorder="1"/>
    <xf numFmtId="164" fontId="8" fillId="0" borderId="87" xfId="0" applyNumberFormat="1" applyFont="1" applyBorder="1"/>
    <xf numFmtId="164" fontId="20" fillId="0" borderId="87" xfId="0" applyNumberFormat="1" applyFont="1" applyBorder="1"/>
    <xf numFmtId="0" fontId="86" fillId="0" borderId="86" xfId="0" applyFont="1" applyBorder="1"/>
    <xf numFmtId="0" fontId="139" fillId="0" borderId="86" xfId="0" applyFont="1" applyBorder="1"/>
    <xf numFmtId="0" fontId="139" fillId="0" borderId="87" xfId="0" applyFont="1" applyBorder="1"/>
    <xf numFmtId="0" fontId="139" fillId="0" borderId="86" xfId="0" applyFont="1" applyFill="1" applyBorder="1"/>
    <xf numFmtId="0" fontId="139" fillId="0" borderId="87" xfId="0" applyFont="1" applyFill="1" applyBorder="1"/>
    <xf numFmtId="164" fontId="29" fillId="0" borderId="86" xfId="0" applyNumberFormat="1" applyFont="1" applyFill="1" applyBorder="1" applyAlignment="1"/>
    <xf numFmtId="164" fontId="47" fillId="0" borderId="87" xfId="0" applyNumberFormat="1" applyFont="1" applyFill="1" applyBorder="1" applyAlignment="1">
      <alignment horizontal="center"/>
    </xf>
    <xf numFmtId="0" fontId="7" fillId="0" borderId="10" xfId="0" applyFont="1" applyBorder="1"/>
    <xf numFmtId="0" fontId="140" fillId="0" borderId="3" xfId="0" applyFont="1" applyBorder="1"/>
    <xf numFmtId="164" fontId="86" fillId="0" borderId="3" xfId="0" applyNumberFormat="1" applyFont="1" applyBorder="1" applyAlignment="1">
      <alignment wrapText="1"/>
    </xf>
    <xf numFmtId="164" fontId="131" fillId="0" borderId="3" xfId="0" applyNumberFormat="1" applyFont="1" applyBorder="1" applyAlignment="1">
      <alignment horizontal="center"/>
    </xf>
    <xf numFmtId="0" fontId="139" fillId="0" borderId="3" xfId="0" applyFont="1" applyBorder="1"/>
    <xf numFmtId="0" fontId="287" fillId="0" borderId="0" xfId="0" applyFont="1" applyFill="1" applyBorder="1"/>
    <xf numFmtId="6" fontId="122" fillId="0" borderId="1" xfId="0" applyNumberFormat="1" applyFont="1" applyBorder="1"/>
    <xf numFmtId="6" fontId="47" fillId="0" borderId="0" xfId="0" applyNumberFormat="1" applyFont="1" applyFill="1" applyBorder="1"/>
    <xf numFmtId="6" fontId="16" fillId="0" borderId="36" xfId="0" applyNumberFormat="1" applyFont="1" applyBorder="1"/>
    <xf numFmtId="0" fontId="1" fillId="0" borderId="7" xfId="0" applyFont="1" applyFill="1" applyBorder="1"/>
    <xf numFmtId="0" fontId="257" fillId="0" borderId="0" xfId="0" applyFont="1" applyBorder="1"/>
    <xf numFmtId="0" fontId="92" fillId="0" borderId="0" xfId="0" applyFont="1" applyFill="1" applyBorder="1"/>
    <xf numFmtId="14" fontId="0" fillId="0" borderId="0" xfId="0" applyNumberFormat="1"/>
    <xf numFmtId="14" fontId="6" fillId="0" borderId="0" xfId="0" applyNumberFormat="1" applyFont="1"/>
    <xf numFmtId="164" fontId="240" fillId="0" borderId="8" xfId="0" applyNumberFormat="1" applyFont="1" applyBorder="1"/>
    <xf numFmtId="164" fontId="240" fillId="0" borderId="9" xfId="0" applyNumberFormat="1" applyFont="1" applyBorder="1"/>
    <xf numFmtId="164" fontId="241" fillId="0" borderId="32" xfId="0" applyNumberFormat="1" applyFont="1" applyFill="1" applyBorder="1"/>
    <xf numFmtId="164" fontId="240" fillId="0" borderId="8" xfId="0" applyNumberFormat="1" applyFont="1" applyFill="1" applyBorder="1"/>
    <xf numFmtId="164" fontId="240" fillId="0" borderId="89" xfId="0" applyNumberFormat="1" applyFont="1" applyBorder="1"/>
    <xf numFmtId="44" fontId="1" fillId="0" borderId="86" xfId="1" applyFont="1" applyBorder="1"/>
    <xf numFmtId="44" fontId="60" fillId="0" borderId="86" xfId="1" applyFont="1" applyBorder="1"/>
    <xf numFmtId="9" fontId="257" fillId="0" borderId="0" xfId="0" applyNumberFormat="1" applyFont="1" applyBorder="1"/>
    <xf numFmtId="167" fontId="129" fillId="0" borderId="32" xfId="0" applyNumberFormat="1" applyFont="1" applyBorder="1"/>
    <xf numFmtId="167" fontId="129" fillId="0" borderId="34" xfId="0" applyNumberFormat="1" applyFont="1" applyBorder="1"/>
    <xf numFmtId="9" fontId="256" fillId="0" borderId="0" xfId="0" applyNumberFormat="1" applyFont="1"/>
    <xf numFmtId="9" fontId="89" fillId="0" borderId="0" xfId="0" applyNumberFormat="1" applyFont="1" applyBorder="1"/>
    <xf numFmtId="10" fontId="191" fillId="0" borderId="89" xfId="0" applyNumberFormat="1" applyFont="1" applyBorder="1"/>
    <xf numFmtId="167" fontId="247" fillId="0" borderId="112" xfId="0" applyNumberFormat="1" applyFont="1" applyBorder="1"/>
    <xf numFmtId="164" fontId="129" fillId="0" borderId="101" xfId="0" applyNumberFormat="1" applyFont="1" applyBorder="1"/>
    <xf numFmtId="167" fontId="129" fillId="0" borderId="101" xfId="0" applyNumberFormat="1" applyFont="1" applyBorder="1"/>
    <xf numFmtId="164" fontId="129" fillId="0" borderId="89" xfId="0" applyNumberFormat="1" applyFont="1" applyBorder="1"/>
    <xf numFmtId="167" fontId="129" fillId="0" borderId="89" xfId="0" applyNumberFormat="1" applyFont="1" applyBorder="1"/>
    <xf numFmtId="164" fontId="129" fillId="0" borderId="0" xfId="0" applyNumberFormat="1" applyFont="1" applyFill="1" applyBorder="1"/>
    <xf numFmtId="164" fontId="247" fillId="0" borderId="32" xfId="0" applyNumberFormat="1" applyFont="1" applyFill="1" applyBorder="1"/>
    <xf numFmtId="6" fontId="12" fillId="0" borderId="12" xfId="0" applyNumberFormat="1" applyFont="1" applyFill="1" applyBorder="1"/>
    <xf numFmtId="0" fontId="289" fillId="23" borderId="124" xfId="0" applyFont="1" applyFill="1" applyBorder="1"/>
    <xf numFmtId="0" fontId="291" fillId="23" borderId="125" xfId="0" applyFont="1" applyFill="1" applyBorder="1"/>
    <xf numFmtId="0" fontId="289" fillId="23" borderId="125" xfId="0" applyFont="1" applyFill="1" applyBorder="1"/>
    <xf numFmtId="0" fontId="291" fillId="23" borderId="126" xfId="0" applyFont="1" applyFill="1" applyBorder="1"/>
    <xf numFmtId="0" fontId="0" fillId="23" borderId="125" xfId="0" applyFill="1" applyBorder="1"/>
    <xf numFmtId="0" fontId="0" fillId="23" borderId="126" xfId="0" applyFill="1" applyBorder="1"/>
    <xf numFmtId="164" fontId="148" fillId="23" borderId="126" xfId="0" applyNumberFormat="1" applyFont="1" applyFill="1" applyBorder="1" applyAlignment="1">
      <alignment wrapText="1"/>
    </xf>
    <xf numFmtId="0" fontId="112" fillId="0" borderId="0" xfId="0" applyFont="1" applyFill="1" applyBorder="1"/>
    <xf numFmtId="0" fontId="112" fillId="0" borderId="0" xfId="0" applyFont="1" applyFill="1"/>
    <xf numFmtId="10" fontId="102" fillId="0" borderId="0" xfId="0" applyNumberFormat="1" applyFont="1" applyBorder="1"/>
    <xf numFmtId="6" fontId="102" fillId="0" borderId="0" xfId="0" applyNumberFormat="1" applyFont="1" applyBorder="1"/>
    <xf numFmtId="0" fontId="259" fillId="0" borderId="0" xfId="0" applyFont="1" applyBorder="1"/>
    <xf numFmtId="164" fontId="191" fillId="0" borderId="113" xfId="0" applyNumberFormat="1" applyFont="1" applyBorder="1"/>
    <xf numFmtId="164" fontId="191" fillId="0" borderId="112" xfId="0" applyNumberFormat="1" applyFont="1" applyBorder="1"/>
    <xf numFmtId="0" fontId="44" fillId="23" borderId="0" xfId="0" applyFont="1" applyFill="1"/>
    <xf numFmtId="0" fontId="44" fillId="23" borderId="0" xfId="0" applyFont="1" applyFill="1" applyBorder="1"/>
    <xf numFmtId="44" fontId="103" fillId="23" borderId="0" xfId="1" applyFont="1" applyFill="1" applyBorder="1"/>
    <xf numFmtId="0" fontId="103" fillId="23" borderId="0" xfId="0" applyFont="1" applyFill="1" applyBorder="1"/>
    <xf numFmtId="0" fontId="292" fillId="23" borderId="0" xfId="0" applyFont="1" applyFill="1" applyBorder="1" applyAlignment="1">
      <alignment horizontal="center"/>
    </xf>
    <xf numFmtId="0" fontId="89" fillId="23" borderId="0" xfId="0" applyFont="1" applyFill="1" applyBorder="1"/>
    <xf numFmtId="0" fontId="133" fillId="23" borderId="0" xfId="0" applyFont="1" applyFill="1" applyBorder="1"/>
    <xf numFmtId="10" fontId="248" fillId="0" borderId="0" xfId="0" applyNumberFormat="1" applyFont="1" applyBorder="1" applyAlignment="1">
      <alignment horizontal="center" wrapText="1"/>
    </xf>
    <xf numFmtId="0" fontId="246" fillId="0" borderId="0" xfId="0" applyFont="1" applyBorder="1" applyAlignment="1">
      <alignment horizontal="center"/>
    </xf>
    <xf numFmtId="6" fontId="248" fillId="0" borderId="0" xfId="0" applyNumberFormat="1" applyFont="1" applyBorder="1" applyAlignment="1">
      <alignment horizontal="center"/>
    </xf>
    <xf numFmtId="0" fontId="251" fillId="0" borderId="0" xfId="0" applyFont="1" applyAlignment="1">
      <alignment wrapText="1"/>
    </xf>
    <xf numFmtId="0" fontId="205" fillId="0" borderId="0" xfId="0" applyFont="1" applyBorder="1" applyAlignment="1">
      <alignment wrapText="1"/>
    </xf>
    <xf numFmtId="10" fontId="0" fillId="0" borderId="0" xfId="0" applyNumberFormat="1" applyBorder="1"/>
    <xf numFmtId="6" fontId="0" fillId="0" borderId="87" xfId="0" applyNumberFormat="1" applyBorder="1"/>
    <xf numFmtId="10" fontId="0" fillId="0" borderId="89" xfId="0" applyNumberFormat="1" applyBorder="1"/>
    <xf numFmtId="6" fontId="0" fillId="0" borderId="90" xfId="0" applyNumberFormat="1" applyBorder="1"/>
    <xf numFmtId="0" fontId="251" fillId="38" borderId="116" xfId="0" applyFont="1" applyFill="1" applyBorder="1" applyAlignment="1">
      <alignment wrapText="1"/>
    </xf>
    <xf numFmtId="0" fontId="251" fillId="35" borderId="117" xfId="0" applyFont="1" applyFill="1" applyBorder="1" applyAlignment="1">
      <alignment wrapText="1"/>
    </xf>
    <xf numFmtId="0" fontId="251" fillId="33" borderId="117" xfId="0" applyFont="1" applyFill="1" applyBorder="1" applyAlignment="1">
      <alignment wrapText="1"/>
    </xf>
    <xf numFmtId="0" fontId="251" fillId="34" borderId="117" xfId="0" applyFont="1" applyFill="1" applyBorder="1" applyAlignment="1">
      <alignment wrapText="1"/>
    </xf>
    <xf numFmtId="0" fontId="0" fillId="0" borderId="127" xfId="0" applyBorder="1"/>
    <xf numFmtId="0" fontId="0" fillId="0" borderId="128" xfId="0" applyBorder="1"/>
    <xf numFmtId="0" fontId="0" fillId="0" borderId="129" xfId="0" applyBorder="1"/>
    <xf numFmtId="10" fontId="12" fillId="0" borderId="87" xfId="0" applyNumberFormat="1" applyFont="1" applyFill="1" applyBorder="1"/>
    <xf numFmtId="0" fontId="1" fillId="0" borderId="86" xfId="0" applyFont="1" applyFill="1" applyBorder="1"/>
    <xf numFmtId="164" fontId="240" fillId="0" borderId="121" xfId="0" applyNumberFormat="1" applyFont="1" applyBorder="1"/>
    <xf numFmtId="164" fontId="241" fillId="0" borderId="114" xfId="0" applyNumberFormat="1" applyFont="1" applyBorder="1"/>
    <xf numFmtId="6" fontId="129" fillId="0" borderId="35" xfId="0" applyNumberFormat="1" applyFont="1" applyBorder="1" applyAlignment="1">
      <alignment horizontal="right"/>
    </xf>
    <xf numFmtId="6" fontId="129" fillId="0" borderId="36" xfId="0" applyNumberFormat="1" applyFont="1" applyBorder="1" applyAlignment="1">
      <alignment horizontal="right"/>
    </xf>
    <xf numFmtId="6" fontId="0" fillId="0" borderId="112" xfId="0" applyNumberFormat="1" applyBorder="1"/>
    <xf numFmtId="6" fontId="0" fillId="0" borderId="12" xfId="0" applyNumberFormat="1" applyBorder="1"/>
    <xf numFmtId="6" fontId="0" fillId="0" borderId="121" xfId="0" applyNumberFormat="1" applyBorder="1"/>
    <xf numFmtId="164" fontId="0" fillId="0" borderId="112" xfId="0" applyNumberFormat="1" applyBorder="1"/>
    <xf numFmtId="6" fontId="0" fillId="0" borderId="102" xfId="0" applyNumberFormat="1" applyBorder="1"/>
    <xf numFmtId="164" fontId="0" fillId="0" borderId="121" xfId="0" applyNumberFormat="1" applyBorder="1"/>
    <xf numFmtId="0" fontId="251" fillId="39" borderId="117" xfId="0" applyFont="1" applyFill="1" applyBorder="1" applyAlignment="1">
      <alignment wrapText="1"/>
    </xf>
    <xf numFmtId="0" fontId="251" fillId="40" borderId="117" xfId="0" applyFont="1" applyFill="1" applyBorder="1" applyAlignment="1">
      <alignment wrapText="1"/>
    </xf>
    <xf numFmtId="0" fontId="251" fillId="41" borderId="120" xfId="0" applyFont="1" applyFill="1" applyBorder="1" applyAlignment="1">
      <alignment wrapText="1"/>
    </xf>
    <xf numFmtId="0" fontId="264" fillId="0" borderId="100" xfId="0" applyFont="1" applyBorder="1"/>
    <xf numFmtId="0" fontId="89" fillId="0" borderId="101" xfId="0" applyFont="1" applyBorder="1"/>
    <xf numFmtId="0" fontId="133" fillId="0" borderId="101" xfId="0" applyFont="1" applyBorder="1"/>
    <xf numFmtId="0" fontId="113" fillId="0" borderId="102" xfId="0" applyFont="1" applyBorder="1"/>
    <xf numFmtId="0" fontId="113" fillId="0" borderId="87" xfId="0" applyFont="1" applyBorder="1"/>
    <xf numFmtId="0" fontId="259" fillId="0" borderId="86" xfId="0" applyFont="1" applyBorder="1"/>
    <xf numFmtId="0" fontId="246" fillId="0" borderId="86" xfId="0" applyFont="1" applyFill="1" applyBorder="1" applyAlignment="1"/>
    <xf numFmtId="0" fontId="251" fillId="0" borderId="0" xfId="0" applyFont="1" applyBorder="1" applyAlignment="1">
      <alignment wrapText="1"/>
    </xf>
    <xf numFmtId="0" fontId="205" fillId="0" borderId="87" xfId="0" applyFont="1" applyBorder="1" applyAlignment="1">
      <alignment wrapText="1"/>
    </xf>
    <xf numFmtId="0" fontId="89" fillId="0" borderId="89" xfId="0" applyFont="1" applyBorder="1"/>
    <xf numFmtId="0" fontId="133" fillId="0" borderId="89" xfId="0" applyFont="1" applyBorder="1"/>
    <xf numFmtId="0" fontId="113" fillId="0" borderId="90" xfId="0" applyFont="1" applyBorder="1"/>
    <xf numFmtId="0" fontId="0" fillId="0" borderId="101" xfId="0" applyFill="1" applyBorder="1"/>
    <xf numFmtId="0" fontId="0" fillId="0" borderId="102" xfId="0" applyFill="1" applyBorder="1"/>
    <xf numFmtId="0" fontId="230" fillId="0" borderId="87" xfId="0" applyFont="1" applyBorder="1"/>
    <xf numFmtId="0" fontId="60" fillId="0" borderId="0" xfId="0" applyFont="1"/>
    <xf numFmtId="0" fontId="1" fillId="0" borderId="10" xfId="0" applyFont="1" applyBorder="1"/>
    <xf numFmtId="0" fontId="1" fillId="0" borderId="3" xfId="0" applyFont="1" applyBorder="1"/>
    <xf numFmtId="0" fontId="242" fillId="0" borderId="8" xfId="0" applyFont="1" applyBorder="1"/>
    <xf numFmtId="9" fontId="294" fillId="0" borderId="0" xfId="0" applyNumberFormat="1" applyFont="1" applyBorder="1"/>
    <xf numFmtId="0" fontId="244" fillId="0" borderId="0" xfId="0" applyFont="1" applyBorder="1"/>
    <xf numFmtId="44" fontId="58" fillId="0" borderId="86" xfId="1" applyFont="1" applyBorder="1"/>
    <xf numFmtId="44" fontId="138" fillId="0" borderId="0" xfId="1" applyFont="1" applyBorder="1"/>
    <xf numFmtId="0" fontId="295" fillId="0" borderId="0" xfId="0" applyFont="1" applyBorder="1"/>
    <xf numFmtId="0" fontId="259" fillId="0" borderId="0" xfId="0" applyFont="1" applyFill="1"/>
    <xf numFmtId="164" fontId="1" fillId="0" borderId="0" xfId="0" applyNumberFormat="1" applyFont="1" applyFill="1" applyBorder="1"/>
    <xf numFmtId="10" fontId="89" fillId="0" borderId="0" xfId="0" applyNumberFormat="1" applyFont="1" applyBorder="1"/>
    <xf numFmtId="167" fontId="6" fillId="0" borderId="0" xfId="0" applyNumberFormat="1" applyFont="1" applyBorder="1"/>
    <xf numFmtId="167" fontId="76" fillId="0" borderId="0" xfId="0" applyNumberFormat="1" applyFont="1" applyFill="1" applyBorder="1"/>
    <xf numFmtId="0" fontId="0" fillId="0" borderId="0" xfId="0" applyProtection="1">
      <protection locked="0"/>
    </xf>
    <xf numFmtId="0" fontId="47" fillId="0" borderId="0" xfId="0" applyFont="1" applyBorder="1" applyProtection="1">
      <protection locked="0"/>
    </xf>
    <xf numFmtId="0" fontId="248" fillId="0" borderId="0" xfId="0" applyFont="1" applyBorder="1" applyProtection="1">
      <protection locked="0"/>
    </xf>
    <xf numFmtId="0" fontId="256" fillId="0" borderId="0" xfId="0" applyFont="1" applyBorder="1" applyProtection="1"/>
    <xf numFmtId="10" fontId="47" fillId="0" borderId="0" xfId="0" applyNumberFormat="1" applyFont="1" applyBorder="1" applyProtection="1">
      <protection locked="0"/>
    </xf>
    <xf numFmtId="10" fontId="142" fillId="0" borderId="0" xfId="0" applyNumberFormat="1" applyFont="1" applyBorder="1" applyProtection="1">
      <protection locked="0"/>
    </xf>
    <xf numFmtId="0" fontId="6" fillId="0" borderId="22" xfId="0" applyFont="1" applyBorder="1" applyAlignment="1" applyProtection="1"/>
    <xf numFmtId="0" fontId="2" fillId="0" borderId="1" xfId="0" applyFont="1" applyBorder="1" applyAlignment="1" applyProtection="1"/>
    <xf numFmtId="0" fontId="6" fillId="0" borderId="2" xfId="0" applyFont="1" applyBorder="1" applyAlignment="1" applyProtection="1">
      <alignment wrapText="1"/>
    </xf>
    <xf numFmtId="167" fontId="150" fillId="0" borderId="7" xfId="0" applyNumberFormat="1" applyFont="1" applyBorder="1" applyAlignment="1" applyProtection="1">
      <alignment horizontal="left" indent="1"/>
    </xf>
    <xf numFmtId="0" fontId="0" fillId="0" borderId="0" xfId="0" applyFont="1" applyBorder="1" applyProtection="1"/>
    <xf numFmtId="164" fontId="151" fillId="0" borderId="8" xfId="0" applyNumberFormat="1" applyFont="1" applyBorder="1" applyProtection="1"/>
    <xf numFmtId="167" fontId="205" fillId="0" borderId="83" xfId="0" applyNumberFormat="1" applyFont="1" applyBorder="1" applyAlignment="1" applyProtection="1">
      <alignment horizontal="left" indent="1"/>
    </xf>
    <xf numFmtId="0" fontId="0" fillId="0" borderId="84" xfId="0" applyFont="1" applyBorder="1" applyProtection="1"/>
    <xf numFmtId="164" fontId="151" fillId="0" borderId="85" xfId="0" applyNumberFormat="1" applyFont="1" applyBorder="1" applyProtection="1"/>
    <xf numFmtId="0" fontId="24" fillId="0" borderId="0" xfId="0" applyFont="1" applyFill="1" applyBorder="1" applyProtection="1"/>
    <xf numFmtId="164" fontId="24" fillId="0" borderId="0" xfId="0" applyNumberFormat="1" applyFont="1" applyFill="1" applyBorder="1" applyProtection="1"/>
    <xf numFmtId="10" fontId="24" fillId="0" borderId="0" xfId="0" applyNumberFormat="1" applyFont="1" applyFill="1" applyBorder="1" applyProtection="1"/>
    <xf numFmtId="10" fontId="32" fillId="0" borderId="8" xfId="0" applyNumberFormat="1" applyFont="1" applyFill="1" applyBorder="1" applyProtection="1"/>
    <xf numFmtId="0" fontId="0" fillId="0" borderId="0" xfId="0" applyProtection="1"/>
    <xf numFmtId="0" fontId="237" fillId="0" borderId="22" xfId="0" applyFont="1" applyFill="1" applyBorder="1" applyProtection="1"/>
    <xf numFmtId="0" fontId="0" fillId="0" borderId="1" xfId="0" applyFont="1" applyBorder="1" applyProtection="1"/>
    <xf numFmtId="164" fontId="151" fillId="0" borderId="2" xfId="0" applyNumberFormat="1" applyFont="1" applyBorder="1" applyProtection="1"/>
    <xf numFmtId="165" fontId="151" fillId="0" borderId="8" xfId="0" applyNumberFormat="1" applyFont="1" applyBorder="1" applyProtection="1"/>
    <xf numFmtId="167" fontId="150" fillId="0" borderId="10" xfId="0" applyNumberFormat="1" applyFont="1" applyBorder="1" applyAlignment="1" applyProtection="1">
      <alignment horizontal="left" indent="1"/>
    </xf>
    <xf numFmtId="0" fontId="0" fillId="0" borderId="3" xfId="0" applyFont="1" applyBorder="1" applyProtection="1"/>
    <xf numFmtId="9" fontId="47" fillId="0" borderId="0" xfId="0" applyNumberFormat="1" applyFont="1" applyBorder="1" applyProtection="1">
      <protection locked="0"/>
    </xf>
    <xf numFmtId="0" fontId="1" fillId="0" borderId="0" xfId="0" applyFont="1" applyBorder="1" applyProtection="1">
      <protection locked="0"/>
    </xf>
    <xf numFmtId="10" fontId="47" fillId="0" borderId="0" xfId="0" applyNumberFormat="1" applyFont="1" applyFill="1" applyBorder="1" applyProtection="1">
      <protection locked="0"/>
    </xf>
    <xf numFmtId="9" fontId="10" fillId="0" borderId="0" xfId="0" applyNumberFormat="1" applyFont="1" applyBorder="1" applyProtection="1">
      <protection locked="0"/>
    </xf>
    <xf numFmtId="164" fontId="15" fillId="0" borderId="0" xfId="0" applyNumberFormat="1" applyFont="1" applyBorder="1" applyProtection="1">
      <protection locked="0"/>
    </xf>
    <xf numFmtId="164" fontId="243" fillId="0" borderId="0" xfId="0" applyNumberFormat="1" applyFont="1" applyBorder="1" applyProtection="1">
      <protection locked="0"/>
    </xf>
    <xf numFmtId="6" fontId="76" fillId="0" borderId="0" xfId="0" applyNumberFormat="1" applyFont="1" applyBorder="1" applyProtection="1"/>
    <xf numFmtId="10" fontId="76" fillId="0" borderId="0" xfId="0" applyNumberFormat="1" applyFont="1" applyBorder="1" applyProtection="1"/>
    <xf numFmtId="9" fontId="248" fillId="0" borderId="0" xfId="0" applyNumberFormat="1" applyFont="1" applyBorder="1" applyProtection="1">
      <protection locked="0"/>
    </xf>
    <xf numFmtId="0" fontId="0" fillId="9" borderId="130" xfId="0" applyFill="1" applyBorder="1"/>
    <xf numFmtId="0" fontId="55" fillId="9" borderId="42" xfId="0" applyFont="1" applyFill="1" applyBorder="1"/>
    <xf numFmtId="0" fontId="0" fillId="9" borderId="131" xfId="0" applyFill="1" applyBorder="1"/>
    <xf numFmtId="6" fontId="53" fillId="0" borderId="0" xfId="0" applyNumberFormat="1" applyFont="1" applyBorder="1" applyProtection="1">
      <protection locked="0"/>
    </xf>
    <xf numFmtId="6" fontId="10" fillId="0" borderId="0" xfId="0" applyNumberFormat="1" applyFont="1" applyBorder="1" applyProtection="1">
      <protection locked="0"/>
    </xf>
    <xf numFmtId="0" fontId="248" fillId="0" borderId="0" xfId="0" applyFont="1" applyBorder="1" applyAlignment="1" applyProtection="1">
      <alignment horizontal="center"/>
      <protection locked="0"/>
    </xf>
    <xf numFmtId="9" fontId="245" fillId="0" borderId="0" xfId="0" applyNumberFormat="1" applyFont="1" applyBorder="1" applyProtection="1">
      <protection locked="0"/>
    </xf>
    <xf numFmtId="38" fontId="10" fillId="0" borderId="0" xfId="0" applyNumberFormat="1" applyFont="1" applyBorder="1" applyProtection="1">
      <protection locked="0"/>
    </xf>
    <xf numFmtId="167" fontId="10" fillId="0" borderId="0" xfId="0" applyNumberFormat="1" applyFont="1" applyBorder="1" applyProtection="1">
      <protection locked="0"/>
    </xf>
    <xf numFmtId="6" fontId="10" fillId="0" borderId="0" xfId="0" applyNumberFormat="1" applyFont="1" applyFill="1" applyBorder="1" applyProtection="1">
      <protection locked="0"/>
    </xf>
    <xf numFmtId="10" fontId="10" fillId="0" borderId="0" xfId="0" applyNumberFormat="1" applyFont="1" applyFill="1" applyBorder="1" applyProtection="1">
      <protection locked="0"/>
    </xf>
    <xf numFmtId="0" fontId="10" fillId="0" borderId="0" xfId="0" applyFont="1" applyFill="1" applyBorder="1" applyProtection="1">
      <protection locked="0"/>
    </xf>
    <xf numFmtId="10" fontId="10" fillId="0" borderId="3" xfId="0" applyNumberFormat="1" applyFont="1" applyBorder="1" applyProtection="1">
      <protection locked="0"/>
    </xf>
    <xf numFmtId="0" fontId="10" fillId="0" borderId="0" xfId="0" applyFont="1" applyBorder="1" applyProtection="1">
      <protection locked="0"/>
    </xf>
    <xf numFmtId="0" fontId="15" fillId="0" borderId="12" xfId="0" applyFont="1" applyBorder="1" applyAlignment="1" applyProtection="1">
      <alignment horizontal="center"/>
      <protection locked="0"/>
    </xf>
    <xf numFmtId="0" fontId="15" fillId="0" borderId="0" xfId="0" applyFont="1" applyBorder="1" applyAlignment="1" applyProtection="1">
      <alignment wrapText="1"/>
      <protection locked="0"/>
    </xf>
    <xf numFmtId="164" fontId="15" fillId="0" borderId="0" xfId="0" applyNumberFormat="1" applyFont="1" applyBorder="1" applyAlignment="1" applyProtection="1">
      <alignment wrapText="1"/>
      <protection locked="0"/>
    </xf>
    <xf numFmtId="0" fontId="179" fillId="0" borderId="12" xfId="0" applyFont="1" applyBorder="1" applyAlignment="1" applyProtection="1">
      <alignment horizontal="center"/>
      <protection locked="0"/>
    </xf>
    <xf numFmtId="0" fontId="179" fillId="0" borderId="0" xfId="0" applyFont="1" applyBorder="1" applyAlignment="1" applyProtection="1">
      <alignment wrapText="1"/>
      <protection locked="0"/>
    </xf>
    <xf numFmtId="164" fontId="179" fillId="0" borderId="0" xfId="0" applyNumberFormat="1" applyFont="1" applyBorder="1" applyAlignment="1" applyProtection="1">
      <alignment wrapText="1"/>
      <protection locked="0"/>
    </xf>
    <xf numFmtId="0" fontId="15" fillId="0" borderId="0" xfId="0" applyFont="1" applyBorder="1" applyProtection="1">
      <protection locked="0"/>
    </xf>
    <xf numFmtId="0" fontId="179" fillId="0" borderId="0" xfId="0" applyFont="1" applyBorder="1" applyProtection="1">
      <protection locked="0"/>
    </xf>
    <xf numFmtId="164" fontId="179" fillId="0" borderId="0" xfId="0" applyNumberFormat="1" applyFont="1" applyBorder="1" applyProtection="1">
      <protection locked="0"/>
    </xf>
    <xf numFmtId="0" fontId="179" fillId="0" borderId="89" xfId="0" applyFont="1" applyBorder="1" applyProtection="1">
      <protection locked="0"/>
    </xf>
    <xf numFmtId="0" fontId="179" fillId="0" borderId="89" xfId="0" applyFont="1" applyBorder="1" applyAlignment="1" applyProtection="1">
      <alignment wrapText="1"/>
      <protection locked="0"/>
    </xf>
    <xf numFmtId="164" fontId="179" fillId="0" borderId="89" xfId="0" applyNumberFormat="1" applyFont="1" applyBorder="1" applyProtection="1">
      <protection locked="0"/>
    </xf>
    <xf numFmtId="6" fontId="248" fillId="0" borderId="0" xfId="0" applyNumberFormat="1" applyFont="1" applyBorder="1" applyProtection="1">
      <protection locked="0"/>
    </xf>
    <xf numFmtId="0" fontId="10" fillId="0" borderId="3" xfId="0" applyFont="1" applyFill="1" applyBorder="1" applyProtection="1">
      <protection locked="0"/>
    </xf>
    <xf numFmtId="38" fontId="10" fillId="0" borderId="3" xfId="0" applyNumberFormat="1" applyFont="1" applyBorder="1" applyProtection="1">
      <protection locked="0"/>
    </xf>
    <xf numFmtId="0" fontId="288" fillId="0" borderId="0" xfId="0" applyFont="1" applyBorder="1" applyAlignment="1" applyProtection="1">
      <alignment wrapText="1"/>
      <protection locked="0"/>
    </xf>
    <xf numFmtId="0" fontId="243" fillId="0" borderId="0" xfId="0" applyFont="1" applyBorder="1" applyAlignment="1" applyProtection="1">
      <alignment wrapText="1"/>
      <protection locked="0"/>
    </xf>
    <xf numFmtId="0" fontId="243" fillId="0" borderId="0" xfId="0" applyFont="1" applyFill="1" applyBorder="1" applyAlignment="1" applyProtection="1">
      <alignment wrapText="1"/>
      <protection locked="0"/>
    </xf>
    <xf numFmtId="164" fontId="123" fillId="0" borderId="0" xfId="0" applyNumberFormat="1" applyFont="1" applyFill="1" applyBorder="1" applyProtection="1">
      <protection locked="0"/>
    </xf>
    <xf numFmtId="164" fontId="123" fillId="0" borderId="0" xfId="0" applyNumberFormat="1" applyFont="1" applyBorder="1" applyProtection="1">
      <protection locked="0"/>
    </xf>
    <xf numFmtId="0" fontId="160" fillId="0" borderId="0" xfId="0" applyFont="1" applyBorder="1" applyProtection="1"/>
    <xf numFmtId="0" fontId="2" fillId="0" borderId="0" xfId="0" applyFont="1" applyBorder="1" applyProtection="1"/>
    <xf numFmtId="164" fontId="15" fillId="0" borderId="0" xfId="0" applyNumberFormat="1" applyFont="1" applyBorder="1" applyProtection="1"/>
    <xf numFmtId="167" fontId="94" fillId="0" borderId="7" xfId="0" applyNumberFormat="1" applyFont="1" applyBorder="1" applyAlignment="1" applyProtection="1">
      <alignment horizontal="left" indent="1"/>
    </xf>
    <xf numFmtId="0" fontId="2" fillId="0" borderId="0" xfId="0" applyFont="1" applyBorder="1" applyAlignment="1" applyProtection="1">
      <alignment horizontal="center"/>
    </xf>
    <xf numFmtId="9" fontId="119" fillId="0" borderId="7" xfId="0" applyNumberFormat="1" applyFont="1" applyBorder="1" applyAlignment="1" applyProtection="1">
      <alignment horizontal="left" indent="1"/>
    </xf>
    <xf numFmtId="0" fontId="0" fillId="0" borderId="0" xfId="0" applyBorder="1" applyProtection="1"/>
    <xf numFmtId="0" fontId="9" fillId="0" borderId="0" xfId="0" applyFont="1" applyBorder="1" applyAlignment="1" applyProtection="1">
      <alignment horizontal="center"/>
    </xf>
    <xf numFmtId="0" fontId="12" fillId="0" borderId="0" xfId="0" applyFont="1" applyBorder="1" applyProtection="1"/>
    <xf numFmtId="0" fontId="247" fillId="0" borderId="0" xfId="0" applyFont="1" applyBorder="1" applyProtection="1"/>
    <xf numFmtId="164" fontId="121" fillId="0" borderId="0" xfId="0" applyNumberFormat="1" applyFont="1" applyBorder="1" applyProtection="1"/>
    <xf numFmtId="167" fontId="94" fillId="0" borderId="10" xfId="0" applyNumberFormat="1" applyFont="1" applyBorder="1" applyAlignment="1" applyProtection="1">
      <alignment horizontal="left" indent="1"/>
    </xf>
    <xf numFmtId="0" fontId="160" fillId="0" borderId="3" xfId="0" applyFont="1" applyBorder="1" applyProtection="1"/>
    <xf numFmtId="164" fontId="15" fillId="0" borderId="3" xfId="0" applyNumberFormat="1" applyFont="1" applyFill="1" applyBorder="1" applyProtection="1"/>
    <xf numFmtId="0" fontId="0" fillId="0" borderId="3" xfId="0" applyBorder="1" applyProtection="1"/>
    <xf numFmtId="9" fontId="297" fillId="0" borderId="0" xfId="0" applyNumberFormat="1" applyFont="1" applyFill="1" applyBorder="1" applyProtection="1">
      <protection locked="0"/>
    </xf>
    <xf numFmtId="0" fontId="298" fillId="0" borderId="0" xfId="0" applyFont="1" applyBorder="1" applyProtection="1">
      <protection locked="0"/>
    </xf>
    <xf numFmtId="0" fontId="299" fillId="0" borderId="0" xfId="0" applyFont="1" applyBorder="1" applyProtection="1">
      <protection locked="0"/>
    </xf>
    <xf numFmtId="166" fontId="300" fillId="0" borderId="101" xfId="0" applyNumberFormat="1" applyFont="1" applyBorder="1"/>
    <xf numFmtId="166" fontId="300" fillId="0" borderId="0" xfId="0" applyNumberFormat="1" applyFont="1" applyBorder="1"/>
    <xf numFmtId="166" fontId="300" fillId="0" borderId="89" xfId="0" applyNumberFormat="1" applyFont="1" applyBorder="1"/>
    <xf numFmtId="9" fontId="301" fillId="0" borderId="0" xfId="0" applyNumberFormat="1" applyFont="1" applyBorder="1" applyProtection="1">
      <protection locked="0"/>
    </xf>
    <xf numFmtId="9" fontId="301" fillId="0" borderId="0" xfId="0" applyNumberFormat="1" applyFont="1" applyFill="1" applyBorder="1" applyProtection="1">
      <protection locked="0"/>
    </xf>
    <xf numFmtId="6" fontId="302" fillId="0" borderId="0" xfId="0" applyNumberFormat="1" applyFont="1" applyFill="1" applyProtection="1">
      <protection locked="0"/>
    </xf>
    <xf numFmtId="6" fontId="302" fillId="0" borderId="0" xfId="0" applyNumberFormat="1" applyFont="1" applyFill="1" applyBorder="1" applyProtection="1">
      <protection locked="0"/>
    </xf>
    <xf numFmtId="6" fontId="302" fillId="0" borderId="0" xfId="0" applyNumberFormat="1" applyFont="1" applyFill="1" applyBorder="1"/>
    <xf numFmtId="167" fontId="301" fillId="0" borderId="0" xfId="0" applyNumberFormat="1" applyFont="1" applyFill="1" applyBorder="1" applyProtection="1">
      <protection locked="0"/>
    </xf>
    <xf numFmtId="167" fontId="303" fillId="0" borderId="7" xfId="0" applyNumberFormat="1" applyFont="1" applyBorder="1" applyAlignment="1" applyProtection="1">
      <alignment horizontal="left" indent="1"/>
    </xf>
    <xf numFmtId="164" fontId="303" fillId="0" borderId="0" xfId="0" applyNumberFormat="1" applyFont="1" applyBorder="1" applyProtection="1"/>
    <xf numFmtId="165" fontId="303" fillId="0" borderId="0" xfId="0" applyNumberFormat="1" applyFont="1" applyBorder="1" applyProtection="1"/>
    <xf numFmtId="164" fontId="303" fillId="0" borderId="3" xfId="0" applyNumberFormat="1" applyFont="1" applyBorder="1" applyProtection="1"/>
    <xf numFmtId="164" fontId="303" fillId="0" borderId="0" xfId="0" applyNumberFormat="1" applyFont="1" applyFill="1" applyBorder="1" applyProtection="1"/>
    <xf numFmtId="0" fontId="6" fillId="0" borderId="86" xfId="0" applyFont="1" applyFill="1" applyBorder="1"/>
    <xf numFmtId="0" fontId="6" fillId="0" borderId="88" xfId="0" applyFont="1" applyFill="1" applyBorder="1"/>
    <xf numFmtId="0" fontId="6" fillId="0" borderId="89" xfId="0" applyFont="1" applyFill="1" applyBorder="1"/>
    <xf numFmtId="0" fontId="50" fillId="0" borderId="89" xfId="0" applyFont="1" applyFill="1" applyBorder="1"/>
    <xf numFmtId="0" fontId="0" fillId="0" borderId="89" xfId="0" applyFill="1" applyBorder="1"/>
    <xf numFmtId="167" fontId="301" fillId="0" borderId="89" xfId="0" applyNumberFormat="1" applyFont="1" applyFill="1" applyBorder="1" applyProtection="1">
      <protection locked="0"/>
    </xf>
    <xf numFmtId="0" fontId="247" fillId="0" borderId="89" xfId="0" applyFont="1" applyBorder="1"/>
    <xf numFmtId="0" fontId="247" fillId="0" borderId="89" xfId="0" applyFont="1" applyFill="1" applyBorder="1"/>
    <xf numFmtId="6" fontId="47" fillId="0" borderId="0" xfId="0" applyNumberFormat="1" applyFont="1" applyBorder="1" applyProtection="1">
      <protection locked="0"/>
    </xf>
    <xf numFmtId="38" fontId="254" fillId="0" borderId="0" xfId="0" applyNumberFormat="1" applyFont="1" applyBorder="1"/>
    <xf numFmtId="38" fontId="47" fillId="0" borderId="0" xfId="0" applyNumberFormat="1" applyFont="1" applyBorder="1" applyProtection="1">
      <protection locked="0"/>
    </xf>
    <xf numFmtId="10" fontId="47" fillId="0" borderId="0" xfId="0" applyNumberFormat="1" applyFont="1" applyFill="1" applyBorder="1"/>
    <xf numFmtId="9" fontId="252" fillId="0" borderId="89" xfId="0" applyNumberFormat="1" applyFont="1" applyBorder="1"/>
    <xf numFmtId="0" fontId="306" fillId="0" borderId="3" xfId="0" applyFont="1" applyBorder="1"/>
    <xf numFmtId="0" fontId="249" fillId="0" borderId="42" xfId="0" applyFont="1" applyBorder="1"/>
    <xf numFmtId="164" fontId="47" fillId="0" borderId="0" xfId="0" applyNumberFormat="1" applyFont="1" applyBorder="1" applyProtection="1">
      <protection locked="0"/>
    </xf>
    <xf numFmtId="38" fontId="254" fillId="0" borderId="0" xfId="0" applyNumberFormat="1" applyFont="1" applyBorder="1" applyProtection="1"/>
    <xf numFmtId="10" fontId="307" fillId="0" borderId="0" xfId="0" applyNumberFormat="1" applyFont="1" applyBorder="1" applyProtection="1">
      <protection locked="0"/>
    </xf>
    <xf numFmtId="10" fontId="307" fillId="0" borderId="0" xfId="0" applyNumberFormat="1" applyFont="1" applyBorder="1"/>
    <xf numFmtId="10" fontId="307" fillId="0" borderId="3" xfId="0" applyNumberFormat="1" applyFont="1" applyBorder="1" applyProtection="1">
      <protection locked="0"/>
    </xf>
    <xf numFmtId="0" fontId="12" fillId="0" borderId="53" xfId="0" applyFont="1" applyFill="1" applyBorder="1"/>
    <xf numFmtId="0" fontId="12" fillId="0" borderId="56" xfId="0" applyFont="1" applyFill="1" applyBorder="1"/>
    <xf numFmtId="0" fontId="12" fillId="0" borderId="54" xfId="0" applyFont="1" applyFill="1" applyBorder="1"/>
    <xf numFmtId="6" fontId="245" fillId="0" borderId="0" xfId="0" applyNumberFormat="1" applyFont="1" applyFill="1" applyBorder="1"/>
    <xf numFmtId="0" fontId="8" fillId="0" borderId="88" xfId="0" applyFont="1" applyBorder="1"/>
    <xf numFmtId="164" fontId="8" fillId="0" borderId="90" xfId="0" applyNumberFormat="1" applyFont="1" applyBorder="1"/>
    <xf numFmtId="0" fontId="138" fillId="0" borderId="0" xfId="0" applyFont="1" applyBorder="1"/>
    <xf numFmtId="0" fontId="133" fillId="0" borderId="87" xfId="0" applyFont="1" applyBorder="1"/>
    <xf numFmtId="10" fontId="309" fillId="0" borderId="0" xfId="0" applyNumberFormat="1" applyFont="1" applyBorder="1"/>
    <xf numFmtId="0" fontId="89" fillId="0" borderId="0" xfId="0" applyFont="1" applyBorder="1" applyAlignment="1">
      <alignment wrapText="1"/>
    </xf>
    <xf numFmtId="0" fontId="133" fillId="0" borderId="0" xfId="0" applyFont="1" applyBorder="1" applyAlignment="1">
      <alignment wrapText="1"/>
    </xf>
    <xf numFmtId="0" fontId="113" fillId="0" borderId="87" xfId="0" applyFont="1" applyBorder="1" applyAlignment="1">
      <alignment wrapText="1"/>
    </xf>
    <xf numFmtId="0" fontId="264" fillId="0" borderId="86" xfId="0" applyFont="1" applyBorder="1"/>
    <xf numFmtId="0" fontId="0" fillId="0" borderId="56" xfId="0" applyFill="1" applyBorder="1"/>
    <xf numFmtId="0" fontId="89" fillId="0" borderId="54" xfId="0" applyFont="1" applyBorder="1"/>
    <xf numFmtId="0" fontId="133" fillId="0" borderId="54" xfId="0" applyFont="1" applyBorder="1"/>
    <xf numFmtId="0" fontId="113" fillId="0" borderId="55" xfId="0" applyFont="1" applyBorder="1"/>
    <xf numFmtId="0" fontId="113" fillId="0" borderId="57" xfId="0" applyFont="1" applyBorder="1"/>
    <xf numFmtId="0" fontId="0" fillId="0" borderId="61" xfId="0" applyFill="1" applyBorder="1"/>
    <xf numFmtId="0" fontId="89" fillId="0" borderId="58" xfId="0" applyFont="1" applyBorder="1"/>
    <xf numFmtId="0" fontId="133" fillId="0" borderId="58" xfId="0" applyFont="1" applyBorder="1"/>
    <xf numFmtId="0" fontId="113" fillId="0" borderId="59" xfId="0" applyFont="1" applyBorder="1"/>
    <xf numFmtId="6" fontId="245" fillId="0" borderId="0" xfId="0" applyNumberFormat="1" applyFont="1" applyFill="1" applyBorder="1" applyProtection="1">
      <protection locked="0"/>
    </xf>
    <xf numFmtId="10" fontId="248" fillId="0" borderId="0" xfId="0" applyNumberFormat="1" applyFont="1" applyBorder="1" applyProtection="1">
      <protection locked="0"/>
    </xf>
    <xf numFmtId="0" fontId="41" fillId="0" borderId="0" xfId="2" applyFont="1" applyBorder="1" applyAlignment="1" applyProtection="1"/>
    <xf numFmtId="0" fontId="243" fillId="0" borderId="12" xfId="0" applyFont="1" applyBorder="1" applyAlignment="1" applyProtection="1">
      <alignment horizontal="center"/>
      <protection locked="0"/>
    </xf>
    <xf numFmtId="0" fontId="243" fillId="0" borderId="0" xfId="0" applyFont="1" applyBorder="1" applyProtection="1">
      <protection locked="0"/>
    </xf>
    <xf numFmtId="0" fontId="243" fillId="0" borderId="14" xfId="0" applyFont="1" applyBorder="1" applyAlignment="1" applyProtection="1">
      <alignment horizontal="center"/>
      <protection locked="0"/>
    </xf>
    <xf numFmtId="0" fontId="243" fillId="0" borderId="89" xfId="0" applyFont="1" applyBorder="1" applyProtection="1">
      <protection locked="0"/>
    </xf>
    <xf numFmtId="0" fontId="243" fillId="0" borderId="89" xfId="0" applyFont="1" applyBorder="1" applyAlignment="1" applyProtection="1">
      <alignment wrapText="1"/>
      <protection locked="0"/>
    </xf>
    <xf numFmtId="164" fontId="243" fillId="0" borderId="89" xfId="0" applyNumberFormat="1" applyFont="1" applyBorder="1" applyProtection="1">
      <protection locked="0"/>
    </xf>
    <xf numFmtId="0" fontId="243" fillId="0" borderId="7" xfId="0" applyFont="1" applyBorder="1" applyAlignment="1" applyProtection="1">
      <alignment horizontal="center"/>
      <protection locked="0"/>
    </xf>
    <xf numFmtId="164" fontId="47" fillId="0" borderId="0" xfId="0" applyNumberFormat="1" applyFont="1" applyFill="1" applyBorder="1" applyProtection="1">
      <protection locked="0"/>
    </xf>
    <xf numFmtId="164" fontId="102" fillId="7" borderId="80" xfId="0" applyNumberFormat="1" applyFont="1" applyFill="1" applyBorder="1" applyAlignment="1" applyProtection="1">
      <alignment horizontal="center"/>
      <protection locked="0"/>
    </xf>
    <xf numFmtId="0" fontId="284" fillId="0" borderId="0" xfId="0" applyFont="1" applyBorder="1"/>
    <xf numFmtId="164" fontId="155" fillId="0" borderId="0" xfId="0" applyNumberFormat="1" applyFont="1" applyBorder="1"/>
    <xf numFmtId="6" fontId="24" fillId="0" borderId="0" xfId="0" applyNumberFormat="1" applyFont="1" applyFill="1" applyBorder="1" applyAlignment="1">
      <alignment wrapText="1"/>
    </xf>
    <xf numFmtId="9" fontId="14" fillId="0" borderId="87" xfId="0" applyNumberFormat="1" applyFont="1" applyFill="1" applyBorder="1" applyAlignment="1">
      <alignment wrapText="1"/>
    </xf>
    <xf numFmtId="44" fontId="7" fillId="0" borderId="86" xfId="1" applyFont="1" applyBorder="1"/>
    <xf numFmtId="10" fontId="127" fillId="19" borderId="0" xfId="0" applyNumberFormat="1" applyFont="1" applyFill="1" applyBorder="1"/>
    <xf numFmtId="10" fontId="127" fillId="19" borderId="89" xfId="0" applyNumberFormat="1" applyFont="1" applyFill="1" applyBorder="1"/>
    <xf numFmtId="44" fontId="44" fillId="0" borderId="86" xfId="1" applyFont="1" applyBorder="1"/>
    <xf numFmtId="0" fontId="11" fillId="8" borderId="117" xfId="0" applyFont="1" applyFill="1" applyBorder="1" applyAlignment="1">
      <alignment wrapText="1"/>
    </xf>
    <xf numFmtId="0" fontId="11" fillId="10" borderId="117" xfId="0" applyFont="1" applyFill="1" applyBorder="1" applyAlignment="1">
      <alignment wrapText="1"/>
    </xf>
    <xf numFmtId="0" fontId="11" fillId="11" borderId="117" xfId="0" applyFont="1" applyFill="1" applyBorder="1" applyAlignment="1">
      <alignment wrapText="1"/>
    </xf>
    <xf numFmtId="6" fontId="115" fillId="0" borderId="112" xfId="0" applyNumberFormat="1" applyFont="1" applyFill="1" applyBorder="1"/>
    <xf numFmtId="164" fontId="247" fillId="0" borderId="113" xfId="0" applyNumberFormat="1" applyFont="1" applyBorder="1"/>
    <xf numFmtId="164" fontId="247" fillId="0" borderId="0" xfId="0" applyNumberFormat="1" applyFont="1"/>
    <xf numFmtId="6" fontId="115" fillId="0" borderId="12" xfId="0" applyNumberFormat="1" applyFont="1" applyFill="1" applyBorder="1"/>
    <xf numFmtId="6" fontId="115" fillId="0" borderId="14" xfId="0" applyNumberFormat="1" applyFont="1" applyFill="1" applyBorder="1"/>
    <xf numFmtId="164" fontId="247" fillId="0" borderId="89" xfId="0" applyNumberFormat="1" applyFont="1" applyBorder="1"/>
    <xf numFmtId="0" fontId="252" fillId="0" borderId="16" xfId="0" applyFont="1" applyBorder="1"/>
    <xf numFmtId="6" fontId="312" fillId="0" borderId="0" xfId="0" applyNumberFormat="1" applyFont="1" applyBorder="1"/>
    <xf numFmtId="6" fontId="312" fillId="0" borderId="17" xfId="0" applyNumberFormat="1" applyFont="1" applyBorder="1"/>
    <xf numFmtId="0" fontId="314" fillId="0" borderId="16" xfId="0" applyFont="1" applyBorder="1"/>
    <xf numFmtId="6" fontId="315" fillId="0" borderId="0" xfId="0" applyNumberFormat="1" applyFont="1" applyBorder="1"/>
    <xf numFmtId="6" fontId="315" fillId="0" borderId="17" xfId="0" applyNumberFormat="1" applyFont="1" applyBorder="1"/>
    <xf numFmtId="0" fontId="316" fillId="0" borderId="16" xfId="0" applyFont="1" applyBorder="1"/>
    <xf numFmtId="164" fontId="40" fillId="0" borderId="0" xfId="0" applyNumberFormat="1" applyFont="1" applyBorder="1"/>
    <xf numFmtId="0" fontId="7" fillId="0" borderId="86" xfId="0" applyFont="1" applyBorder="1"/>
    <xf numFmtId="0" fontId="119" fillId="0" borderId="86" xfId="0" applyFont="1" applyBorder="1"/>
    <xf numFmtId="0" fontId="114" fillId="0" borderId="86" xfId="0" applyFont="1" applyBorder="1"/>
    <xf numFmtId="44" fontId="223" fillId="0" borderId="86" xfId="1" applyFont="1" applyBorder="1"/>
    <xf numFmtId="0" fontId="9" fillId="0" borderId="101" xfId="0" applyFont="1" applyBorder="1"/>
    <xf numFmtId="0" fontId="31" fillId="0" borderId="86" xfId="0" applyFont="1" applyFill="1" applyBorder="1"/>
    <xf numFmtId="0" fontId="136" fillId="0" borderId="86" xfId="0" applyFont="1" applyFill="1" applyBorder="1"/>
    <xf numFmtId="44" fontId="2" fillId="0" borderId="86" xfId="1" applyFont="1" applyBorder="1"/>
    <xf numFmtId="0" fontId="0" fillId="0" borderId="86" xfId="0" applyFont="1" applyBorder="1"/>
    <xf numFmtId="0" fontId="289" fillId="0" borderId="0" xfId="0" applyFont="1" applyFill="1" applyBorder="1"/>
    <xf numFmtId="0" fontId="291" fillId="0" borderId="0" xfId="0" applyFont="1" applyFill="1" applyBorder="1"/>
    <xf numFmtId="164" fontId="148" fillId="0" borderId="0" xfId="0" applyNumberFormat="1" applyFont="1" applyFill="1" applyBorder="1" applyAlignment="1">
      <alignment wrapText="1"/>
    </xf>
    <xf numFmtId="0" fontId="291" fillId="0" borderId="101" xfId="0" applyFont="1" applyFill="1" applyBorder="1"/>
    <xf numFmtId="0" fontId="120" fillId="3" borderId="116" xfId="0" applyFont="1" applyFill="1" applyBorder="1" applyAlignment="1">
      <alignment wrapText="1"/>
    </xf>
    <xf numFmtId="0" fontId="120" fillId="3" borderId="117" xfId="0" applyFont="1" applyFill="1" applyBorder="1" applyAlignment="1">
      <alignment wrapText="1"/>
    </xf>
    <xf numFmtId="0" fontId="120" fillId="12" borderId="117" xfId="0" applyFont="1" applyFill="1" applyBorder="1" applyAlignment="1">
      <alignment wrapText="1"/>
    </xf>
    <xf numFmtId="37" fontId="122" fillId="0" borderId="100" xfId="0" applyNumberFormat="1" applyFont="1" applyBorder="1" applyAlignment="1">
      <alignment horizontal="right"/>
    </xf>
    <xf numFmtId="0" fontId="126" fillId="0" borderId="86" xfId="0" applyFont="1" applyBorder="1"/>
    <xf numFmtId="0" fontId="122" fillId="0" borderId="86" xfId="0" applyFont="1" applyFill="1" applyBorder="1"/>
    <xf numFmtId="0" fontId="122" fillId="0" borderId="86" xfId="0" applyFont="1" applyBorder="1" applyAlignment="1"/>
    <xf numFmtId="0" fontId="122" fillId="0" borderId="88" xfId="0" applyFont="1" applyBorder="1"/>
    <xf numFmtId="0" fontId="122" fillId="0" borderId="89" xfId="0" applyFont="1" applyBorder="1"/>
    <xf numFmtId="0" fontId="291" fillId="0" borderId="89" xfId="0" applyFont="1" applyFill="1" applyBorder="1"/>
    <xf numFmtId="0" fontId="0" fillId="0" borderId="90" xfId="0" applyFill="1" applyBorder="1"/>
    <xf numFmtId="164" fontId="317" fillId="0" borderId="90" xfId="0" applyNumberFormat="1" applyFont="1" applyFill="1" applyBorder="1"/>
    <xf numFmtId="0" fontId="120" fillId="9" borderId="116" xfId="0" applyFont="1" applyFill="1" applyBorder="1" applyAlignment="1">
      <alignment wrapText="1"/>
    </xf>
    <xf numFmtId="0" fontId="11" fillId="12" borderId="117" xfId="0" applyFont="1" applyFill="1" applyBorder="1" applyAlignment="1">
      <alignment wrapText="1"/>
    </xf>
    <xf numFmtId="0" fontId="120" fillId="10" borderId="117" xfId="0" applyFont="1" applyFill="1" applyBorder="1" applyAlignment="1">
      <alignment wrapText="1"/>
    </xf>
    <xf numFmtId="0" fontId="120" fillId="11" borderId="117" xfId="0" applyFont="1" applyFill="1" applyBorder="1" applyAlignment="1">
      <alignment wrapText="1"/>
    </xf>
    <xf numFmtId="0" fontId="120" fillId="12" borderId="119" xfId="0" applyFont="1" applyFill="1" applyBorder="1" applyAlignment="1">
      <alignment wrapText="1"/>
    </xf>
    <xf numFmtId="0" fontId="120" fillId="13" borderId="120" xfId="0" applyFont="1" applyFill="1" applyBorder="1" applyAlignment="1">
      <alignment wrapText="1"/>
    </xf>
    <xf numFmtId="0" fontId="122" fillId="0" borderId="101" xfId="0" applyFont="1" applyBorder="1"/>
    <xf numFmtId="0" fontId="122" fillId="0" borderId="102" xfId="0" applyFont="1" applyBorder="1"/>
    <xf numFmtId="164" fontId="124" fillId="0" borderId="87" xfId="0" applyNumberFormat="1" applyFont="1" applyFill="1" applyBorder="1"/>
    <xf numFmtId="0" fontId="122" fillId="0" borderId="87" xfId="0" applyFont="1" applyBorder="1" applyAlignment="1"/>
    <xf numFmtId="164" fontId="124" fillId="0" borderId="114" xfId="0" applyNumberFormat="1" applyFont="1" applyFill="1" applyBorder="1"/>
    <xf numFmtId="164" fontId="123" fillId="0" borderId="89" xfId="0" applyNumberFormat="1" applyFont="1" applyBorder="1" applyProtection="1">
      <protection locked="0"/>
    </xf>
    <xf numFmtId="164" fontId="124" fillId="0" borderId="90" xfId="0" applyNumberFormat="1" applyFont="1" applyFill="1" applyBorder="1"/>
    <xf numFmtId="0" fontId="122" fillId="0" borderId="90" xfId="0" applyFont="1" applyBorder="1"/>
    <xf numFmtId="0" fontId="243" fillId="0" borderId="121" xfId="0" applyFont="1" applyBorder="1" applyAlignment="1" applyProtection="1">
      <alignment horizontal="center"/>
      <protection locked="0"/>
    </xf>
    <xf numFmtId="164" fontId="124" fillId="0" borderId="90" xfId="0" applyNumberFormat="1" applyFont="1" applyBorder="1"/>
    <xf numFmtId="0" fontId="243" fillId="0" borderId="88" xfId="0" applyFont="1" applyBorder="1" applyAlignment="1" applyProtection="1">
      <alignment horizontal="center"/>
      <protection locked="0"/>
    </xf>
    <xf numFmtId="0" fontId="15" fillId="0" borderId="121" xfId="0" applyFont="1" applyBorder="1" applyAlignment="1" applyProtection="1">
      <alignment horizontal="center"/>
      <protection locked="0"/>
    </xf>
    <xf numFmtId="164" fontId="179" fillId="0" borderId="89" xfId="0" applyNumberFormat="1" applyFont="1" applyBorder="1" applyAlignment="1" applyProtection="1">
      <alignment wrapText="1"/>
      <protection locked="0"/>
    </xf>
    <xf numFmtId="0" fontId="15" fillId="0" borderId="89" xfId="0" applyFont="1" applyBorder="1" applyProtection="1">
      <protection locked="0"/>
    </xf>
    <xf numFmtId="164" fontId="148" fillId="0" borderId="90" xfId="0" applyNumberFormat="1" applyFont="1" applyBorder="1" applyAlignment="1">
      <alignment wrapText="1"/>
    </xf>
    <xf numFmtId="164" fontId="124" fillId="0" borderId="114" xfId="0" applyNumberFormat="1" applyFont="1" applyBorder="1"/>
    <xf numFmtId="0" fontId="179" fillId="0" borderId="121" xfId="0" applyFont="1" applyBorder="1" applyAlignment="1" applyProtection="1">
      <alignment horizontal="center"/>
      <protection locked="0"/>
    </xf>
    <xf numFmtId="0" fontId="183" fillId="9" borderId="125" xfId="0" applyFont="1" applyFill="1" applyBorder="1"/>
    <xf numFmtId="0" fontId="183" fillId="9" borderId="124" xfId="0" applyFont="1" applyFill="1" applyBorder="1"/>
    <xf numFmtId="0" fontId="207" fillId="0" borderId="0" xfId="0" applyFont="1" applyBorder="1"/>
    <xf numFmtId="0" fontId="191" fillId="0" borderId="129" xfId="0" applyFont="1" applyBorder="1"/>
    <xf numFmtId="3" fontId="191" fillId="0" borderId="89" xfId="0" applyNumberFormat="1" applyFont="1" applyBorder="1"/>
    <xf numFmtId="164" fontId="191" fillId="0" borderId="89" xfId="0" applyNumberFormat="1" applyFont="1" applyBorder="1"/>
    <xf numFmtId="3" fontId="191" fillId="0" borderId="121" xfId="0" applyNumberFormat="1" applyFont="1" applyBorder="1"/>
    <xf numFmtId="164" fontId="191" fillId="0" borderId="90" xfId="0" applyNumberFormat="1" applyFont="1" applyBorder="1"/>
    <xf numFmtId="44" fontId="1" fillId="0" borderId="16" xfId="1" applyFont="1" applyBorder="1"/>
    <xf numFmtId="0" fontId="1" fillId="0" borderId="18" xfId="0" applyFont="1" applyBorder="1"/>
    <xf numFmtId="0" fontId="242" fillId="9" borderId="76" xfId="0" applyNumberFormat="1" applyFont="1" applyFill="1" applyBorder="1" applyAlignment="1">
      <alignment horizontal="left" indent="3"/>
    </xf>
    <xf numFmtId="10" fontId="33" fillId="0" borderId="0" xfId="2" applyNumberFormat="1" applyFill="1" applyBorder="1" applyAlignment="1" applyProtection="1"/>
    <xf numFmtId="164" fontId="191" fillId="0" borderId="101" xfId="0" applyNumberFormat="1" applyFont="1" applyBorder="1"/>
    <xf numFmtId="3" fontId="191" fillId="0" borderId="101" xfId="0" applyNumberFormat="1" applyFont="1" applyBorder="1"/>
    <xf numFmtId="164" fontId="191" fillId="0" borderId="102" xfId="0" applyNumberFormat="1" applyFont="1" applyBorder="1"/>
    <xf numFmtId="164" fontId="191" fillId="0" borderId="87" xfId="0" applyNumberFormat="1" applyFont="1" applyBorder="1"/>
    <xf numFmtId="164" fontId="191" fillId="0" borderId="114" xfId="0" applyNumberFormat="1" applyFont="1" applyBorder="1"/>
    <xf numFmtId="0" fontId="6" fillId="7" borderId="135" xfId="0" applyFont="1" applyFill="1" applyBorder="1"/>
    <xf numFmtId="0" fontId="26" fillId="7" borderId="136" xfId="0" applyFont="1" applyFill="1" applyBorder="1"/>
    <xf numFmtId="6" fontId="257" fillId="0" borderId="101" xfId="0" applyNumberFormat="1" applyFont="1" applyBorder="1"/>
    <xf numFmtId="0" fontId="123" fillId="0" borderId="89" xfId="0" applyFont="1" applyBorder="1" applyProtection="1">
      <protection locked="0"/>
    </xf>
    <xf numFmtId="0" fontId="123" fillId="0" borderId="0" xfId="0" applyFont="1" applyBorder="1" applyProtection="1">
      <protection locked="0"/>
    </xf>
    <xf numFmtId="0" fontId="48" fillId="0" borderId="89" xfId="0" applyFont="1" applyBorder="1"/>
    <xf numFmtId="164" fontId="243" fillId="0" borderId="0" xfId="0" applyNumberFormat="1" applyFont="1" applyFill="1" applyBorder="1" applyProtection="1">
      <protection locked="0"/>
    </xf>
    <xf numFmtId="164" fontId="10" fillId="0" borderId="0" xfId="0" applyNumberFormat="1" applyFont="1" applyFill="1" applyBorder="1" applyProtection="1">
      <protection locked="0"/>
    </xf>
    <xf numFmtId="164" fontId="124" fillId="0" borderId="113" xfId="0" applyNumberFormat="1" applyFont="1" applyFill="1" applyBorder="1"/>
    <xf numFmtId="0" fontId="243" fillId="0" borderId="0" xfId="0" applyFont="1" applyBorder="1" applyAlignment="1" applyProtection="1">
      <alignment horizontal="center"/>
      <protection locked="0"/>
    </xf>
    <xf numFmtId="0" fontId="11" fillId="9" borderId="137" xfId="0" applyFont="1" applyFill="1" applyBorder="1" applyAlignment="1">
      <alignment wrapText="1"/>
    </xf>
    <xf numFmtId="0" fontId="120" fillId="8" borderId="24" xfId="0" applyFont="1" applyFill="1" applyBorder="1" applyAlignment="1">
      <alignment wrapText="1"/>
    </xf>
    <xf numFmtId="0" fontId="311" fillId="0" borderId="0" xfId="0" applyFont="1"/>
    <xf numFmtId="0" fontId="11" fillId="9" borderId="116" xfId="0" applyFont="1" applyFill="1" applyBorder="1" applyAlignment="1">
      <alignment wrapText="1"/>
    </xf>
    <xf numFmtId="0" fontId="11" fillId="12" borderId="119" xfId="0" applyFont="1" applyFill="1" applyBorder="1" applyAlignment="1">
      <alignment wrapText="1"/>
    </xf>
    <xf numFmtId="0" fontId="11" fillId="13" borderId="120" xfId="0" applyFont="1" applyFill="1" applyBorder="1" applyAlignment="1">
      <alignment wrapText="1"/>
    </xf>
    <xf numFmtId="0" fontId="122" fillId="0" borderId="101" xfId="0" applyFont="1" applyBorder="1" applyAlignment="1">
      <alignment wrapText="1"/>
    </xf>
    <xf numFmtId="0" fontId="122" fillId="0" borderId="102" xfId="0" applyFont="1" applyBorder="1" applyAlignment="1">
      <alignment wrapText="1"/>
    </xf>
    <xf numFmtId="0" fontId="122" fillId="0" borderId="0" xfId="0" applyFont="1" applyBorder="1" applyAlignment="1">
      <alignment wrapText="1"/>
    </xf>
    <xf numFmtId="0" fontId="11" fillId="12" borderId="120" xfId="0" applyFont="1" applyFill="1" applyBorder="1" applyAlignment="1">
      <alignment wrapText="1"/>
    </xf>
    <xf numFmtId="0" fontId="252" fillId="0" borderId="0" xfId="0" applyFont="1" applyFill="1" applyBorder="1"/>
    <xf numFmtId="0" fontId="252" fillId="0" borderId="87" xfId="0" applyFont="1" applyFill="1" applyBorder="1"/>
    <xf numFmtId="164" fontId="319" fillId="0" borderId="87" xfId="0" applyNumberFormat="1" applyFont="1" applyFill="1" applyBorder="1"/>
    <xf numFmtId="164" fontId="319" fillId="0" borderId="90" xfId="0" applyNumberFormat="1" applyFont="1" applyFill="1" applyBorder="1"/>
    <xf numFmtId="164" fontId="319" fillId="0" borderId="100" xfId="0" applyNumberFormat="1" applyFont="1" applyFill="1" applyBorder="1"/>
    <xf numFmtId="164" fontId="319" fillId="0" borderId="86" xfId="0" applyNumberFormat="1" applyFont="1" applyFill="1" applyBorder="1"/>
    <xf numFmtId="164" fontId="319" fillId="0" borderId="88" xfId="0" applyNumberFormat="1" applyFont="1" applyFill="1" applyBorder="1"/>
    <xf numFmtId="0" fontId="291" fillId="0" borderId="0" xfId="0" applyFont="1" applyFill="1" applyBorder="1" applyAlignment="1"/>
    <xf numFmtId="0" fontId="0" fillId="0" borderId="87" xfId="0" applyFill="1" applyBorder="1" applyAlignment="1"/>
    <xf numFmtId="164" fontId="148" fillId="0" borderId="0" xfId="0" applyNumberFormat="1" applyFont="1" applyFill="1" applyBorder="1" applyAlignment="1"/>
    <xf numFmtId="0" fontId="0" fillId="0" borderId="0" xfId="0" applyFill="1" applyAlignment="1"/>
    <xf numFmtId="0" fontId="0" fillId="0" borderId="0" xfId="0" applyAlignment="1"/>
    <xf numFmtId="0" fontId="122" fillId="0" borderId="86" xfId="0" applyFont="1" applyBorder="1" applyAlignment="1">
      <alignment wrapText="1"/>
    </xf>
    <xf numFmtId="0" fontId="11" fillId="0" borderId="133" xfId="0" applyFont="1" applyBorder="1" applyAlignment="1">
      <alignment wrapText="1"/>
    </xf>
    <xf numFmtId="0" fontId="316" fillId="0" borderId="0" xfId="0" applyFont="1" applyFill="1" applyBorder="1" applyAlignment="1">
      <alignment wrapText="1"/>
    </xf>
    <xf numFmtId="164" fontId="186" fillId="0" borderId="88" xfId="0" applyNumberFormat="1" applyFont="1" applyBorder="1" applyAlignment="1">
      <alignment wrapText="1"/>
    </xf>
    <xf numFmtId="164" fontId="186" fillId="0" borderId="132" xfId="0" applyNumberFormat="1" applyFont="1" applyBorder="1" applyAlignment="1">
      <alignment wrapText="1"/>
    </xf>
    <xf numFmtId="164" fontId="320" fillId="0" borderId="89" xfId="0" applyNumberFormat="1" applyFont="1" applyFill="1" applyBorder="1" applyAlignment="1">
      <alignment wrapText="1"/>
    </xf>
    <xf numFmtId="0" fontId="316" fillId="0" borderId="133" xfId="0" applyFont="1" applyFill="1" applyBorder="1" applyAlignment="1">
      <alignment wrapText="1"/>
    </xf>
    <xf numFmtId="164" fontId="320" fillId="0" borderId="132" xfId="0" applyNumberFormat="1" applyFont="1" applyFill="1" applyBorder="1" applyAlignment="1">
      <alignment wrapText="1"/>
    </xf>
    <xf numFmtId="0" fontId="109" fillId="0" borderId="102" xfId="0" applyFont="1" applyBorder="1"/>
    <xf numFmtId="164" fontId="241" fillId="0" borderId="21" xfId="0" applyNumberFormat="1" applyFont="1" applyFill="1" applyBorder="1"/>
    <xf numFmtId="164" fontId="241" fillId="0" borderId="101" xfId="0" applyNumberFormat="1" applyFont="1" applyFill="1" applyBorder="1"/>
    <xf numFmtId="164" fontId="241" fillId="0" borderId="113" xfId="0" applyNumberFormat="1" applyFont="1" applyFill="1" applyBorder="1"/>
    <xf numFmtId="164" fontId="241" fillId="0" borderId="12" xfId="0" applyNumberFormat="1" applyFont="1" applyFill="1" applyBorder="1"/>
    <xf numFmtId="164" fontId="241" fillId="0" borderId="0" xfId="0" applyNumberFormat="1" applyFont="1" applyFill="1" applyBorder="1"/>
    <xf numFmtId="164" fontId="241" fillId="0" borderId="121" xfId="0" applyNumberFormat="1" applyFont="1" applyFill="1" applyBorder="1"/>
    <xf numFmtId="164" fontId="241" fillId="0" borderId="89" xfId="0" applyNumberFormat="1" applyFont="1" applyFill="1" applyBorder="1"/>
    <xf numFmtId="164" fontId="241" fillId="0" borderId="114" xfId="0" applyNumberFormat="1" applyFont="1" applyFill="1" applyBorder="1"/>
    <xf numFmtId="0" fontId="0" fillId="0" borderId="137" xfId="0" applyBorder="1"/>
    <xf numFmtId="0" fontId="0" fillId="0" borderId="138" xfId="0" applyBorder="1" applyAlignment="1"/>
    <xf numFmtId="0" fontId="0" fillId="0" borderId="132" xfId="0" applyBorder="1"/>
    <xf numFmtId="44" fontId="1" fillId="0" borderId="18" xfId="1" applyFont="1" applyBorder="1"/>
    <xf numFmtId="0" fontId="96" fillId="0" borderId="19" xfId="0" applyFont="1" applyFill="1" applyBorder="1"/>
    <xf numFmtId="0" fontId="249" fillId="0" borderId="19" xfId="0" applyFont="1" applyFill="1" applyBorder="1"/>
    <xf numFmtId="6" fontId="256" fillId="0" borderId="101" xfId="0" applyNumberFormat="1" applyFont="1" applyBorder="1"/>
    <xf numFmtId="167" fontId="94" fillId="0" borderId="86" xfId="0" applyNumberFormat="1" applyFont="1" applyBorder="1" applyAlignment="1" applyProtection="1">
      <alignment horizontal="left" indent="1"/>
    </xf>
    <xf numFmtId="10" fontId="32" fillId="0" borderId="87" xfId="0" applyNumberFormat="1" applyFont="1" applyFill="1" applyBorder="1"/>
    <xf numFmtId="0" fontId="8" fillId="0" borderId="7" xfId="0" applyFont="1" applyBorder="1" applyProtection="1"/>
    <xf numFmtId="0" fontId="284" fillId="0" borderId="0" xfId="0" applyFont="1" applyFill="1"/>
    <xf numFmtId="0" fontId="2" fillId="0" borderId="89" xfId="0" applyFont="1" applyBorder="1"/>
    <xf numFmtId="0" fontId="6" fillId="0" borderId="89" xfId="0" applyFont="1" applyBorder="1" applyAlignment="1">
      <alignment wrapText="1"/>
    </xf>
    <xf numFmtId="0" fontId="6" fillId="0" borderId="88" xfId="0" applyFont="1" applyBorder="1" applyProtection="1"/>
    <xf numFmtId="0" fontId="2" fillId="0" borderId="89" xfId="0" applyFont="1" applyBorder="1" applyProtection="1"/>
    <xf numFmtId="0" fontId="6" fillId="0" borderId="89" xfId="0" applyFont="1" applyBorder="1" applyAlignment="1" applyProtection="1">
      <alignment wrapText="1"/>
    </xf>
    <xf numFmtId="0" fontId="6" fillId="0" borderId="89" xfId="0" applyFont="1" applyBorder="1" applyProtection="1"/>
    <xf numFmtId="0" fontId="7" fillId="0" borderId="88" xfId="0" applyFont="1" applyBorder="1" applyProtection="1"/>
    <xf numFmtId="0" fontId="0" fillId="0" borderId="42" xfId="0" applyFill="1" applyBorder="1"/>
    <xf numFmtId="0" fontId="0" fillId="0" borderId="78" xfId="0" applyFill="1" applyBorder="1"/>
    <xf numFmtId="0" fontId="6" fillId="0" borderId="12" xfId="0" applyFont="1" applyFill="1" applyBorder="1"/>
    <xf numFmtId="0" fontId="50" fillId="0" borderId="48" xfId="0" applyFont="1" applyFill="1" applyBorder="1"/>
    <xf numFmtId="165" fontId="151" fillId="0" borderId="90" xfId="0" applyNumberFormat="1" applyFont="1" applyBorder="1" applyProtection="1"/>
    <xf numFmtId="6" fontId="191" fillId="0" borderId="121" xfId="0" applyNumberFormat="1" applyFont="1" applyBorder="1"/>
    <xf numFmtId="6" fontId="191" fillId="0" borderId="101" xfId="0" applyNumberFormat="1" applyFont="1" applyFill="1" applyBorder="1"/>
    <xf numFmtId="6" fontId="191" fillId="0" borderId="113" xfId="0" applyNumberFormat="1" applyFont="1" applyFill="1" applyBorder="1"/>
    <xf numFmtId="6" fontId="191" fillId="0" borderId="121" xfId="0" applyNumberFormat="1" applyFont="1" applyFill="1" applyBorder="1"/>
    <xf numFmtId="6" fontId="191" fillId="0" borderId="89" xfId="0" applyNumberFormat="1" applyFont="1" applyFill="1" applyBorder="1"/>
    <xf numFmtId="6" fontId="191" fillId="0" borderId="114" xfId="0" applyNumberFormat="1" applyFont="1" applyFill="1" applyBorder="1"/>
    <xf numFmtId="164" fontId="191" fillId="0" borderId="121" xfId="0" applyNumberFormat="1" applyFont="1" applyBorder="1"/>
    <xf numFmtId="0" fontId="63" fillId="0" borderId="101" xfId="0" applyFont="1" applyFill="1" applyBorder="1"/>
    <xf numFmtId="10" fontId="29" fillId="0" borderId="101" xfId="0" applyNumberFormat="1" applyFont="1" applyFill="1" applyBorder="1"/>
    <xf numFmtId="164" fontId="29" fillId="0" borderId="101" xfId="0" applyNumberFormat="1" applyFont="1" applyFill="1" applyBorder="1"/>
    <xf numFmtId="0" fontId="16" fillId="0" borderId="101" xfId="0" applyFont="1" applyFill="1" applyBorder="1"/>
    <xf numFmtId="164" fontId="16" fillId="0" borderId="101" xfId="0" applyNumberFormat="1" applyFont="1" applyFill="1" applyBorder="1"/>
    <xf numFmtId="164" fontId="23" fillId="0" borderId="101" xfId="0" applyNumberFormat="1" applyFont="1" applyFill="1" applyBorder="1"/>
    <xf numFmtId="0" fontId="8" fillId="0" borderId="101" xfId="0" applyFont="1" applyFill="1" applyBorder="1"/>
    <xf numFmtId="164" fontId="18" fillId="0" borderId="101" xfId="0" applyNumberFormat="1" applyFont="1" applyFill="1" applyBorder="1"/>
    <xf numFmtId="0" fontId="166" fillId="0" borderId="86" xfId="0" applyFont="1" applyFill="1" applyBorder="1"/>
    <xf numFmtId="0" fontId="166" fillId="0" borderId="88" xfId="0" applyFont="1" applyFill="1" applyBorder="1"/>
    <xf numFmtId="0" fontId="62" fillId="0" borderId="89" xfId="0" applyFont="1" applyFill="1" applyBorder="1"/>
    <xf numFmtId="0" fontId="63" fillId="0" borderId="89" xfId="0" applyFont="1" applyFill="1" applyBorder="1"/>
    <xf numFmtId="10" fontId="29" fillId="0" borderId="89" xfId="0" applyNumberFormat="1" applyFont="1" applyFill="1" applyBorder="1"/>
    <xf numFmtId="164" fontId="29" fillId="0" borderId="89" xfId="0" applyNumberFormat="1" applyFont="1" applyFill="1" applyBorder="1"/>
    <xf numFmtId="0" fontId="16" fillId="0" borderId="89" xfId="0" applyFont="1" applyFill="1" applyBorder="1"/>
    <xf numFmtId="164" fontId="16" fillId="0" borderId="89" xfId="0" applyNumberFormat="1" applyFont="1" applyFill="1" applyBorder="1"/>
    <xf numFmtId="0" fontId="8" fillId="0" borderId="89" xfId="0" applyFont="1" applyFill="1" applyBorder="1"/>
    <xf numFmtId="164" fontId="18" fillId="0" borderId="89" xfId="0" applyNumberFormat="1" applyFont="1" applyFill="1" applyBorder="1"/>
    <xf numFmtId="0" fontId="191" fillId="0" borderId="88" xfId="0" applyFont="1" applyBorder="1"/>
    <xf numFmtId="0" fontId="191" fillId="0" borderId="89" xfId="0" applyFont="1" applyBorder="1"/>
    <xf numFmtId="164" fontId="191" fillId="0" borderId="89" xfId="0" applyNumberFormat="1" applyFont="1" applyFill="1" applyBorder="1"/>
    <xf numFmtId="0" fontId="23" fillId="0" borderId="86" xfId="0" applyFont="1" applyBorder="1"/>
    <xf numFmtId="0" fontId="23" fillId="0" borderId="88" xfId="0" applyFont="1" applyBorder="1"/>
    <xf numFmtId="0" fontId="23" fillId="0" borderId="89" xfId="0" applyFont="1" applyBorder="1"/>
    <xf numFmtId="164" fontId="23" fillId="0" borderId="89" xfId="0" applyNumberFormat="1" applyFont="1" applyBorder="1"/>
    <xf numFmtId="166" fontId="25" fillId="0" borderId="89" xfId="0" applyNumberFormat="1" applyFont="1" applyBorder="1"/>
    <xf numFmtId="164" fontId="23" fillId="0" borderId="90" xfId="0" applyNumberFormat="1" applyFont="1" applyBorder="1"/>
    <xf numFmtId="0" fontId="8" fillId="0" borderId="89" xfId="0" applyFont="1" applyBorder="1"/>
    <xf numFmtId="164" fontId="8" fillId="0" borderId="89" xfId="0" applyNumberFormat="1" applyFont="1" applyBorder="1"/>
    <xf numFmtId="166" fontId="144" fillId="0" borderId="89" xfId="0" applyNumberFormat="1" applyFont="1" applyBorder="1"/>
    <xf numFmtId="6" fontId="191" fillId="0" borderId="87" xfId="0" applyNumberFormat="1" applyFont="1" applyBorder="1"/>
    <xf numFmtId="6" fontId="191" fillId="0" borderId="89" xfId="0" applyNumberFormat="1" applyFont="1" applyBorder="1"/>
    <xf numFmtId="6" fontId="191" fillId="0" borderId="90" xfId="0" applyNumberFormat="1" applyFont="1" applyBorder="1"/>
    <xf numFmtId="6" fontId="191" fillId="0" borderId="101" xfId="0" applyNumberFormat="1" applyFont="1" applyBorder="1"/>
    <xf numFmtId="164" fontId="26" fillId="0" borderId="89" xfId="0" applyNumberFormat="1" applyFont="1" applyBorder="1"/>
    <xf numFmtId="10" fontId="191" fillId="0" borderId="87" xfId="0" applyNumberFormat="1" applyFont="1" applyBorder="1"/>
    <xf numFmtId="10" fontId="191" fillId="0" borderId="90" xfId="0" applyNumberFormat="1" applyFont="1" applyBorder="1"/>
    <xf numFmtId="0" fontId="0" fillId="0" borderId="100" xfId="0" applyBorder="1"/>
    <xf numFmtId="6" fontId="26" fillId="0" borderId="89" xfId="0" applyNumberFormat="1" applyFont="1" applyBorder="1"/>
    <xf numFmtId="6" fontId="16" fillId="0" borderId="89" xfId="0" applyNumberFormat="1" applyFont="1" applyBorder="1"/>
    <xf numFmtId="10" fontId="26" fillId="0" borderId="89" xfId="0" applyNumberFormat="1" applyFont="1" applyBorder="1"/>
    <xf numFmtId="164" fontId="26" fillId="0" borderId="90" xfId="0" applyNumberFormat="1" applyFont="1" applyBorder="1"/>
    <xf numFmtId="164" fontId="26" fillId="0" borderId="102" xfId="0" applyNumberFormat="1" applyFont="1" applyBorder="1"/>
    <xf numFmtId="0" fontId="26" fillId="0" borderId="86" xfId="0" applyFont="1" applyBorder="1"/>
    <xf numFmtId="0" fontId="26" fillId="0" borderId="87" xfId="0" applyFont="1" applyBorder="1"/>
    <xf numFmtId="0" fontId="26" fillId="0" borderId="88" xfId="0" applyFont="1" applyBorder="1"/>
    <xf numFmtId="0" fontId="26" fillId="0" borderId="89" xfId="0" applyFont="1" applyBorder="1"/>
    <xf numFmtId="0" fontId="26" fillId="0" borderId="90" xfId="0" applyFont="1" applyBorder="1"/>
    <xf numFmtId="0" fontId="26" fillId="0" borderId="102" xfId="0" applyFont="1" applyBorder="1"/>
    <xf numFmtId="164" fontId="23" fillId="0" borderId="102" xfId="0" applyNumberFormat="1" applyFont="1" applyBorder="1"/>
    <xf numFmtId="0" fontId="166" fillId="0" borderId="89" xfId="0" applyFont="1" applyFill="1" applyBorder="1"/>
    <xf numFmtId="1" fontId="6" fillId="0" borderId="0" xfId="1" applyNumberFormat="1" applyFont="1" applyBorder="1"/>
    <xf numFmtId="1" fontId="283" fillId="0" borderId="0" xfId="0" applyNumberFormat="1" applyFont="1" applyBorder="1"/>
    <xf numFmtId="1" fontId="245" fillId="0" borderId="0" xfId="0" applyNumberFormat="1" applyFont="1" applyBorder="1"/>
    <xf numFmtId="6" fontId="245" fillId="0" borderId="0" xfId="0" applyNumberFormat="1" applyFont="1" applyBorder="1"/>
    <xf numFmtId="10" fontId="248" fillId="0" borderId="0" xfId="0" applyNumberFormat="1" applyFont="1" applyBorder="1"/>
    <xf numFmtId="6" fontId="283" fillId="0" borderId="0" xfId="0" applyNumberFormat="1" applyFont="1" applyBorder="1" applyProtection="1">
      <protection locked="0"/>
    </xf>
    <xf numFmtId="1" fontId="6" fillId="0" borderId="86" xfId="1" applyNumberFormat="1" applyFont="1" applyBorder="1"/>
    <xf numFmtId="6" fontId="283" fillId="0" borderId="87" xfId="0" applyNumberFormat="1" applyFont="1" applyBorder="1" applyProtection="1">
      <protection locked="0"/>
    </xf>
    <xf numFmtId="6" fontId="283" fillId="0" borderId="89" xfId="0" applyNumberFormat="1" applyFont="1" applyBorder="1" applyProtection="1">
      <protection locked="0"/>
    </xf>
    <xf numFmtId="6" fontId="283" fillId="0" borderId="90" xfId="0" applyNumberFormat="1" applyFont="1" applyBorder="1" applyProtection="1">
      <protection locked="0"/>
    </xf>
    <xf numFmtId="0" fontId="251" fillId="42" borderId="116" xfId="0" applyFont="1" applyFill="1" applyBorder="1"/>
    <xf numFmtId="0" fontId="7" fillId="3" borderId="117" xfId="0" applyFont="1" applyFill="1" applyBorder="1" applyAlignment="1">
      <alignment wrapText="1"/>
    </xf>
    <xf numFmtId="0" fontId="7" fillId="5" borderId="117" xfId="0" applyFont="1" applyFill="1" applyBorder="1" applyAlignment="1">
      <alignment wrapText="1"/>
    </xf>
    <xf numFmtId="0" fontId="7" fillId="5" borderId="120" xfId="0" applyFont="1" applyFill="1" applyBorder="1" applyAlignment="1">
      <alignment wrapText="1"/>
    </xf>
    <xf numFmtId="1" fontId="6" fillId="0" borderId="138" xfId="1" applyNumberFormat="1" applyFont="1" applyBorder="1"/>
    <xf numFmtId="1" fontId="6" fillId="0" borderId="134" xfId="1" applyNumberFormat="1" applyFont="1" applyBorder="1"/>
    <xf numFmtId="1" fontId="6" fillId="0" borderId="132" xfId="1" applyNumberFormat="1" applyFont="1" applyBorder="1"/>
    <xf numFmtId="0" fontId="193" fillId="3" borderId="116" xfId="0" applyFont="1" applyFill="1" applyBorder="1" applyAlignment="1">
      <alignment wrapText="1"/>
    </xf>
    <xf numFmtId="0" fontId="193" fillId="3" borderId="117" xfId="0" applyFont="1" applyFill="1" applyBorder="1" applyAlignment="1">
      <alignment wrapText="1"/>
    </xf>
    <xf numFmtId="0" fontId="7" fillId="42" borderId="117" xfId="0" applyFont="1" applyFill="1" applyBorder="1" applyAlignment="1">
      <alignment wrapText="1"/>
    </xf>
    <xf numFmtId="37" fontId="8" fillId="0" borderId="100" xfId="1" applyNumberFormat="1" applyFont="1" applyBorder="1"/>
    <xf numFmtId="6" fontId="10" fillId="0" borderId="101" xfId="0" applyNumberFormat="1" applyFont="1" applyBorder="1"/>
    <xf numFmtId="0" fontId="30" fillId="0" borderId="101" xfId="0" applyFont="1" applyFill="1" applyBorder="1"/>
    <xf numFmtId="0" fontId="31" fillId="0" borderId="101" xfId="0" applyFont="1" applyBorder="1"/>
    <xf numFmtId="44" fontId="48" fillId="0" borderId="86" xfId="1" applyFont="1" applyBorder="1"/>
    <xf numFmtId="0" fontId="321" fillId="0" borderId="86" xfId="0" applyFont="1" applyFill="1" applyBorder="1"/>
    <xf numFmtId="0" fontId="321" fillId="0" borderId="86" xfId="0" applyFont="1" applyBorder="1"/>
    <xf numFmtId="0" fontId="193" fillId="6" borderId="140" xfId="0" applyFont="1" applyFill="1" applyBorder="1" applyAlignment="1">
      <alignment wrapText="1"/>
    </xf>
    <xf numFmtId="0" fontId="7" fillId="5" borderId="33" xfId="0" applyFont="1" applyFill="1" applyBorder="1" applyAlignment="1">
      <alignment wrapText="1"/>
    </xf>
    <xf numFmtId="0" fontId="16" fillId="0" borderId="0" xfId="0" applyFont="1"/>
    <xf numFmtId="1" fontId="6" fillId="0" borderId="100" xfId="1" applyNumberFormat="1" applyFont="1" applyBorder="1"/>
    <xf numFmtId="1" fontId="254" fillId="0" borderId="101" xfId="0" applyNumberFormat="1" applyFont="1" applyBorder="1"/>
    <xf numFmtId="1" fontId="245" fillId="0" borderId="101" xfId="0" applyNumberFormat="1" applyFont="1" applyBorder="1"/>
    <xf numFmtId="6" fontId="245" fillId="0" borderId="101" xfId="0" applyNumberFormat="1" applyFont="1" applyBorder="1"/>
    <xf numFmtId="10" fontId="248" fillId="0" borderId="101" xfId="0" applyNumberFormat="1" applyFont="1" applyBorder="1"/>
    <xf numFmtId="6" fontId="283" fillId="0" borderId="101" xfId="0" applyNumberFormat="1" applyFont="1" applyBorder="1" applyProtection="1">
      <protection locked="0"/>
    </xf>
    <xf numFmtId="6" fontId="283" fillId="0" borderId="102" xfId="0" applyNumberFormat="1" applyFont="1" applyBorder="1" applyProtection="1">
      <protection locked="0"/>
    </xf>
    <xf numFmtId="1" fontId="283" fillId="0" borderId="0" xfId="0" applyNumberFormat="1" applyFont="1" applyBorder="1" applyProtection="1">
      <protection locked="0"/>
    </xf>
    <xf numFmtId="1" fontId="245" fillId="0" borderId="0" xfId="0" applyNumberFormat="1" applyFont="1" applyBorder="1" applyProtection="1">
      <protection locked="0"/>
    </xf>
    <xf numFmtId="6" fontId="245" fillId="0" borderId="0" xfId="0" applyNumberFormat="1" applyFont="1" applyBorder="1" applyProtection="1">
      <protection locked="0"/>
    </xf>
    <xf numFmtId="1" fontId="283" fillId="0" borderId="89" xfId="0" applyNumberFormat="1" applyFont="1" applyBorder="1" applyProtection="1">
      <protection locked="0"/>
    </xf>
    <xf numFmtId="1" fontId="245" fillId="0" borderId="89" xfId="0" applyNumberFormat="1" applyFont="1" applyBorder="1" applyProtection="1">
      <protection locked="0"/>
    </xf>
    <xf numFmtId="6" fontId="245" fillId="0" borderId="89" xfId="0" applyNumberFormat="1" applyFont="1" applyBorder="1" applyProtection="1">
      <protection locked="0"/>
    </xf>
    <xf numFmtId="10" fontId="248" fillId="0" borderId="89" xfId="0" applyNumberFormat="1" applyFont="1" applyBorder="1" applyProtection="1">
      <protection locked="0"/>
    </xf>
    <xf numFmtId="0" fontId="33" fillId="0" borderId="0" xfId="2" applyNumberFormat="1" applyAlignment="1" applyProtection="1"/>
    <xf numFmtId="0" fontId="178" fillId="0" borderId="100" xfId="0" applyFont="1" applyBorder="1"/>
    <xf numFmtId="0" fontId="0" fillId="0" borderId="88" xfId="0" applyBorder="1"/>
    <xf numFmtId="0" fontId="2" fillId="0" borderId="89" xfId="0" applyFont="1" applyFill="1" applyBorder="1"/>
    <xf numFmtId="0" fontId="0" fillId="0" borderId="90" xfId="0" applyFont="1" applyBorder="1"/>
    <xf numFmtId="164" fontId="249" fillId="0" borderId="0" xfId="0" applyNumberFormat="1" applyFont="1" applyBorder="1"/>
    <xf numFmtId="164" fontId="249" fillId="0" borderId="89" xfId="0" applyNumberFormat="1" applyFont="1" applyBorder="1"/>
    <xf numFmtId="0" fontId="251" fillId="35" borderId="24" xfId="0" applyFont="1" applyFill="1" applyBorder="1" applyAlignment="1">
      <alignment wrapText="1"/>
    </xf>
    <xf numFmtId="0" fontId="323" fillId="0" borderId="0" xfId="0" applyFont="1" applyBorder="1"/>
    <xf numFmtId="1" fontId="6" fillId="0" borderId="23" xfId="1" applyNumberFormat="1" applyFont="1" applyBorder="1"/>
    <xf numFmtId="1" fontId="254" fillId="0" borderId="24" xfId="0" applyNumberFormat="1" applyFont="1" applyBorder="1"/>
    <xf numFmtId="1" fontId="245" fillId="0" borderId="24" xfId="0" applyNumberFormat="1" applyFont="1" applyBorder="1"/>
    <xf numFmtId="6" fontId="245" fillId="0" borderId="24" xfId="0" applyNumberFormat="1" applyFont="1" applyBorder="1"/>
    <xf numFmtId="1" fontId="256" fillId="0" borderId="24" xfId="0" applyNumberFormat="1" applyFont="1" applyBorder="1" applyAlignment="1">
      <alignment horizontal="left"/>
    </xf>
    <xf numFmtId="6" fontId="283" fillId="0" borderId="146" xfId="0" applyNumberFormat="1" applyFont="1" applyBorder="1" applyProtection="1">
      <protection locked="0"/>
    </xf>
    <xf numFmtId="1" fontId="6" fillId="0" borderId="24" xfId="1" applyNumberFormat="1" applyFont="1" applyBorder="1"/>
    <xf numFmtId="38" fontId="254" fillId="0" borderId="25" xfId="0" applyNumberFormat="1" applyFont="1" applyBorder="1"/>
    <xf numFmtId="10" fontId="248" fillId="0" borderId="24" xfId="0" applyNumberFormat="1" applyFont="1" applyBorder="1"/>
    <xf numFmtId="6" fontId="283" fillId="0" borderId="24" xfId="0" applyNumberFormat="1" applyFont="1" applyBorder="1" applyProtection="1">
      <protection locked="0"/>
    </xf>
    <xf numFmtId="6" fontId="283" fillId="0" borderId="25" xfId="0" applyNumberFormat="1" applyFont="1" applyBorder="1" applyProtection="1">
      <protection locked="0"/>
    </xf>
    <xf numFmtId="6" fontId="257" fillId="0" borderId="0" xfId="0" applyNumberFormat="1" applyFont="1" applyBorder="1"/>
    <xf numFmtId="6" fontId="255" fillId="0" borderId="0" xfId="0" applyNumberFormat="1" applyFont="1" applyBorder="1"/>
    <xf numFmtId="6" fontId="255" fillId="0" borderId="89" xfId="0" applyNumberFormat="1" applyFont="1" applyBorder="1"/>
    <xf numFmtId="38" fontId="255" fillId="0" borderId="0" xfId="0" applyNumberFormat="1" applyFont="1" applyBorder="1"/>
    <xf numFmtId="164" fontId="16" fillId="0" borderId="21" xfId="0" applyNumberFormat="1" applyFont="1" applyBorder="1"/>
    <xf numFmtId="164" fontId="16" fillId="0" borderId="121" xfId="0" applyNumberFormat="1" applyFont="1" applyBorder="1"/>
    <xf numFmtId="164" fontId="23" fillId="0" borderId="114" xfId="0" applyNumberFormat="1" applyFont="1" applyBorder="1"/>
    <xf numFmtId="0" fontId="11" fillId="0" borderId="137" xfId="0" applyFont="1" applyBorder="1" applyAlignment="1">
      <alignment wrapText="1"/>
    </xf>
    <xf numFmtId="164" fontId="319" fillId="0" borderId="102" xfId="0" applyNumberFormat="1" applyFont="1" applyFill="1" applyBorder="1"/>
    <xf numFmtId="0" fontId="279" fillId="0" borderId="86" xfId="0" applyFont="1" applyBorder="1"/>
    <xf numFmtId="10" fontId="10" fillId="46" borderId="0" xfId="0" applyNumberFormat="1" applyFont="1" applyFill="1" applyBorder="1"/>
    <xf numFmtId="0" fontId="0" fillId="0" borderId="4" xfId="0" applyFont="1" applyBorder="1"/>
    <xf numFmtId="6" fontId="10" fillId="0" borderId="5" xfId="0" applyNumberFormat="1" applyFont="1" applyBorder="1"/>
    <xf numFmtId="0" fontId="0" fillId="0" borderId="18" xfId="0" applyFont="1" applyBorder="1"/>
    <xf numFmtId="6" fontId="10" fillId="0" borderId="19" xfId="0" applyNumberFormat="1" applyFont="1" applyBorder="1"/>
    <xf numFmtId="0" fontId="251" fillId="0" borderId="0" xfId="0" applyFont="1"/>
    <xf numFmtId="1" fontId="76" fillId="0" borderId="0" xfId="0" applyNumberFormat="1" applyFont="1" applyBorder="1"/>
    <xf numFmtId="164" fontId="328" fillId="0" borderId="21" xfId="0" applyNumberFormat="1" applyFont="1" applyBorder="1"/>
    <xf numFmtId="164" fontId="328" fillId="0" borderId="101" xfId="0" applyNumberFormat="1" applyFont="1" applyBorder="1"/>
    <xf numFmtId="164" fontId="328" fillId="0" borderId="12" xfId="0" applyNumberFormat="1" applyFont="1" applyBorder="1"/>
    <xf numFmtId="164" fontId="328" fillId="0" borderId="0" xfId="0" applyNumberFormat="1" applyFont="1" applyBorder="1"/>
    <xf numFmtId="164" fontId="329" fillId="0" borderId="12" xfId="0" applyNumberFormat="1" applyFont="1" applyBorder="1"/>
    <xf numFmtId="164" fontId="329" fillId="0" borderId="0" xfId="0" applyNumberFormat="1" applyFont="1" applyBorder="1"/>
    <xf numFmtId="170" fontId="331" fillId="0" borderId="148" xfId="0" applyNumberFormat="1" applyFont="1" applyBorder="1" applyProtection="1">
      <protection locked="0"/>
    </xf>
    <xf numFmtId="0" fontId="47" fillId="23" borderId="80" xfId="0" applyFont="1" applyFill="1" applyBorder="1" applyProtection="1">
      <protection locked="0"/>
    </xf>
    <xf numFmtId="0" fontId="7" fillId="7" borderId="149" xfId="0" applyFont="1" applyFill="1" applyBorder="1"/>
    <xf numFmtId="0" fontId="16" fillId="7" borderId="149" xfId="0" applyFont="1" applyFill="1" applyBorder="1"/>
    <xf numFmtId="164" fontId="47" fillId="23" borderId="148" xfId="0" applyNumberFormat="1" applyFont="1" applyFill="1" applyBorder="1" applyAlignment="1" applyProtection="1">
      <alignment horizontal="center"/>
      <protection locked="0"/>
    </xf>
    <xf numFmtId="10" fontId="142" fillId="0" borderId="89" xfId="0" applyNumberFormat="1" applyFont="1" applyBorder="1" applyProtection="1">
      <protection locked="0"/>
    </xf>
    <xf numFmtId="0" fontId="60" fillId="0" borderId="89" xfId="0" applyFont="1" applyBorder="1"/>
    <xf numFmtId="0" fontId="251" fillId="35" borderId="25" xfId="0" applyFont="1" applyFill="1" applyBorder="1" applyAlignment="1">
      <alignment wrapText="1"/>
    </xf>
    <xf numFmtId="0" fontId="1" fillId="32" borderId="86" xfId="0" applyFont="1" applyFill="1" applyBorder="1"/>
    <xf numFmtId="0" fontId="0" fillId="32" borderId="0" xfId="0" applyFont="1" applyFill="1" applyBorder="1"/>
    <xf numFmtId="0" fontId="0" fillId="32" borderId="0" xfId="0" applyFill="1" applyBorder="1"/>
    <xf numFmtId="37" fontId="8" fillId="0" borderId="86" xfId="1" applyNumberFormat="1" applyFont="1" applyBorder="1"/>
    <xf numFmtId="0" fontId="251" fillId="33" borderId="23" xfId="0" applyFont="1" applyFill="1" applyBorder="1" applyAlignment="1">
      <alignment wrapText="1"/>
    </xf>
    <xf numFmtId="37" fontId="8" fillId="0" borderId="88" xfId="1" applyNumberFormat="1" applyFont="1" applyBorder="1"/>
    <xf numFmtId="164" fontId="0" fillId="0" borderId="0" xfId="0" applyNumberFormat="1" applyFont="1" applyBorder="1"/>
    <xf numFmtId="164" fontId="0" fillId="0" borderId="89" xfId="0" applyNumberFormat="1" applyFont="1" applyBorder="1"/>
    <xf numFmtId="164" fontId="0" fillId="0" borderId="101" xfId="0" applyNumberFormat="1" applyFont="1" applyBorder="1"/>
    <xf numFmtId="164" fontId="0" fillId="0" borderId="12" xfId="0" applyNumberFormat="1" applyFont="1" applyBorder="1"/>
    <xf numFmtId="164" fontId="0" fillId="0" borderId="121" xfId="0" applyNumberFormat="1" applyFont="1" applyBorder="1"/>
    <xf numFmtId="37" fontId="8" fillId="0" borderId="86" xfId="1" applyNumberFormat="1" applyFont="1" applyFill="1" applyBorder="1"/>
    <xf numFmtId="164" fontId="256" fillId="0" borderId="87" xfId="0" applyNumberFormat="1" applyFont="1" applyBorder="1"/>
    <xf numFmtId="164" fontId="256" fillId="0" borderId="90" xfId="0" applyNumberFormat="1" applyFont="1" applyBorder="1"/>
    <xf numFmtId="164" fontId="256" fillId="0" borderId="113" xfId="0" applyNumberFormat="1" applyFont="1" applyBorder="1"/>
    <xf numFmtId="164" fontId="256" fillId="0" borderId="32" xfId="0" applyNumberFormat="1" applyFont="1" applyBorder="1"/>
    <xf numFmtId="164" fontId="256" fillId="0" borderId="114" xfId="0" applyNumberFormat="1" applyFont="1" applyBorder="1"/>
    <xf numFmtId="164" fontId="256" fillId="0" borderId="86" xfId="0" applyNumberFormat="1" applyFont="1" applyBorder="1"/>
    <xf numFmtId="164" fontId="256" fillId="0" borderId="88" xfId="0" applyNumberFormat="1" applyFont="1" applyBorder="1"/>
    <xf numFmtId="0" fontId="0" fillId="0" borderId="87" xfId="0" applyBorder="1" applyAlignment="1">
      <alignment wrapText="1"/>
    </xf>
    <xf numFmtId="0" fontId="251" fillId="39" borderId="23" xfId="0" applyFont="1" applyFill="1" applyBorder="1" applyAlignment="1">
      <alignment wrapText="1"/>
    </xf>
    <xf numFmtId="0" fontId="251" fillId="39" borderId="25" xfId="0" applyFont="1" applyFill="1" applyBorder="1" applyAlignment="1">
      <alignment wrapText="1"/>
    </xf>
    <xf numFmtId="0" fontId="316" fillId="39" borderId="23" xfId="0" applyFont="1" applyFill="1" applyBorder="1" applyAlignment="1">
      <alignment wrapText="1"/>
    </xf>
    <xf numFmtId="0" fontId="316" fillId="39" borderId="25" xfId="0" applyFont="1" applyFill="1" applyBorder="1" applyAlignment="1">
      <alignment wrapText="1"/>
    </xf>
    <xf numFmtId="0" fontId="118" fillId="0" borderId="0" xfId="0" applyFont="1" applyBorder="1" applyProtection="1"/>
    <xf numFmtId="0" fontId="251" fillId="0" borderId="0" xfId="0" applyFont="1" applyBorder="1" applyProtection="1"/>
    <xf numFmtId="0" fontId="254" fillId="0" borderId="0" xfId="0" applyFont="1" applyBorder="1" applyProtection="1"/>
    <xf numFmtId="10" fontId="257" fillId="0" borderId="0" xfId="0" applyNumberFormat="1" applyFont="1" applyBorder="1" applyProtection="1"/>
    <xf numFmtId="10" fontId="257" fillId="0" borderId="0" xfId="0" applyNumberFormat="1" applyFont="1" applyBorder="1" applyAlignment="1" applyProtection="1">
      <alignment horizontal="center"/>
    </xf>
    <xf numFmtId="0" fontId="47" fillId="0" borderId="0" xfId="0" applyFont="1" applyBorder="1" applyProtection="1"/>
    <xf numFmtId="0" fontId="118" fillId="0" borderId="89" xfId="0" applyFont="1" applyBorder="1" applyProtection="1"/>
    <xf numFmtId="10" fontId="257" fillId="0" borderId="89" xfId="0" applyNumberFormat="1" applyFont="1" applyBorder="1" applyProtection="1"/>
    <xf numFmtId="0" fontId="251" fillId="0" borderId="89" xfId="0" applyFont="1" applyBorder="1" applyProtection="1"/>
    <xf numFmtId="10" fontId="257" fillId="0" borderId="89" xfId="0" applyNumberFormat="1" applyFont="1" applyBorder="1" applyAlignment="1" applyProtection="1">
      <alignment horizontal="center"/>
    </xf>
    <xf numFmtId="0" fontId="47" fillId="0" borderId="89" xfId="0" applyFont="1" applyBorder="1" applyProtection="1"/>
    <xf numFmtId="0" fontId="0" fillId="0" borderId="89" xfId="0" applyBorder="1" applyProtection="1"/>
    <xf numFmtId="164" fontId="69" fillId="0" borderId="0" xfId="0" applyNumberFormat="1" applyFont="1" applyFill="1" applyBorder="1"/>
    <xf numFmtId="0" fontId="207" fillId="40" borderId="22" xfId="0" applyFont="1" applyFill="1" applyBorder="1"/>
    <xf numFmtId="0" fontId="207" fillId="40" borderId="2" xfId="0" applyFont="1" applyFill="1" applyBorder="1"/>
    <xf numFmtId="164" fontId="207" fillId="40" borderId="10" xfId="0" applyNumberFormat="1" applyFont="1" applyFill="1" applyBorder="1"/>
    <xf numFmtId="164" fontId="207" fillId="40" borderId="9" xfId="0" applyNumberFormat="1" applyFont="1" applyFill="1" applyBorder="1"/>
    <xf numFmtId="0" fontId="207" fillId="24" borderId="22" xfId="0" applyFont="1" applyFill="1" applyBorder="1"/>
    <xf numFmtId="0" fontId="207" fillId="24" borderId="2" xfId="0" applyFont="1" applyFill="1" applyBorder="1"/>
    <xf numFmtId="164" fontId="207" fillId="24" borderId="10" xfId="0" applyNumberFormat="1" applyFont="1" applyFill="1" applyBorder="1"/>
    <xf numFmtId="164" fontId="207" fillId="24" borderId="9" xfId="0" applyNumberFormat="1" applyFont="1" applyFill="1" applyBorder="1"/>
    <xf numFmtId="0" fontId="180" fillId="24" borderId="24" xfId="0" applyFont="1" applyFill="1" applyBorder="1" applyAlignment="1">
      <alignment wrapText="1"/>
    </xf>
    <xf numFmtId="0" fontId="180" fillId="35" borderId="24" xfId="0" applyFont="1" applyFill="1" applyBorder="1" applyAlignment="1">
      <alignment wrapText="1"/>
    </xf>
    <xf numFmtId="0" fontId="207" fillId="35" borderId="22" xfId="0" applyFont="1" applyFill="1" applyBorder="1"/>
    <xf numFmtId="0" fontId="207" fillId="35" borderId="2" xfId="0" applyFont="1" applyFill="1" applyBorder="1"/>
    <xf numFmtId="164" fontId="207" fillId="35" borderId="10" xfId="0" applyNumberFormat="1" applyFont="1" applyFill="1" applyBorder="1"/>
    <xf numFmtId="164" fontId="207" fillId="35" borderId="9" xfId="0" applyNumberFormat="1" applyFont="1" applyFill="1" applyBorder="1"/>
    <xf numFmtId="0" fontId="11" fillId="26" borderId="24" xfId="0" applyFont="1" applyFill="1" applyBorder="1" applyAlignment="1">
      <alignment wrapText="1"/>
    </xf>
    <xf numFmtId="0" fontId="207" fillId="33" borderId="22" xfId="0" applyFont="1" applyFill="1" applyBorder="1"/>
    <xf numFmtId="0" fontId="207" fillId="33" borderId="2" xfId="0" applyFont="1" applyFill="1" applyBorder="1"/>
    <xf numFmtId="164" fontId="207" fillId="33" borderId="10" xfId="0" applyNumberFormat="1" applyFont="1" applyFill="1" applyBorder="1"/>
    <xf numFmtId="164" fontId="207" fillId="33" borderId="9" xfId="0" applyNumberFormat="1" applyFont="1" applyFill="1" applyBorder="1"/>
    <xf numFmtId="0" fontId="207" fillId="30" borderId="22" xfId="0" applyFont="1" applyFill="1" applyBorder="1"/>
    <xf numFmtId="0" fontId="207" fillId="30" borderId="2" xfId="0" applyFont="1" applyFill="1" applyBorder="1"/>
    <xf numFmtId="164" fontId="207" fillId="30" borderId="10" xfId="0" applyNumberFormat="1" applyFont="1" applyFill="1" applyBorder="1"/>
    <xf numFmtId="164" fontId="207" fillId="30" borderId="9" xfId="0" applyNumberFormat="1" applyFont="1" applyFill="1" applyBorder="1"/>
    <xf numFmtId="0" fontId="207" fillId="34" borderId="22" xfId="0" applyFont="1" applyFill="1" applyBorder="1"/>
    <xf numFmtId="0" fontId="207" fillId="34" borderId="2" xfId="0" applyFont="1" applyFill="1" applyBorder="1"/>
    <xf numFmtId="164" fontId="207" fillId="34" borderId="10" xfId="0" applyNumberFormat="1" applyFont="1" applyFill="1" applyBorder="1"/>
    <xf numFmtId="164" fontId="207" fillId="34" borderId="9" xfId="0" applyNumberFormat="1" applyFont="1" applyFill="1" applyBorder="1"/>
    <xf numFmtId="164" fontId="319" fillId="0" borderId="100" xfId="0" applyNumberFormat="1" applyFont="1" applyBorder="1"/>
    <xf numFmtId="164" fontId="319" fillId="0" borderId="102" xfId="0" applyNumberFormat="1" applyFont="1" applyBorder="1"/>
    <xf numFmtId="164" fontId="319" fillId="0" borderId="86" xfId="0" applyNumberFormat="1" applyFont="1" applyBorder="1"/>
    <xf numFmtId="164" fontId="319" fillId="0" borderId="87" xfId="0" applyNumberFormat="1" applyFont="1" applyBorder="1"/>
    <xf numFmtId="164" fontId="319" fillId="0" borderId="88" xfId="0" applyNumberFormat="1" applyFont="1" applyBorder="1"/>
    <xf numFmtId="164" fontId="319" fillId="0" borderId="90" xfId="0" applyNumberFormat="1" applyFont="1" applyBorder="1"/>
    <xf numFmtId="164" fontId="11" fillId="34" borderId="82" xfId="0" applyNumberFormat="1" applyFont="1" applyFill="1" applyBorder="1"/>
    <xf numFmtId="0" fontId="207" fillId="34" borderId="134" xfId="0" applyFont="1" applyFill="1" applyBorder="1"/>
    <xf numFmtId="0" fontId="11" fillId="34" borderId="134" xfId="0" applyFont="1" applyFill="1" applyBorder="1"/>
    <xf numFmtId="0" fontId="207" fillId="33" borderId="134" xfId="0" applyFont="1" applyFill="1" applyBorder="1"/>
    <xf numFmtId="164" fontId="11" fillId="33" borderId="82" xfId="0" applyNumberFormat="1" applyFont="1" applyFill="1" applyBorder="1"/>
    <xf numFmtId="0" fontId="186" fillId="33" borderId="134" xfId="0" applyFont="1" applyFill="1" applyBorder="1"/>
    <xf numFmtId="0" fontId="167" fillId="0" borderId="0" xfId="0" applyFont="1" applyFill="1" applyBorder="1"/>
    <xf numFmtId="0" fontId="173" fillId="9" borderId="46" xfId="0" applyFont="1" applyFill="1" applyBorder="1"/>
    <xf numFmtId="6" fontId="249" fillId="0" borderId="0" xfId="0" applyNumberFormat="1" applyFont="1" applyFill="1" applyBorder="1"/>
    <xf numFmtId="10" fontId="0" fillId="0" borderId="0" xfId="0" applyNumberFormat="1" applyFill="1" applyBorder="1"/>
    <xf numFmtId="164" fontId="11" fillId="0" borderId="0" xfId="0" applyNumberFormat="1" applyFont="1" applyFill="1" applyBorder="1"/>
    <xf numFmtId="164" fontId="11" fillId="0" borderId="102" xfId="0" applyNumberFormat="1" applyFont="1" applyFill="1" applyBorder="1"/>
    <xf numFmtId="37" fontId="8" fillId="0" borderId="101" xfId="1" applyNumberFormat="1" applyFont="1" applyBorder="1"/>
    <xf numFmtId="37" fontId="8" fillId="0" borderId="0" xfId="1" applyNumberFormat="1" applyFont="1" applyBorder="1"/>
    <xf numFmtId="37" fontId="8" fillId="0" borderId="0" xfId="1" applyNumberFormat="1" applyFont="1" applyFill="1" applyBorder="1"/>
    <xf numFmtId="37" fontId="8" fillId="0" borderId="89" xfId="1" applyNumberFormat="1" applyFont="1" applyBorder="1"/>
    <xf numFmtId="164" fontId="23" fillId="0" borderId="86" xfId="0" applyNumberFormat="1" applyFont="1" applyBorder="1"/>
    <xf numFmtId="0" fontId="0" fillId="0" borderId="150" xfId="0" applyBorder="1"/>
    <xf numFmtId="0" fontId="0" fillId="0" borderId="151" xfId="0" applyBorder="1"/>
    <xf numFmtId="0" fontId="0" fillId="0" borderId="152" xfId="0" applyBorder="1"/>
    <xf numFmtId="0" fontId="1" fillId="0" borderId="153" xfId="0" applyFont="1" applyFill="1" applyBorder="1"/>
    <xf numFmtId="0" fontId="0" fillId="0" borderId="154" xfId="0" applyBorder="1"/>
    <xf numFmtId="0" fontId="0" fillId="0" borderId="153" xfId="0" applyBorder="1"/>
    <xf numFmtId="0" fontId="4" fillId="0" borderId="153" xfId="0" applyFont="1" applyBorder="1"/>
    <xf numFmtId="0" fontId="2" fillId="0" borderId="153" xfId="0" applyFont="1" applyFill="1" applyBorder="1"/>
    <xf numFmtId="0" fontId="0" fillId="0" borderId="155" xfId="0" applyBorder="1"/>
    <xf numFmtId="0" fontId="0" fillId="0" borderId="156" xfId="0" applyBorder="1"/>
    <xf numFmtId="0" fontId="0" fillId="0" borderId="157" xfId="0" applyBorder="1"/>
    <xf numFmtId="0" fontId="2" fillId="0" borderId="54" xfId="0" applyFont="1" applyBorder="1"/>
    <xf numFmtId="0" fontId="96" fillId="0" borderId="55" xfId="0" applyFont="1" applyFill="1" applyBorder="1"/>
    <xf numFmtId="0" fontId="96" fillId="0" borderId="57" xfId="0" applyFont="1" applyFill="1" applyBorder="1"/>
    <xf numFmtId="1" fontId="11" fillId="0" borderId="86" xfId="1" applyNumberFormat="1" applyFont="1" applyFill="1" applyBorder="1"/>
    <xf numFmtId="1" fontId="283" fillId="0" borderId="87" xfId="0" applyNumberFormat="1" applyFont="1" applyFill="1" applyBorder="1" applyProtection="1">
      <protection locked="0"/>
    </xf>
    <xf numFmtId="167" fontId="245" fillId="0" borderId="101" xfId="0" applyNumberFormat="1" applyFont="1" applyFill="1" applyBorder="1" applyProtection="1">
      <protection locked="0"/>
    </xf>
    <xf numFmtId="167" fontId="257" fillId="0" borderId="113" xfId="0" applyNumberFormat="1" applyFont="1" applyFill="1" applyBorder="1" applyProtection="1"/>
    <xf numFmtId="10" fontId="257" fillId="0" borderId="0" xfId="0" applyNumberFormat="1" applyFont="1" applyFill="1" applyBorder="1" applyProtection="1"/>
    <xf numFmtId="0" fontId="119" fillId="0" borderId="0" xfId="0" applyFont="1" applyFill="1" applyBorder="1"/>
    <xf numFmtId="10" fontId="76" fillId="0" borderId="0" xfId="0" applyNumberFormat="1" applyFont="1" applyFill="1" applyBorder="1"/>
    <xf numFmtId="0" fontId="265" fillId="0" borderId="86" xfId="0" applyFont="1" applyFill="1" applyBorder="1"/>
    <xf numFmtId="44" fontId="90" fillId="0" borderId="86" xfId="1" applyFont="1" applyFill="1" applyBorder="1"/>
    <xf numFmtId="0" fontId="69" fillId="0" borderId="0" xfId="0" applyFont="1" applyFill="1" applyBorder="1"/>
    <xf numFmtId="10" fontId="69" fillId="0" borderId="0" xfId="0" applyNumberFormat="1" applyFont="1" applyFill="1" applyBorder="1"/>
    <xf numFmtId="0" fontId="311" fillId="0" borderId="0" xfId="0" applyFont="1" applyFill="1" applyBorder="1"/>
    <xf numFmtId="6" fontId="33" fillId="0" borderId="0" xfId="2" applyNumberFormat="1" applyFill="1" applyBorder="1" applyAlignment="1" applyProtection="1">
      <protection locked="0"/>
    </xf>
    <xf numFmtId="0" fontId="338" fillId="0" borderId="0" xfId="0" applyFont="1" applyFill="1" applyBorder="1"/>
    <xf numFmtId="0" fontId="337" fillId="0" borderId="0" xfId="0" applyFont="1" applyFill="1" applyBorder="1"/>
    <xf numFmtId="0" fontId="44" fillId="0" borderId="100" xfId="0" applyFont="1" applyFill="1" applyBorder="1"/>
    <xf numFmtId="0" fontId="9" fillId="0" borderId="1" xfId="0" applyFont="1" applyFill="1" applyBorder="1"/>
    <xf numFmtId="10" fontId="10" fillId="0" borderId="1" xfId="0" applyNumberFormat="1" applyFont="1" applyFill="1" applyBorder="1"/>
    <xf numFmtId="0" fontId="38" fillId="0" borderId="86" xfId="0" applyFont="1" applyFill="1" applyBorder="1"/>
    <xf numFmtId="6" fontId="90" fillId="0" borderId="0" xfId="0" applyNumberFormat="1" applyFont="1" applyFill="1" applyBorder="1" applyProtection="1">
      <protection locked="0"/>
    </xf>
    <xf numFmtId="0" fontId="38" fillId="0" borderId="88" xfId="0" applyFont="1" applyFill="1" applyBorder="1"/>
    <xf numFmtId="0" fontId="0" fillId="0" borderId="89" xfId="0" applyFont="1" applyFill="1" applyBorder="1"/>
    <xf numFmtId="0" fontId="251" fillId="48" borderId="24" xfId="0" applyFont="1" applyFill="1" applyBorder="1" applyAlignment="1">
      <alignment wrapText="1"/>
    </xf>
    <xf numFmtId="0" fontId="251" fillId="48" borderId="33" xfId="0" applyFont="1" applyFill="1" applyBorder="1" applyAlignment="1">
      <alignment wrapText="1"/>
    </xf>
    <xf numFmtId="0" fontId="251" fillId="48" borderId="158" xfId="0" applyFont="1" applyFill="1" applyBorder="1" applyAlignment="1">
      <alignment wrapText="1"/>
    </xf>
    <xf numFmtId="0" fontId="321" fillId="0" borderId="0" xfId="0" applyFont="1" applyFill="1" applyBorder="1"/>
    <xf numFmtId="10" fontId="296" fillId="0" borderId="0" xfId="0" applyNumberFormat="1" applyFont="1" applyFill="1" applyBorder="1" applyProtection="1">
      <protection locked="0"/>
    </xf>
    <xf numFmtId="10" fontId="257" fillId="0" borderId="21" xfId="0" applyNumberFormat="1" applyFont="1" applyFill="1" applyBorder="1" applyProtection="1"/>
    <xf numFmtId="0" fontId="0" fillId="0" borderId="87" xfId="0" applyFill="1" applyBorder="1" applyAlignment="1">
      <alignment wrapText="1"/>
    </xf>
    <xf numFmtId="6" fontId="283" fillId="0" borderId="0" xfId="0" applyNumberFormat="1" applyFont="1" applyFill="1" applyBorder="1" applyProtection="1">
      <protection locked="0"/>
    </xf>
    <xf numFmtId="44" fontId="89" fillId="0" borderId="86" xfId="1" applyFont="1" applyFill="1" applyBorder="1"/>
    <xf numFmtId="10" fontId="15" fillId="0" borderId="0" xfId="0" applyNumberFormat="1" applyFont="1" applyFill="1" applyBorder="1"/>
    <xf numFmtId="44" fontId="334" fillId="23" borderId="23" xfId="1" applyFont="1" applyFill="1" applyBorder="1" applyAlignment="1">
      <alignment wrapText="1"/>
    </xf>
    <xf numFmtId="0" fontId="334" fillId="23" borderId="25" xfId="0" applyFont="1" applyFill="1" applyBorder="1" applyAlignment="1">
      <alignment wrapText="1"/>
    </xf>
    <xf numFmtId="10" fontId="334" fillId="35" borderId="24" xfId="0" applyNumberFormat="1" applyFont="1" applyFill="1" applyBorder="1" applyAlignment="1">
      <alignment wrapText="1"/>
    </xf>
    <xf numFmtId="6" fontId="205" fillId="19" borderId="0" xfId="0" applyNumberFormat="1" applyFont="1" applyFill="1" applyBorder="1" applyProtection="1"/>
    <xf numFmtId="38" fontId="205" fillId="19" borderId="0" xfId="0" applyNumberFormat="1" applyFont="1" applyFill="1" applyBorder="1" applyProtection="1"/>
    <xf numFmtId="10" fontId="205" fillId="19" borderId="0" xfId="0" applyNumberFormat="1" applyFont="1" applyFill="1" applyBorder="1" applyProtection="1"/>
    <xf numFmtId="0" fontId="81" fillId="19" borderId="0" xfId="0" applyFont="1" applyFill="1" applyBorder="1" applyProtection="1"/>
    <xf numFmtId="0" fontId="7" fillId="19" borderId="0" xfId="0" applyFont="1" applyFill="1" applyBorder="1" applyProtection="1"/>
    <xf numFmtId="0" fontId="128" fillId="19" borderId="0" xfId="0" applyFont="1" applyFill="1" applyBorder="1" applyProtection="1"/>
    <xf numFmtId="0" fontId="143" fillId="19" borderId="0" xfId="0" applyFont="1" applyFill="1" applyBorder="1" applyProtection="1"/>
    <xf numFmtId="0" fontId="60" fillId="19" borderId="0" xfId="0" applyFont="1" applyFill="1" applyBorder="1" applyProtection="1"/>
    <xf numFmtId="10" fontId="205" fillId="0" borderId="0" xfId="0" applyNumberFormat="1" applyFont="1" applyBorder="1" applyProtection="1"/>
    <xf numFmtId="0" fontId="38" fillId="19" borderId="0" xfId="0" applyFont="1" applyFill="1" applyBorder="1" applyProtection="1"/>
    <xf numFmtId="6" fontId="205" fillId="0" borderId="0" xfId="0" applyNumberFormat="1" applyFont="1" applyBorder="1" applyProtection="1"/>
    <xf numFmtId="0" fontId="81" fillId="0" borderId="0" xfId="0" applyFont="1" applyBorder="1" applyProtection="1"/>
    <xf numFmtId="0" fontId="119" fillId="0" borderId="0" xfId="0" applyFont="1" applyBorder="1" applyProtection="1"/>
    <xf numFmtId="0" fontId="128" fillId="0" borderId="0" xfId="0" applyFont="1" applyBorder="1" applyProtection="1"/>
    <xf numFmtId="0" fontId="119" fillId="19" borderId="0" xfId="0" applyFont="1" applyFill="1" applyBorder="1" applyProtection="1"/>
    <xf numFmtId="1" fontId="7" fillId="0" borderId="132" xfId="1" applyNumberFormat="1" applyFont="1" applyFill="1" applyBorder="1" applyProtection="1"/>
    <xf numFmtId="1" fontId="245" fillId="0" borderId="132" xfId="0" applyNumberFormat="1" applyFont="1" applyFill="1" applyBorder="1" applyProtection="1"/>
    <xf numFmtId="10" fontId="257" fillId="0" borderId="121" xfId="0" applyNumberFormat="1" applyFont="1" applyFill="1" applyBorder="1" applyProtection="1"/>
    <xf numFmtId="167" fontId="257" fillId="0" borderId="114" xfId="0" applyNumberFormat="1" applyFont="1" applyFill="1" applyBorder="1" applyProtection="1"/>
    <xf numFmtId="10" fontId="245" fillId="0" borderId="89" xfId="0" applyNumberFormat="1" applyFont="1" applyFill="1" applyBorder="1" applyProtection="1">
      <protection locked="0"/>
    </xf>
    <xf numFmtId="167" fontId="339" fillId="0" borderId="89" xfId="0" applyNumberFormat="1" applyFont="1" applyFill="1" applyBorder="1" applyProtection="1">
      <protection locked="0"/>
    </xf>
    <xf numFmtId="0" fontId="11" fillId="45" borderId="24" xfId="0" applyFont="1" applyFill="1" applyBorder="1" applyAlignment="1">
      <alignment wrapText="1"/>
    </xf>
    <xf numFmtId="1" fontId="257" fillId="0" borderId="87" xfId="0" applyNumberFormat="1" applyFont="1" applyFill="1" applyBorder="1" applyAlignment="1" applyProtection="1">
      <alignment wrapText="1"/>
    </xf>
    <xf numFmtId="0" fontId="12" fillId="0" borderId="86" xfId="0" applyFont="1" applyFill="1" applyBorder="1"/>
    <xf numFmtId="10" fontId="15" fillId="0" borderId="101" xfId="0" applyNumberFormat="1" applyFont="1" applyBorder="1"/>
    <xf numFmtId="0" fontId="191" fillId="0" borderId="100" xfId="0" applyFont="1" applyBorder="1"/>
    <xf numFmtId="6" fontId="191" fillId="0" borderId="102" xfId="0" applyNumberFormat="1" applyFont="1" applyFill="1" applyBorder="1"/>
    <xf numFmtId="0" fontId="12" fillId="0" borderId="88" xfId="0" applyFont="1" applyFill="1" applyBorder="1"/>
    <xf numFmtId="0" fontId="191" fillId="0" borderId="113" xfId="0" applyFont="1" applyBorder="1"/>
    <xf numFmtId="0" fontId="12" fillId="0" borderId="32" xfId="0" applyFont="1" applyFill="1" applyBorder="1"/>
    <xf numFmtId="0" fontId="12" fillId="0" borderId="114" xfId="0" applyFont="1" applyFill="1" applyBorder="1"/>
    <xf numFmtId="1" fontId="7" fillId="0" borderId="86" xfId="1" applyNumberFormat="1" applyFont="1" applyFill="1" applyBorder="1" applyProtection="1"/>
    <xf numFmtId="1" fontId="245" fillId="0" borderId="0" xfId="0" applyNumberFormat="1" applyFont="1" applyFill="1" applyBorder="1" applyProtection="1"/>
    <xf numFmtId="10" fontId="245" fillId="0" borderId="0" xfId="0" applyNumberFormat="1" applyFont="1" applyFill="1" applyBorder="1" applyProtection="1">
      <protection locked="0"/>
    </xf>
    <xf numFmtId="167" fontId="339" fillId="0" borderId="0" xfId="0" applyNumberFormat="1" applyFont="1" applyFill="1" applyBorder="1" applyProtection="1">
      <protection locked="0"/>
    </xf>
    <xf numFmtId="167" fontId="257" fillId="0" borderId="0" xfId="0" applyNumberFormat="1" applyFont="1" applyFill="1" applyBorder="1" applyProtection="1"/>
    <xf numFmtId="0" fontId="255" fillId="0" borderId="0" xfId="0" applyFont="1" applyFill="1" applyBorder="1" applyProtection="1"/>
    <xf numFmtId="1" fontId="257" fillId="0" borderId="0" xfId="0" applyNumberFormat="1" applyFont="1" applyFill="1" applyBorder="1" applyProtection="1"/>
    <xf numFmtId="1" fontId="257" fillId="0" borderId="0" xfId="0" applyNumberFormat="1" applyFont="1" applyFill="1" applyBorder="1" applyAlignment="1" applyProtection="1">
      <alignment wrapText="1"/>
    </xf>
    <xf numFmtId="164" fontId="245" fillId="0" borderId="88" xfId="0" applyNumberFormat="1" applyFont="1" applyFill="1" applyBorder="1" applyProtection="1">
      <protection locked="0"/>
    </xf>
    <xf numFmtId="10" fontId="10" fillId="0" borderId="101" xfId="0" applyNumberFormat="1" applyFont="1" applyFill="1" applyBorder="1" applyProtection="1">
      <protection locked="0"/>
    </xf>
    <xf numFmtId="10" fontId="334" fillId="33" borderId="24" xfId="0" applyNumberFormat="1" applyFont="1" applyFill="1" applyBorder="1" applyAlignment="1">
      <alignment wrapText="1"/>
    </xf>
    <xf numFmtId="0" fontId="249" fillId="0" borderId="25" xfId="0" applyFont="1" applyFill="1" applyBorder="1" applyAlignment="1">
      <alignment wrapText="1"/>
    </xf>
    <xf numFmtId="1" fontId="245" fillId="0" borderId="89" xfId="0" applyNumberFormat="1" applyFont="1" applyFill="1" applyBorder="1" applyProtection="1">
      <protection locked="0"/>
    </xf>
    <xf numFmtId="1" fontId="245" fillId="0" borderId="0" xfId="0" applyNumberFormat="1" applyFont="1" applyFill="1" applyBorder="1" applyProtection="1">
      <protection locked="0"/>
    </xf>
    <xf numFmtId="0" fontId="11" fillId="32" borderId="24" xfId="0" applyFont="1" applyFill="1" applyBorder="1" applyAlignment="1">
      <alignment wrapText="1"/>
    </xf>
    <xf numFmtId="0" fontId="11" fillId="32" borderId="25" xfId="0" applyFont="1" applyFill="1" applyBorder="1" applyAlignment="1">
      <alignment wrapText="1"/>
    </xf>
    <xf numFmtId="1" fontId="249" fillId="0" borderId="0" xfId="0" applyNumberFormat="1" applyFont="1" applyFill="1" applyBorder="1"/>
    <xf numFmtId="44" fontId="103" fillId="0" borderId="100" xfId="1" applyFont="1" applyFill="1" applyBorder="1"/>
    <xf numFmtId="0" fontId="90" fillId="0" borderId="101" xfId="0" applyFont="1" applyFill="1" applyBorder="1"/>
    <xf numFmtId="0" fontId="69" fillId="0" borderId="101" xfId="0" applyFont="1" applyFill="1" applyBorder="1"/>
    <xf numFmtId="10" fontId="69" fillId="0" borderId="101" xfId="0" applyNumberFormat="1" applyFont="1" applyFill="1" applyBorder="1"/>
    <xf numFmtId="0" fontId="311" fillId="0" borderId="101" xfId="0" applyFont="1" applyFill="1" applyBorder="1"/>
    <xf numFmtId="6" fontId="90" fillId="0" borderId="101" xfId="0" applyNumberFormat="1" applyFont="1" applyFill="1" applyBorder="1" applyProtection="1">
      <protection locked="0"/>
    </xf>
    <xf numFmtId="0" fontId="338" fillId="0" borderId="101" xfId="0" applyFont="1" applyFill="1" applyBorder="1"/>
    <xf numFmtId="0" fontId="337" fillId="0" borderId="101" xfId="0" applyFont="1" applyFill="1" applyBorder="1"/>
    <xf numFmtId="0" fontId="4" fillId="0" borderId="0" xfId="0" applyFont="1" applyFill="1" applyBorder="1"/>
    <xf numFmtId="167" fontId="334" fillId="33" borderId="24" xfId="0" applyNumberFormat="1" applyFont="1" applyFill="1" applyBorder="1" applyAlignment="1">
      <alignment wrapText="1"/>
    </xf>
    <xf numFmtId="0" fontId="316" fillId="33" borderId="24" xfId="0" applyFont="1" applyFill="1" applyBorder="1" applyAlignment="1">
      <alignment wrapText="1"/>
    </xf>
    <xf numFmtId="1" fontId="7" fillId="0" borderId="86" xfId="1" applyNumberFormat="1" applyFont="1" applyFill="1" applyBorder="1"/>
    <xf numFmtId="0" fontId="44" fillId="0" borderId="0" xfId="0" applyFont="1" applyFill="1" applyBorder="1"/>
    <xf numFmtId="1" fontId="256" fillId="0" borderId="132" xfId="0" applyNumberFormat="1" applyFont="1" applyFill="1" applyBorder="1" applyProtection="1"/>
    <xf numFmtId="6" fontId="191" fillId="0" borderId="87" xfId="0" applyNumberFormat="1" applyFont="1" applyFill="1" applyBorder="1"/>
    <xf numFmtId="6" fontId="191" fillId="0" borderId="90" xfId="0" applyNumberFormat="1" applyFont="1" applyFill="1" applyBorder="1"/>
    <xf numFmtId="0" fontId="249" fillId="0" borderId="0" xfId="0" applyFont="1" applyFill="1" applyBorder="1" applyAlignment="1">
      <alignment wrapText="1"/>
    </xf>
    <xf numFmtId="0" fontId="249" fillId="0" borderId="24" xfId="0" applyFont="1" applyFill="1" applyBorder="1"/>
    <xf numFmtId="164" fontId="10" fillId="0" borderId="100" xfId="0" applyNumberFormat="1" applyFont="1" applyFill="1" applyBorder="1" applyProtection="1">
      <protection locked="0"/>
    </xf>
    <xf numFmtId="167" fontId="249" fillId="0" borderId="0" xfId="0" applyNumberFormat="1" applyFont="1" applyFill="1" applyBorder="1"/>
    <xf numFmtId="0" fontId="11" fillId="49" borderId="24" xfId="0" applyFont="1" applyFill="1" applyBorder="1" applyAlignment="1">
      <alignment wrapText="1"/>
    </xf>
    <xf numFmtId="174" fontId="191" fillId="0" borderId="0" xfId="0" applyNumberFormat="1" applyFont="1" applyFill="1" applyBorder="1"/>
    <xf numFmtId="174" fontId="191" fillId="0" borderId="89" xfId="0" applyNumberFormat="1" applyFont="1" applyFill="1" applyBorder="1"/>
    <xf numFmtId="0" fontId="41" fillId="0" borderId="86" xfId="2" applyFont="1" applyFill="1" applyBorder="1" applyAlignment="1" applyProtection="1"/>
    <xf numFmtId="0" fontId="0" fillId="0" borderId="86" xfId="0" applyFont="1" applyFill="1" applyBorder="1"/>
    <xf numFmtId="0" fontId="41" fillId="0" borderId="0" xfId="2" applyFont="1" applyFill="1" applyBorder="1" applyAlignment="1" applyProtection="1"/>
    <xf numFmtId="0" fontId="14" fillId="0" borderId="86" xfId="0" applyFont="1" applyBorder="1"/>
    <xf numFmtId="44" fontId="11" fillId="0" borderId="86" xfId="1" applyFont="1" applyFill="1" applyBorder="1" applyAlignment="1">
      <alignment wrapText="1"/>
    </xf>
    <xf numFmtId="44" fontId="4" fillId="0" borderId="86" xfId="1" applyFont="1" applyBorder="1"/>
    <xf numFmtId="44" fontId="75" fillId="0" borderId="86" xfId="1" applyFont="1" applyBorder="1"/>
    <xf numFmtId="44" fontId="46" fillId="0" borderId="0" xfId="1" applyFont="1" applyBorder="1"/>
    <xf numFmtId="44" fontId="4" fillId="0" borderId="100" xfId="1" applyFont="1" applyBorder="1"/>
    <xf numFmtId="44" fontId="44" fillId="0" borderId="101" xfId="1" applyFont="1" applyBorder="1"/>
    <xf numFmtId="44" fontId="46" fillId="0" borderId="101" xfId="1" applyFont="1" applyBorder="1"/>
    <xf numFmtId="44" fontId="44" fillId="0" borderId="102" xfId="1" applyFont="1" applyBorder="1"/>
    <xf numFmtId="44" fontId="44" fillId="0" borderId="87" xfId="1" applyFont="1" applyBorder="1"/>
    <xf numFmtId="44" fontId="8" fillId="0" borderId="88" xfId="1" applyFont="1" applyFill="1" applyBorder="1"/>
    <xf numFmtId="44" fontId="7" fillId="0" borderId="89" xfId="1" applyFont="1" applyFill="1" applyBorder="1"/>
    <xf numFmtId="44" fontId="11" fillId="0" borderId="89" xfId="1" applyFont="1" applyFill="1" applyBorder="1"/>
    <xf numFmtId="44" fontId="11" fillId="0" borderId="90" xfId="1" applyFont="1" applyFill="1" applyBorder="1"/>
    <xf numFmtId="44" fontId="11" fillId="0" borderId="87" xfId="1" applyFont="1" applyBorder="1"/>
    <xf numFmtId="44" fontId="11" fillId="0" borderId="86" xfId="1" applyFont="1" applyFill="1" applyBorder="1"/>
    <xf numFmtId="0" fontId="14" fillId="0" borderId="90" xfId="0" applyFont="1" applyBorder="1"/>
    <xf numFmtId="44" fontId="11" fillId="0" borderId="101" xfId="1" applyFont="1" applyBorder="1"/>
    <xf numFmtId="166" fontId="251" fillId="0" borderId="101" xfId="0" applyNumberFormat="1" applyFont="1" applyBorder="1" applyAlignment="1">
      <alignment horizontal="center" vertical="center" wrapText="1"/>
    </xf>
    <xf numFmtId="166" fontId="251" fillId="0" borderId="0" xfId="0" applyNumberFormat="1" applyFont="1" applyBorder="1" applyAlignment="1">
      <alignment horizontal="center" vertical="center" wrapText="1"/>
    </xf>
    <xf numFmtId="166" fontId="251" fillId="0" borderId="89" xfId="0" applyNumberFormat="1" applyFont="1" applyBorder="1" applyAlignment="1">
      <alignment horizontal="center" vertical="center" wrapText="1"/>
    </xf>
    <xf numFmtId="0" fontId="0" fillId="0" borderId="134" xfId="0" applyBorder="1"/>
    <xf numFmtId="44" fontId="12" fillId="0" borderId="0" xfId="1" applyFont="1" applyBorder="1"/>
    <xf numFmtId="44" fontId="11" fillId="23" borderId="0" xfId="1" applyFont="1" applyFill="1" applyBorder="1"/>
    <xf numFmtId="44" fontId="35" fillId="23" borderId="0" xfId="1" applyFont="1" applyFill="1" applyBorder="1"/>
    <xf numFmtId="0" fontId="0" fillId="0" borderId="86" xfId="0" applyFill="1" applyBorder="1"/>
    <xf numFmtId="1" fontId="11" fillId="0" borderId="86" xfId="1" applyNumberFormat="1" applyFont="1" applyFill="1" applyBorder="1" applyProtection="1"/>
    <xf numFmtId="1" fontId="283" fillId="0" borderId="87" xfId="0" applyNumberFormat="1" applyFont="1" applyFill="1" applyBorder="1" applyProtection="1"/>
    <xf numFmtId="10" fontId="257" fillId="0" borderId="12" xfId="0" applyNumberFormat="1" applyFont="1" applyFill="1" applyBorder="1" applyProtection="1"/>
    <xf numFmtId="167" fontId="257" fillId="0" borderId="32" xfId="0" applyNumberFormat="1" applyFont="1" applyFill="1" applyBorder="1" applyProtection="1"/>
    <xf numFmtId="0" fontId="259" fillId="32" borderId="162" xfId="0" applyFont="1" applyFill="1" applyBorder="1"/>
    <xf numFmtId="10" fontId="102" fillId="32" borderId="163" xfId="0" applyNumberFormat="1" applyFont="1" applyFill="1" applyBorder="1"/>
    <xf numFmtId="0" fontId="265" fillId="32" borderId="163" xfId="0" applyFont="1" applyFill="1" applyBorder="1"/>
    <xf numFmtId="0" fontId="4" fillId="32" borderId="163" xfId="0" applyFont="1" applyFill="1" applyBorder="1"/>
    <xf numFmtId="0" fontId="340" fillId="32" borderId="164" xfId="0" applyFont="1" applyFill="1" applyBorder="1"/>
    <xf numFmtId="6" fontId="205" fillId="0" borderId="86" xfId="0" applyNumberFormat="1" applyFont="1" applyFill="1" applyBorder="1" applyProtection="1"/>
    <xf numFmtId="6" fontId="205" fillId="0" borderId="0" xfId="0" applyNumberFormat="1" applyFont="1" applyFill="1" applyBorder="1" applyProtection="1"/>
    <xf numFmtId="38" fontId="245" fillId="0" borderId="12" xfId="0" applyNumberFormat="1" applyFont="1" applyFill="1" applyBorder="1" applyAlignment="1" applyProtection="1">
      <alignment wrapText="1"/>
      <protection locked="0"/>
    </xf>
    <xf numFmtId="0" fontId="117" fillId="3" borderId="100" xfId="0" applyFont="1" applyFill="1" applyBorder="1" applyAlignment="1">
      <alignment wrapText="1"/>
    </xf>
    <xf numFmtId="0" fontId="117" fillId="3" borderId="101" xfId="0" applyFont="1" applyFill="1" applyBorder="1" applyAlignment="1">
      <alignment wrapText="1"/>
    </xf>
    <xf numFmtId="0" fontId="11" fillId="40" borderId="100" xfId="0" applyFont="1" applyFill="1" applyBorder="1" applyAlignment="1">
      <alignment wrapText="1"/>
    </xf>
    <xf numFmtId="0" fontId="11" fillId="40" borderId="101" xfId="0" applyFont="1" applyFill="1" applyBorder="1" applyAlignment="1">
      <alignment wrapText="1"/>
    </xf>
    <xf numFmtId="0" fontId="11" fillId="12" borderId="101" xfId="0" applyFont="1" applyFill="1" applyBorder="1" applyAlignment="1">
      <alignment wrapText="1"/>
    </xf>
    <xf numFmtId="0" fontId="11" fillId="6" borderId="101" xfId="0" applyFont="1" applyFill="1" applyBorder="1" applyAlignment="1">
      <alignment wrapText="1"/>
    </xf>
    <xf numFmtId="0" fontId="11" fillId="32" borderId="100" xfId="0" applyFont="1" applyFill="1" applyBorder="1" applyAlignment="1">
      <alignment wrapText="1"/>
    </xf>
    <xf numFmtId="0" fontId="11" fillId="32" borderId="102" xfId="0" applyFont="1" applyFill="1" applyBorder="1" applyAlignment="1">
      <alignment wrapText="1"/>
    </xf>
    <xf numFmtId="6" fontId="283" fillId="0" borderId="87" xfId="0" applyNumberFormat="1" applyFont="1" applyFill="1" applyBorder="1" applyProtection="1">
      <protection locked="0"/>
    </xf>
    <xf numFmtId="0" fontId="11" fillId="30" borderId="24" xfId="0" applyFont="1" applyFill="1" applyBorder="1" applyAlignment="1">
      <alignment wrapText="1"/>
    </xf>
    <xf numFmtId="3" fontId="191" fillId="0" borderId="86" xfId="0" applyNumberFormat="1" applyFont="1" applyBorder="1"/>
    <xf numFmtId="3" fontId="191" fillId="0" borderId="88" xfId="0" applyNumberFormat="1" applyFont="1" applyBorder="1"/>
    <xf numFmtId="3" fontId="191" fillId="0" borderId="100" xfId="0" applyNumberFormat="1" applyFont="1" applyBorder="1"/>
    <xf numFmtId="0" fontId="11" fillId="8" borderId="89" xfId="0" applyFont="1" applyFill="1" applyBorder="1" applyAlignment="1">
      <alignment wrapText="1"/>
    </xf>
    <xf numFmtId="0" fontId="11" fillId="10" borderId="89" xfId="0" applyFont="1" applyFill="1" applyBorder="1" applyAlignment="1">
      <alignment wrapText="1"/>
    </xf>
    <xf numFmtId="0" fontId="11" fillId="12" borderId="89" xfId="0" applyFont="1" applyFill="1" applyBorder="1" applyAlignment="1">
      <alignment wrapText="1"/>
    </xf>
    <xf numFmtId="0" fontId="11" fillId="12" borderId="90" xfId="0" applyFont="1" applyFill="1" applyBorder="1" applyAlignment="1">
      <alignment wrapText="1"/>
    </xf>
    <xf numFmtId="0" fontId="11" fillId="8" borderId="86" xfId="0" applyFont="1" applyFill="1" applyBorder="1" applyAlignment="1">
      <alignment wrapText="1"/>
    </xf>
    <xf numFmtId="0" fontId="11" fillId="12" borderId="0" xfId="0" applyFont="1" applyFill="1" applyBorder="1" applyAlignment="1">
      <alignment wrapText="1"/>
    </xf>
    <xf numFmtId="0" fontId="11" fillId="8" borderId="0" xfId="0" applyFont="1" applyFill="1" applyBorder="1" applyAlignment="1">
      <alignment wrapText="1"/>
    </xf>
    <xf numFmtId="0" fontId="11" fillId="12" borderId="87" xfId="0" applyFont="1" applyFill="1" applyBorder="1" applyAlignment="1">
      <alignment wrapText="1"/>
    </xf>
    <xf numFmtId="0" fontId="11" fillId="8" borderId="88" xfId="0" applyFont="1" applyFill="1" applyBorder="1" applyAlignment="1">
      <alignment wrapText="1"/>
    </xf>
    <xf numFmtId="0" fontId="11" fillId="8" borderId="132" xfId="0" applyFont="1" applyFill="1" applyBorder="1" applyAlignment="1">
      <alignment wrapText="1"/>
    </xf>
    <xf numFmtId="164" fontId="12" fillId="0" borderId="89" xfId="0" applyNumberFormat="1" applyFont="1" applyBorder="1"/>
    <xf numFmtId="0" fontId="0" fillId="0" borderId="138" xfId="0" applyBorder="1"/>
    <xf numFmtId="0" fontId="336" fillId="0" borderId="0" xfId="0" applyFont="1" applyFill="1" applyBorder="1" applyAlignment="1">
      <alignment wrapText="1"/>
    </xf>
    <xf numFmtId="6" fontId="205" fillId="0" borderId="0" xfId="0" applyNumberFormat="1" applyFont="1" applyFill="1" applyBorder="1" applyAlignment="1" applyProtection="1">
      <alignment wrapText="1"/>
    </xf>
    <xf numFmtId="0" fontId="245" fillId="0" borderId="0" xfId="0" applyFont="1" applyBorder="1" applyProtection="1">
      <protection locked="0"/>
    </xf>
    <xf numFmtId="0" fontId="311" fillId="0" borderId="0" xfId="0" applyFont="1" applyFill="1"/>
    <xf numFmtId="164" fontId="249" fillId="0" borderId="21" xfId="0" applyNumberFormat="1" applyFont="1" applyBorder="1"/>
    <xf numFmtId="164" fontId="249" fillId="0" borderId="113" xfId="0" applyNumberFormat="1" applyFont="1" applyBorder="1"/>
    <xf numFmtId="164" fontId="249" fillId="0" borderId="165" xfId="0" applyNumberFormat="1" applyFont="1" applyBorder="1"/>
    <xf numFmtId="164" fontId="249" fillId="0" borderId="166" xfId="0" applyNumberFormat="1" applyFont="1" applyBorder="1"/>
    <xf numFmtId="6" fontId="33" fillId="0" borderId="0" xfId="2" applyNumberFormat="1" applyFont="1" applyFill="1" applyBorder="1" applyAlignment="1" applyProtection="1">
      <protection locked="0"/>
    </xf>
    <xf numFmtId="10" fontId="342" fillId="0" borderId="0" xfId="0" applyNumberFormat="1" applyFont="1" applyFill="1" applyBorder="1" applyProtection="1">
      <protection locked="0"/>
    </xf>
    <xf numFmtId="0" fontId="9" fillId="0" borderId="101" xfId="0" applyFont="1" applyFill="1" applyBorder="1"/>
    <xf numFmtId="10" fontId="10" fillId="0" borderId="101" xfId="0" applyNumberFormat="1" applyFont="1" applyFill="1" applyBorder="1"/>
    <xf numFmtId="1" fontId="7" fillId="0" borderId="88" xfId="1" applyNumberFormat="1" applyFont="1" applyFill="1" applyBorder="1" applyProtection="1">
      <protection locked="0"/>
    </xf>
    <xf numFmtId="1" fontId="245" fillId="0" borderId="90" xfId="0" applyNumberFormat="1" applyFont="1" applyFill="1" applyBorder="1" applyProtection="1">
      <protection locked="0"/>
    </xf>
    <xf numFmtId="0" fontId="0" fillId="0" borderId="69" xfId="0" applyBorder="1"/>
    <xf numFmtId="0" fontId="262" fillId="32" borderId="24" xfId="0" applyFont="1" applyFill="1" applyBorder="1" applyAlignment="1">
      <alignment wrapText="1"/>
    </xf>
    <xf numFmtId="0" fontId="262" fillId="32" borderId="25" xfId="0" applyFont="1" applyFill="1" applyBorder="1" applyAlignment="1">
      <alignment wrapText="1"/>
    </xf>
    <xf numFmtId="164" fontId="319" fillId="0" borderId="0" xfId="0" applyNumberFormat="1" applyFont="1" applyBorder="1"/>
    <xf numFmtId="164" fontId="319" fillId="0" borderId="89" xfId="0" applyNumberFormat="1" applyFont="1" applyBorder="1"/>
    <xf numFmtId="164" fontId="207" fillId="0" borderId="0" xfId="0" applyNumberFormat="1" applyFont="1" applyFill="1" applyBorder="1"/>
    <xf numFmtId="0" fontId="264" fillId="0" borderId="101" xfId="0" applyFont="1" applyBorder="1"/>
    <xf numFmtId="0" fontId="264" fillId="0" borderId="88" xfId="0" applyFont="1" applyBorder="1"/>
    <xf numFmtId="0" fontId="264" fillId="0" borderId="89" xfId="0" applyFont="1" applyBorder="1"/>
    <xf numFmtId="0" fontId="11" fillId="9" borderId="132" xfId="0" applyFont="1" applyFill="1" applyBorder="1" applyAlignment="1">
      <alignment wrapText="1"/>
    </xf>
    <xf numFmtId="0" fontId="191" fillId="0" borderId="138" xfId="0" applyFont="1" applyBorder="1"/>
    <xf numFmtId="0" fontId="191" fillId="0" borderId="69" xfId="0" applyFont="1" applyBorder="1"/>
    <xf numFmtId="0" fontId="191" fillId="0" borderId="132" xfId="0" applyFont="1" applyBorder="1"/>
    <xf numFmtId="0" fontId="265" fillId="0" borderId="89" xfId="0" applyFont="1" applyBorder="1"/>
    <xf numFmtId="0" fontId="265" fillId="0" borderId="90" xfId="0" applyFont="1" applyBorder="1"/>
    <xf numFmtId="0" fontId="2" fillId="0" borderId="138" xfId="0" applyFont="1" applyBorder="1"/>
    <xf numFmtId="0" fontId="259" fillId="0" borderId="132" xfId="0" applyFont="1" applyBorder="1"/>
    <xf numFmtId="164" fontId="186" fillId="0" borderId="88" xfId="0" applyNumberFormat="1" applyFont="1" applyBorder="1"/>
    <xf numFmtId="0" fontId="289" fillId="0" borderId="86" xfId="0" applyFont="1" applyFill="1" applyBorder="1"/>
    <xf numFmtId="0" fontId="311" fillId="0" borderId="86" xfId="0" applyFont="1" applyFill="1" applyBorder="1"/>
    <xf numFmtId="0" fontId="60" fillId="0" borderId="86" xfId="0" applyFont="1" applyBorder="1"/>
    <xf numFmtId="0" fontId="2" fillId="0" borderId="88" xfId="0" applyFont="1" applyBorder="1"/>
    <xf numFmtId="0" fontId="191" fillId="0" borderId="101" xfId="0" applyFont="1" applyBorder="1"/>
    <xf numFmtId="0" fontId="192" fillId="0" borderId="86" xfId="0" applyFont="1" applyBorder="1"/>
    <xf numFmtId="0" fontId="191" fillId="0" borderId="86" xfId="0" applyFont="1" applyFill="1" applyBorder="1"/>
    <xf numFmtId="0" fontId="186" fillId="0" borderId="100" xfId="0" applyFont="1" applyBorder="1"/>
    <xf numFmtId="0" fontId="186" fillId="0" borderId="102" xfId="0" applyFont="1" applyBorder="1"/>
    <xf numFmtId="164" fontId="12" fillId="0" borderId="12" xfId="0" applyNumberFormat="1" applyFont="1" applyBorder="1"/>
    <xf numFmtId="164" fontId="12" fillId="0" borderId="121" xfId="0" applyNumberFormat="1" applyFont="1" applyBorder="1"/>
    <xf numFmtId="164" fontId="12" fillId="0" borderId="113" xfId="0" applyNumberFormat="1" applyFont="1" applyBorder="1"/>
    <xf numFmtId="164" fontId="12" fillId="0" borderId="32" xfId="0" applyNumberFormat="1" applyFont="1" applyBorder="1"/>
    <xf numFmtId="164" fontId="247" fillId="0" borderId="121" xfId="0" applyNumberFormat="1" applyFont="1" applyBorder="1"/>
    <xf numFmtId="164" fontId="12" fillId="0" borderId="114" xfId="0" applyNumberFormat="1" applyFont="1" applyBorder="1"/>
    <xf numFmtId="6" fontId="191" fillId="0" borderId="100" xfId="0" applyNumberFormat="1" applyFont="1" applyBorder="1"/>
    <xf numFmtId="6" fontId="191" fillId="0" borderId="86" xfId="0" applyNumberFormat="1" applyFont="1" applyBorder="1"/>
    <xf numFmtId="6" fontId="191" fillId="0" borderId="88" xfId="0" applyNumberFormat="1" applyFont="1" applyBorder="1"/>
    <xf numFmtId="0" fontId="11" fillId="0" borderId="87" xfId="0" applyFont="1" applyFill="1" applyBorder="1" applyAlignment="1">
      <alignment wrapText="1"/>
    </xf>
    <xf numFmtId="0" fontId="180" fillId="0" borderId="86" xfId="0" applyFont="1" applyFill="1" applyBorder="1" applyAlignment="1">
      <alignment wrapText="1"/>
    </xf>
    <xf numFmtId="6" fontId="191" fillId="0" borderId="86" xfId="0" applyNumberFormat="1" applyFont="1" applyFill="1" applyBorder="1"/>
    <xf numFmtId="164" fontId="186" fillId="0" borderId="89" xfId="0" applyNumberFormat="1" applyFont="1" applyBorder="1"/>
    <xf numFmtId="0" fontId="11" fillId="45" borderId="25" xfId="0" applyFont="1" applyFill="1" applyBorder="1" applyAlignment="1">
      <alignment wrapText="1"/>
    </xf>
    <xf numFmtId="0" fontId="335" fillId="24" borderId="25" xfId="0" applyFont="1" applyFill="1" applyBorder="1" applyAlignment="1">
      <alignment wrapText="1"/>
    </xf>
    <xf numFmtId="0" fontId="255" fillId="0" borderId="87" xfId="0" applyFont="1" applyFill="1" applyBorder="1"/>
    <xf numFmtId="0" fontId="251" fillId="0" borderId="87" xfId="0" applyFont="1" applyBorder="1"/>
    <xf numFmtId="0" fontId="255" fillId="0" borderId="87" xfId="0" applyFont="1" applyFill="1" applyBorder="1" applyProtection="1"/>
    <xf numFmtId="0" fontId="249" fillId="0" borderId="25" xfId="0" applyFont="1" applyFill="1" applyBorder="1"/>
    <xf numFmtId="0" fontId="255" fillId="0" borderId="142" xfId="0" applyFont="1" applyFill="1" applyBorder="1" applyProtection="1"/>
    <xf numFmtId="0" fontId="251" fillId="49" borderId="137" xfId="0" applyFont="1" applyFill="1" applyBorder="1" applyAlignment="1">
      <alignment wrapText="1"/>
    </xf>
    <xf numFmtId="1" fontId="256" fillId="0" borderId="134" xfId="0" applyNumberFormat="1" applyFont="1" applyFill="1" applyBorder="1" applyProtection="1"/>
    <xf numFmtId="6" fontId="283" fillId="0" borderId="101" xfId="0" applyNumberFormat="1" applyFont="1" applyFill="1" applyBorder="1" applyProtection="1">
      <protection locked="0"/>
    </xf>
    <xf numFmtId="1" fontId="283" fillId="0" borderId="100" xfId="0" applyNumberFormat="1" applyFont="1" applyBorder="1" applyProtection="1">
      <protection locked="0"/>
    </xf>
    <xf numFmtId="1" fontId="283" fillId="0" borderId="86" xfId="0" applyNumberFormat="1" applyFont="1" applyBorder="1" applyProtection="1">
      <protection locked="0"/>
    </xf>
    <xf numFmtId="1" fontId="283" fillId="0" borderId="88" xfId="0" applyNumberFormat="1" applyFont="1" applyBorder="1" applyProtection="1">
      <protection locked="0"/>
    </xf>
    <xf numFmtId="0" fontId="0" fillId="0" borderId="134" xfId="0" applyFill="1" applyBorder="1"/>
    <xf numFmtId="10" fontId="296" fillId="0" borderId="102" xfId="0" applyNumberFormat="1" applyFont="1" applyFill="1" applyBorder="1" applyProtection="1">
      <protection locked="0"/>
    </xf>
    <xf numFmtId="0" fontId="333" fillId="0" borderId="87" xfId="0" applyFont="1" applyFill="1" applyBorder="1" applyAlignment="1">
      <alignment wrapText="1"/>
    </xf>
    <xf numFmtId="0" fontId="0" fillId="0" borderId="86" xfId="0" applyBorder="1" applyAlignment="1">
      <alignment wrapText="1"/>
    </xf>
    <xf numFmtId="1" fontId="257" fillId="0" borderId="89" xfId="0" applyNumberFormat="1" applyFont="1" applyFill="1" applyBorder="1" applyAlignment="1" applyProtection="1">
      <alignment wrapText="1"/>
    </xf>
    <xf numFmtId="6" fontId="283" fillId="0" borderId="90" xfId="0" applyNumberFormat="1" applyFont="1" applyFill="1" applyBorder="1" applyProtection="1">
      <protection locked="0"/>
    </xf>
    <xf numFmtId="0" fontId="180" fillId="0" borderId="137" xfId="0" applyFont="1" applyFill="1" applyBorder="1" applyAlignment="1">
      <alignment wrapText="1"/>
    </xf>
    <xf numFmtId="0" fontId="44" fillId="0" borderId="88" xfId="0" applyFont="1" applyFill="1" applyBorder="1"/>
    <xf numFmtId="0" fontId="174" fillId="0" borderId="54" xfId="0" applyFont="1" applyFill="1" applyBorder="1"/>
    <xf numFmtId="0" fontId="174" fillId="0" borderId="58" xfId="0" applyFont="1" applyFill="1" applyBorder="1"/>
    <xf numFmtId="0" fontId="273" fillId="0" borderId="0" xfId="0" applyFont="1" applyFill="1" applyBorder="1"/>
    <xf numFmtId="164" fontId="249" fillId="0" borderId="12" xfId="0" applyNumberFormat="1" applyFont="1" applyBorder="1"/>
    <xf numFmtId="164" fontId="249" fillId="0" borderId="121" xfId="0" applyNumberFormat="1" applyFont="1" applyBorder="1"/>
    <xf numFmtId="164" fontId="249" fillId="0" borderId="167" xfId="0" applyNumberFormat="1" applyFont="1" applyBorder="1"/>
    <xf numFmtId="164" fontId="249" fillId="0" borderId="168" xfId="0" applyNumberFormat="1" applyFont="1" applyBorder="1"/>
    <xf numFmtId="164" fontId="249" fillId="0" borderId="32" xfId="0" applyNumberFormat="1" applyFont="1" applyBorder="1"/>
    <xf numFmtId="164" fontId="249" fillId="0" borderId="169" xfId="0" applyNumberFormat="1" applyFont="1" applyBorder="1"/>
    <xf numFmtId="164" fontId="249" fillId="0" borderId="170" xfId="0" applyNumberFormat="1" applyFont="1" applyBorder="1"/>
    <xf numFmtId="164" fontId="249" fillId="0" borderId="114" xfId="0" applyNumberFormat="1" applyFont="1" applyBorder="1"/>
    <xf numFmtId="10" fontId="191" fillId="0" borderId="100" xfId="0" applyNumberFormat="1" applyFont="1" applyFill="1" applyBorder="1"/>
    <xf numFmtId="10" fontId="191" fillId="0" borderId="102" xfId="0" applyNumberFormat="1" applyFont="1" applyFill="1" applyBorder="1"/>
    <xf numFmtId="10" fontId="191" fillId="0" borderId="86" xfId="0" applyNumberFormat="1" applyFont="1" applyFill="1" applyBorder="1"/>
    <xf numFmtId="10" fontId="191" fillId="0" borderId="87" xfId="0" applyNumberFormat="1" applyFont="1" applyFill="1" applyBorder="1"/>
    <xf numFmtId="10" fontId="191" fillId="0" borderId="88" xfId="0" applyNumberFormat="1" applyFont="1" applyFill="1" applyBorder="1"/>
    <xf numFmtId="10" fontId="191" fillId="0" borderId="90" xfId="0" applyNumberFormat="1" applyFont="1" applyFill="1" applyBorder="1"/>
    <xf numFmtId="0" fontId="1" fillId="0" borderId="104" xfId="0" applyFont="1" applyBorder="1"/>
    <xf numFmtId="0" fontId="1" fillId="0" borderId="103" xfId="0" applyFont="1" applyBorder="1"/>
    <xf numFmtId="164" fontId="1" fillId="0" borderId="103" xfId="0" applyNumberFormat="1" applyFont="1" applyBorder="1"/>
    <xf numFmtId="164" fontId="1" fillId="0" borderId="171" xfId="0" applyNumberFormat="1" applyFont="1" applyBorder="1"/>
    <xf numFmtId="167" fontId="1" fillId="0" borderId="109" xfId="0" applyNumberFormat="1" applyFont="1" applyBorder="1"/>
    <xf numFmtId="167" fontId="1" fillId="0" borderId="103" xfId="0" applyNumberFormat="1" applyFont="1" applyBorder="1"/>
    <xf numFmtId="167" fontId="1" fillId="0" borderId="172" xfId="0" applyNumberFormat="1" applyFont="1" applyBorder="1"/>
    <xf numFmtId="167" fontId="1" fillId="0" borderId="110" xfId="0" applyNumberFormat="1" applyFont="1" applyBorder="1"/>
    <xf numFmtId="164" fontId="1" fillId="0" borderId="21" xfId="0" applyNumberFormat="1" applyFont="1" applyBorder="1"/>
    <xf numFmtId="10" fontId="1" fillId="0" borderId="113" xfId="0" applyNumberFormat="1" applyFont="1" applyBorder="1"/>
    <xf numFmtId="10" fontId="1" fillId="0" borderId="32" xfId="0" applyNumberFormat="1" applyFont="1" applyBorder="1"/>
    <xf numFmtId="167" fontId="8" fillId="0" borderId="101" xfId="0" applyNumberFormat="1" applyFont="1" applyBorder="1"/>
    <xf numFmtId="167" fontId="8" fillId="0" borderId="0" xfId="0" applyNumberFormat="1" applyFont="1" applyBorder="1"/>
    <xf numFmtId="167" fontId="8" fillId="0" borderId="103" xfId="0" applyNumberFormat="1" applyFont="1" applyBorder="1"/>
    <xf numFmtId="167" fontId="8" fillId="0" borderId="172" xfId="0" applyNumberFormat="1" applyFont="1" applyBorder="1"/>
    <xf numFmtId="167" fontId="8" fillId="0" borderId="113" xfId="0" applyNumberFormat="1" applyFont="1" applyBorder="1"/>
    <xf numFmtId="167" fontId="8" fillId="0" borderId="32" xfId="0" applyNumberFormat="1" applyFont="1" applyBorder="1"/>
    <xf numFmtId="167" fontId="8" fillId="0" borderId="19" xfId="0" applyNumberFormat="1" applyFont="1" applyBorder="1"/>
    <xf numFmtId="167" fontId="8" fillId="0" borderId="123" xfId="0" applyNumberFormat="1" applyFont="1" applyBorder="1"/>
    <xf numFmtId="167" fontId="1" fillId="0" borderId="96" xfId="0" applyNumberFormat="1" applyFont="1" applyBorder="1"/>
    <xf numFmtId="10" fontId="1" fillId="0" borderId="123" xfId="0" applyNumberFormat="1" applyFont="1" applyBorder="1"/>
    <xf numFmtId="164" fontId="1" fillId="0" borderId="173" xfId="0" applyNumberFormat="1" applyFont="1" applyBorder="1"/>
    <xf numFmtId="167" fontId="1" fillId="0" borderId="5" xfId="0" applyNumberFormat="1" applyFont="1" applyBorder="1"/>
    <xf numFmtId="10" fontId="1" fillId="0" borderId="174" xfId="0" applyNumberFormat="1" applyFont="1" applyBorder="1"/>
    <xf numFmtId="165" fontId="8" fillId="0" borderId="0" xfId="0" applyNumberFormat="1" applyFont="1"/>
    <xf numFmtId="167" fontId="254" fillId="0" borderId="89" xfId="0" applyNumberFormat="1" applyFont="1" applyFill="1" applyBorder="1"/>
    <xf numFmtId="167" fontId="254" fillId="0" borderId="114" xfId="0" applyNumberFormat="1" applyFont="1" applyFill="1" applyBorder="1"/>
    <xf numFmtId="167" fontId="254" fillId="0" borderId="90" xfId="0" applyNumberFormat="1" applyFont="1" applyFill="1" applyBorder="1"/>
    <xf numFmtId="1" fontId="0" fillId="0" borderId="0" xfId="0" quotePrefix="1" applyNumberFormat="1"/>
    <xf numFmtId="0" fontId="11" fillId="31" borderId="23" xfId="0" applyFont="1" applyFill="1" applyBorder="1" applyAlignment="1">
      <alignment wrapText="1"/>
    </xf>
    <xf numFmtId="0" fontId="11" fillId="31" borderId="25" xfId="0" applyFont="1" applyFill="1" applyBorder="1" applyAlignment="1">
      <alignment wrapText="1"/>
    </xf>
    <xf numFmtId="6" fontId="328" fillId="0" borderId="21" xfId="0" applyNumberFormat="1" applyFont="1" applyBorder="1"/>
    <xf numFmtId="6" fontId="319" fillId="0" borderId="113" xfId="0" applyNumberFormat="1" applyFont="1" applyBorder="1"/>
    <xf numFmtId="6" fontId="328" fillId="0" borderId="12" xfId="0" applyNumberFormat="1" applyFont="1" applyBorder="1"/>
    <xf numFmtId="6" fontId="319" fillId="0" borderId="32" xfId="0" applyNumberFormat="1" applyFont="1" applyBorder="1"/>
    <xf numFmtId="6" fontId="328" fillId="0" borderId="121" xfId="0" applyNumberFormat="1" applyFont="1" applyBorder="1"/>
    <xf numFmtId="6" fontId="319" fillId="0" borderId="114" xfId="0" applyNumberFormat="1" applyFont="1" applyBorder="1"/>
    <xf numFmtId="6" fontId="328" fillId="0" borderId="0" xfId="0" applyNumberFormat="1" applyFont="1" applyBorder="1"/>
    <xf numFmtId="164" fontId="12" fillId="0" borderId="86" xfId="0" applyNumberFormat="1" applyFont="1" applyFill="1" applyBorder="1"/>
    <xf numFmtId="164" fontId="12" fillId="0" borderId="88" xfId="0" applyNumberFormat="1" applyFont="1" applyFill="1" applyBorder="1"/>
    <xf numFmtId="0" fontId="11" fillId="0" borderId="86" xfId="0" applyFont="1" applyFill="1" applyBorder="1" applyAlignment="1">
      <alignment wrapText="1"/>
    </xf>
    <xf numFmtId="0" fontId="23" fillId="0" borderId="100" xfId="0" applyFont="1" applyBorder="1"/>
    <xf numFmtId="164" fontId="26" fillId="0" borderId="101" xfId="0" applyNumberFormat="1" applyFont="1" applyBorder="1"/>
    <xf numFmtId="164" fontId="23" fillId="0" borderId="101" xfId="0" applyNumberFormat="1" applyFont="1" applyBorder="1"/>
    <xf numFmtId="164" fontId="54" fillId="0" borderId="101" xfId="0" applyNumberFormat="1" applyFont="1" applyFill="1" applyBorder="1"/>
    <xf numFmtId="9" fontId="54" fillId="0" borderId="101" xfId="0" applyNumberFormat="1" applyFont="1" applyBorder="1"/>
    <xf numFmtId="164" fontId="54" fillId="0" borderId="101" xfId="0" applyNumberFormat="1" applyFont="1" applyBorder="1"/>
    <xf numFmtId="0" fontId="11" fillId="33" borderId="101" xfId="0" applyFont="1" applyFill="1" applyBorder="1" applyAlignment="1">
      <alignment wrapText="1"/>
    </xf>
    <xf numFmtId="0" fontId="16" fillId="0" borderId="86" xfId="0" applyFont="1" applyBorder="1"/>
    <xf numFmtId="6" fontId="328" fillId="0" borderId="101" xfId="0" applyNumberFormat="1" applyFont="1" applyBorder="1"/>
    <xf numFmtId="0" fontId="16" fillId="0" borderId="86" xfId="0" applyFont="1" applyFill="1" applyBorder="1"/>
    <xf numFmtId="0" fontId="16" fillId="0" borderId="88" xfId="0" applyFont="1" applyBorder="1"/>
    <xf numFmtId="0" fontId="16" fillId="0" borderId="89" xfId="0" applyFont="1" applyBorder="1"/>
    <xf numFmtId="6" fontId="328" fillId="0" borderId="89" xfId="0" applyNumberFormat="1" applyFont="1" applyBorder="1"/>
    <xf numFmtId="164" fontId="12" fillId="0" borderId="89" xfId="0" applyNumberFormat="1" applyFont="1" applyFill="1" applyBorder="1"/>
    <xf numFmtId="0" fontId="178" fillId="0" borderId="56" xfId="0" applyFont="1" applyBorder="1"/>
    <xf numFmtId="0" fontId="0" fillId="0" borderId="134" xfId="0" applyBorder="1" applyAlignment="1">
      <alignment wrapText="1"/>
    </xf>
    <xf numFmtId="1" fontId="257" fillId="0" borderId="102" xfId="0" applyNumberFormat="1" applyFont="1" applyFill="1" applyBorder="1" applyAlignment="1" applyProtection="1">
      <alignment wrapText="1"/>
    </xf>
    <xf numFmtId="0" fontId="40" fillId="0" borderId="0" xfId="0" applyFont="1" applyFill="1" applyBorder="1"/>
    <xf numFmtId="6" fontId="283" fillId="0" borderId="102" xfId="0" applyNumberFormat="1" applyFont="1" applyFill="1" applyBorder="1" applyProtection="1">
      <protection locked="0"/>
    </xf>
    <xf numFmtId="0" fontId="0" fillId="0" borderId="88" xfId="0" applyFill="1" applyBorder="1"/>
    <xf numFmtId="0" fontId="40" fillId="0" borderId="89" xfId="0" applyFont="1" applyFill="1" applyBorder="1"/>
    <xf numFmtId="0" fontId="259" fillId="0" borderId="0" xfId="0" applyFont="1" applyFill="1" applyBorder="1"/>
    <xf numFmtId="10" fontId="102" fillId="0" borderId="0" xfId="0" applyNumberFormat="1" applyFont="1" applyFill="1" applyBorder="1"/>
    <xf numFmtId="0" fontId="265" fillId="0" borderId="0" xfId="0" applyFont="1" applyFill="1" applyBorder="1"/>
    <xf numFmtId="0" fontId="340" fillId="0" borderId="0" xfId="0" applyFont="1" applyFill="1" applyBorder="1"/>
    <xf numFmtId="1" fontId="11" fillId="47" borderId="88" xfId="1" applyNumberFormat="1" applyFont="1" applyFill="1" applyBorder="1" applyAlignment="1" applyProtection="1"/>
    <xf numFmtId="1" fontId="283" fillId="47" borderId="90" xfId="0" applyNumberFormat="1" applyFont="1" applyFill="1" applyBorder="1" applyProtection="1"/>
    <xf numFmtId="164" fontId="205" fillId="47" borderId="88" xfId="0" applyNumberFormat="1" applyFont="1" applyFill="1" applyBorder="1" applyProtection="1"/>
    <xf numFmtId="10" fontId="205" fillId="47" borderId="89" xfId="0" applyNumberFormat="1" applyFont="1" applyFill="1" applyBorder="1" applyProtection="1"/>
    <xf numFmtId="1" fontId="205" fillId="47" borderId="89" xfId="0" applyNumberFormat="1" applyFont="1" applyFill="1" applyBorder="1" applyProtection="1"/>
    <xf numFmtId="1" fontId="205" fillId="47" borderId="121" xfId="0" applyNumberFormat="1" applyFont="1" applyFill="1" applyBorder="1" applyProtection="1"/>
    <xf numFmtId="0" fontId="311" fillId="47" borderId="90" xfId="0" applyFont="1" applyFill="1" applyBorder="1" applyAlignment="1" applyProtection="1"/>
    <xf numFmtId="1" fontId="205" fillId="47" borderId="0" xfId="0" applyNumberFormat="1" applyFont="1" applyFill="1" applyBorder="1" applyProtection="1"/>
    <xf numFmtId="0" fontId="316" fillId="47" borderId="90" xfId="0" applyFont="1" applyFill="1" applyBorder="1" applyProtection="1"/>
    <xf numFmtId="6" fontId="89" fillId="47" borderId="90" xfId="0" applyNumberFormat="1" applyFont="1" applyFill="1" applyBorder="1" applyAlignment="1" applyProtection="1">
      <alignment wrapText="1"/>
    </xf>
    <xf numFmtId="6" fontId="89" fillId="47" borderId="90" xfId="0" applyNumberFormat="1" applyFont="1" applyFill="1" applyBorder="1" applyProtection="1"/>
    <xf numFmtId="1" fontId="89" fillId="47" borderId="90" xfId="0" applyNumberFormat="1" applyFont="1" applyFill="1" applyBorder="1" applyProtection="1"/>
    <xf numFmtId="0" fontId="311" fillId="0" borderId="102" xfId="0" applyFont="1" applyFill="1" applyBorder="1"/>
    <xf numFmtId="0" fontId="0" fillId="23" borderId="0" xfId="0" applyFill="1" applyBorder="1"/>
    <xf numFmtId="0" fontId="39" fillId="0" borderId="87" xfId="0" applyFont="1" applyFill="1" applyBorder="1"/>
    <xf numFmtId="164" fontId="148" fillId="0" borderId="114" xfId="0" applyNumberFormat="1" applyFont="1" applyFill="1" applyBorder="1" applyAlignment="1">
      <alignment wrapText="1"/>
    </xf>
    <xf numFmtId="164" fontId="124" fillId="0" borderId="0" xfId="0" applyNumberFormat="1" applyFont="1" applyFill="1" applyBorder="1" applyAlignment="1">
      <alignment wrapText="1"/>
    </xf>
    <xf numFmtId="0" fontId="29" fillId="3" borderId="100" xfId="0" applyFont="1" applyFill="1" applyBorder="1" applyAlignment="1">
      <alignment wrapText="1"/>
    </xf>
    <xf numFmtId="0" fontId="29" fillId="3" borderId="101" xfId="0" applyFont="1" applyFill="1" applyBorder="1" applyAlignment="1">
      <alignment wrapText="1"/>
    </xf>
    <xf numFmtId="0" fontId="12" fillId="0" borderId="100" xfId="0" applyFont="1" applyBorder="1"/>
    <xf numFmtId="0" fontId="12" fillId="0" borderId="113" xfId="0" applyFont="1" applyBorder="1"/>
    <xf numFmtId="164" fontId="12" fillId="0" borderId="21" xfId="0" applyNumberFormat="1" applyFont="1" applyBorder="1"/>
    <xf numFmtId="6" fontId="12" fillId="0" borderId="101" xfId="0" applyNumberFormat="1" applyFont="1" applyFill="1" applyBorder="1"/>
    <xf numFmtId="6" fontId="12" fillId="0" borderId="102" xfId="0" applyNumberFormat="1" applyFont="1" applyFill="1" applyBorder="1"/>
    <xf numFmtId="6" fontId="12" fillId="0" borderId="87" xfId="0" applyNumberFormat="1" applyFont="1" applyFill="1" applyBorder="1"/>
    <xf numFmtId="6" fontId="12" fillId="0" borderId="89" xfId="0" applyNumberFormat="1" applyFont="1" applyFill="1" applyBorder="1"/>
    <xf numFmtId="6" fontId="12" fillId="0" borderId="90" xfId="0" applyNumberFormat="1" applyFont="1" applyFill="1" applyBorder="1"/>
    <xf numFmtId="164" fontId="12" fillId="0" borderId="102" xfId="0" applyNumberFormat="1" applyFont="1" applyBorder="1"/>
    <xf numFmtId="10" fontId="12" fillId="0" borderId="100" xfId="0" applyNumberFormat="1" applyFont="1" applyFill="1" applyBorder="1"/>
    <xf numFmtId="10" fontId="12" fillId="0" borderId="102" xfId="0" applyNumberFormat="1" applyFont="1" applyFill="1" applyBorder="1"/>
    <xf numFmtId="164" fontId="12" fillId="0" borderId="87" xfId="0" applyNumberFormat="1" applyFont="1" applyBorder="1"/>
    <xf numFmtId="10" fontId="12" fillId="0" borderId="86" xfId="0" applyNumberFormat="1" applyFont="1" applyFill="1" applyBorder="1"/>
    <xf numFmtId="164" fontId="12" fillId="0" borderId="90" xfId="0" applyNumberFormat="1" applyFont="1" applyBorder="1"/>
    <xf numFmtId="10" fontId="12" fillId="0" borderId="88" xfId="0" applyNumberFormat="1" applyFont="1" applyFill="1" applyBorder="1"/>
    <xf numFmtId="10" fontId="12" fillId="0" borderId="90" xfId="0" applyNumberFormat="1" applyFont="1" applyFill="1" applyBorder="1"/>
    <xf numFmtId="0" fontId="29" fillId="3" borderId="23" xfId="0" applyFont="1" applyFill="1" applyBorder="1" applyAlignment="1">
      <alignment wrapText="1"/>
    </xf>
    <xf numFmtId="0" fontId="29" fillId="3" borderId="24" xfId="0" applyFont="1" applyFill="1" applyBorder="1" applyAlignment="1">
      <alignment wrapText="1"/>
    </xf>
    <xf numFmtId="0" fontId="11" fillId="0" borderId="137" xfId="0" applyFont="1" applyFill="1" applyBorder="1" applyAlignment="1">
      <alignment wrapText="1"/>
    </xf>
    <xf numFmtId="0" fontId="12" fillId="0" borderId="101" xfId="0" applyFont="1" applyBorder="1"/>
    <xf numFmtId="6" fontId="12" fillId="0" borderId="100" xfId="0" applyNumberFormat="1" applyFont="1" applyBorder="1"/>
    <xf numFmtId="6" fontId="12" fillId="0" borderId="86" xfId="0" applyNumberFormat="1" applyFont="1" applyFill="1" applyBorder="1"/>
    <xf numFmtId="0" fontId="12" fillId="0" borderId="86" xfId="0" applyFont="1" applyBorder="1"/>
    <xf numFmtId="6" fontId="12" fillId="0" borderId="86" xfId="0" applyNumberFormat="1" applyFont="1" applyBorder="1"/>
    <xf numFmtId="0" fontId="12" fillId="0" borderId="88" xfId="0" applyFont="1" applyBorder="1"/>
    <xf numFmtId="0" fontId="12" fillId="0" borderId="89" xfId="0" applyFont="1" applyBorder="1"/>
    <xf numFmtId="6" fontId="12" fillId="0" borderId="121" xfId="0" applyNumberFormat="1" applyFont="1" applyFill="1" applyBorder="1"/>
    <xf numFmtId="6" fontId="12" fillId="0" borderId="88" xfId="0" applyNumberFormat="1" applyFont="1" applyBorder="1"/>
    <xf numFmtId="164" fontId="11" fillId="0" borderId="88" xfId="0" applyNumberFormat="1" applyFont="1" applyBorder="1"/>
    <xf numFmtId="164" fontId="11" fillId="0" borderId="89" xfId="0" applyNumberFormat="1" applyFont="1" applyBorder="1"/>
    <xf numFmtId="6" fontId="12" fillId="0" borderId="32" xfId="0" applyNumberFormat="1" applyFont="1" applyBorder="1"/>
    <xf numFmtId="6" fontId="12" fillId="0" borderId="121" xfId="0" applyNumberFormat="1" applyFont="1" applyBorder="1"/>
    <xf numFmtId="6" fontId="12" fillId="0" borderId="114" xfId="0" applyNumberFormat="1" applyFont="1" applyBorder="1"/>
    <xf numFmtId="6" fontId="12" fillId="0" borderId="113" xfId="0" applyNumberFormat="1" applyFont="1" applyBorder="1"/>
    <xf numFmtId="0" fontId="1" fillId="0" borderId="138" xfId="0" applyFont="1" applyBorder="1"/>
    <xf numFmtId="0" fontId="12" fillId="0" borderId="138" xfId="0" applyFont="1" applyBorder="1"/>
    <xf numFmtId="3" fontId="12" fillId="0" borderId="0" xfId="0" applyNumberFormat="1" applyFont="1" applyBorder="1"/>
    <xf numFmtId="3" fontId="12" fillId="0" borderId="21" xfId="0" applyNumberFormat="1" applyFont="1" applyBorder="1"/>
    <xf numFmtId="3" fontId="12" fillId="0" borderId="100" xfId="0" applyNumberFormat="1" applyFont="1" applyBorder="1"/>
    <xf numFmtId="0" fontId="12" fillId="0" borderId="134" xfId="0" applyFont="1" applyBorder="1"/>
    <xf numFmtId="3" fontId="12" fillId="0" borderId="12" xfId="0" applyNumberFormat="1" applyFont="1" applyBorder="1"/>
    <xf numFmtId="3" fontId="12" fillId="0" borderId="86" xfId="0" applyNumberFormat="1" applyFont="1" applyBorder="1"/>
    <xf numFmtId="0" fontId="12" fillId="0" borderId="132" xfId="0" applyFont="1" applyBorder="1"/>
    <xf numFmtId="3" fontId="12" fillId="0" borderId="89" xfId="0" applyNumberFormat="1" applyFont="1" applyBorder="1"/>
    <xf numFmtId="3" fontId="12" fillId="0" borderId="121" xfId="0" applyNumberFormat="1" applyFont="1" applyBorder="1"/>
    <xf numFmtId="3" fontId="12" fillId="0" borderId="88" xfId="0" applyNumberFormat="1" applyFont="1" applyBorder="1"/>
    <xf numFmtId="3" fontId="12" fillId="0" borderId="101" xfId="0" applyNumberFormat="1" applyFont="1" applyBorder="1"/>
    <xf numFmtId="0" fontId="11" fillId="15" borderId="89" xfId="0" applyFont="1" applyFill="1" applyBorder="1" applyAlignment="1">
      <alignment wrapText="1"/>
    </xf>
    <xf numFmtId="164" fontId="139" fillId="0" borderId="0" xfId="0" applyNumberFormat="1" applyFont="1" applyBorder="1"/>
    <xf numFmtId="164" fontId="139" fillId="0" borderId="87" xfId="0" applyNumberFormat="1" applyFont="1" applyBorder="1"/>
    <xf numFmtId="0" fontId="12" fillId="0" borderId="86" xfId="0" applyFont="1" applyBorder="1" applyAlignment="1">
      <alignment wrapText="1"/>
    </xf>
    <xf numFmtId="0" fontId="12" fillId="0" borderId="87" xfId="0" applyFont="1" applyBorder="1" applyAlignment="1">
      <alignment wrapText="1"/>
    </xf>
    <xf numFmtId="0" fontId="14" fillId="0" borderId="88" xfId="0" applyFont="1" applyBorder="1"/>
    <xf numFmtId="0" fontId="0" fillId="0" borderId="132" xfId="0" applyFill="1" applyBorder="1"/>
    <xf numFmtId="3" fontId="12" fillId="0" borderId="112" xfId="0" applyNumberFormat="1" applyFont="1" applyBorder="1"/>
    <xf numFmtId="1" fontId="256" fillId="47" borderId="134" xfId="0" applyNumberFormat="1" applyFont="1" applyFill="1" applyBorder="1" applyProtection="1"/>
    <xf numFmtId="1" fontId="256" fillId="47" borderId="132" xfId="0" applyNumberFormat="1" applyFont="1" applyFill="1" applyBorder="1" applyProtection="1"/>
    <xf numFmtId="46" fontId="0" fillId="0" borderId="0" xfId="0" applyNumberFormat="1" applyBorder="1"/>
    <xf numFmtId="0" fontId="11" fillId="0" borderId="86" xfId="0" applyFont="1" applyBorder="1"/>
    <xf numFmtId="0" fontId="11" fillId="0" borderId="87" xfId="0" applyFont="1" applyBorder="1"/>
    <xf numFmtId="164" fontId="12" fillId="0" borderId="112" xfId="0" applyNumberFormat="1" applyFont="1" applyBorder="1"/>
    <xf numFmtId="6" fontId="12" fillId="0" borderId="112" xfId="0" applyNumberFormat="1" applyFont="1" applyFill="1" applyBorder="1"/>
    <xf numFmtId="164" fontId="247" fillId="0" borderId="101" xfId="0" applyNumberFormat="1" applyFont="1" applyBorder="1"/>
    <xf numFmtId="164" fontId="247" fillId="0" borderId="0" xfId="0" applyNumberFormat="1" applyFont="1" applyBorder="1"/>
    <xf numFmtId="0" fontId="12" fillId="0" borderId="114" xfId="0" applyFont="1" applyBorder="1"/>
    <xf numFmtId="0" fontId="172" fillId="9" borderId="164" xfId="0" applyFont="1" applyFill="1" applyBorder="1"/>
    <xf numFmtId="164" fontId="172" fillId="9" borderId="46" xfId="0" applyNumberFormat="1" applyFont="1" applyFill="1" applyBorder="1"/>
    <xf numFmtId="6" fontId="12" fillId="0" borderId="21" xfId="0" applyNumberFormat="1" applyFont="1" applyBorder="1"/>
    <xf numFmtId="0" fontId="251" fillId="48" borderId="25" xfId="0" applyFont="1" applyFill="1" applyBorder="1" applyAlignment="1">
      <alignment wrapText="1"/>
    </xf>
    <xf numFmtId="164" fontId="12" fillId="28" borderId="12" xfId="0" applyNumberFormat="1" applyFont="1" applyFill="1" applyBorder="1"/>
    <xf numFmtId="164" fontId="12" fillId="28" borderId="87" xfId="0" applyNumberFormat="1" applyFont="1" applyFill="1" applyBorder="1"/>
    <xf numFmtId="164" fontId="12" fillId="28" borderId="121" xfId="0" applyNumberFormat="1" applyFont="1" applyFill="1" applyBorder="1"/>
    <xf numFmtId="164" fontId="12" fillId="28" borderId="90" xfId="0" applyNumberFormat="1" applyFont="1" applyFill="1" applyBorder="1"/>
    <xf numFmtId="6" fontId="12" fillId="28" borderId="12" xfId="0" applyNumberFormat="1" applyFont="1" applyFill="1" applyBorder="1"/>
    <xf numFmtId="6" fontId="12" fillId="28" borderId="0" xfId="0" applyNumberFormat="1" applyFont="1" applyFill="1" applyBorder="1"/>
    <xf numFmtId="6" fontId="12" fillId="28" borderId="121" xfId="0" applyNumberFormat="1" applyFont="1" applyFill="1" applyBorder="1"/>
    <xf numFmtId="6" fontId="12" fillId="28" borderId="89" xfId="0" applyNumberFormat="1" applyFont="1" applyFill="1" applyBorder="1"/>
    <xf numFmtId="6" fontId="12" fillId="28" borderId="112" xfId="0" applyNumberFormat="1" applyFont="1" applyFill="1" applyBorder="1"/>
    <xf numFmtId="6" fontId="12" fillId="28" borderId="102" xfId="0" applyNumberFormat="1" applyFont="1" applyFill="1" applyBorder="1"/>
    <xf numFmtId="6" fontId="12" fillId="28" borderId="87" xfId="0" applyNumberFormat="1" applyFont="1" applyFill="1" applyBorder="1"/>
    <xf numFmtId="6" fontId="12" fillId="28" borderId="90" xfId="0" applyNumberFormat="1" applyFont="1" applyFill="1" applyBorder="1"/>
    <xf numFmtId="169" fontId="0" fillId="0" borderId="0" xfId="0" applyNumberFormat="1" applyFont="1" applyBorder="1"/>
    <xf numFmtId="0" fontId="0" fillId="0" borderId="18" xfId="0" applyBorder="1"/>
    <xf numFmtId="0" fontId="4" fillId="23" borderId="0" xfId="0" applyFont="1" applyFill="1" applyBorder="1"/>
    <xf numFmtId="0" fontId="0" fillId="23" borderId="0" xfId="0" applyFont="1" applyFill="1" applyBorder="1"/>
    <xf numFmtId="10" fontId="191" fillId="0" borderId="142" xfId="0" applyNumberFormat="1" applyFont="1" applyBorder="1"/>
    <xf numFmtId="172" fontId="11" fillId="13" borderId="24" xfId="0" applyNumberFormat="1" applyFont="1" applyFill="1" applyBorder="1" applyAlignment="1">
      <alignment wrapText="1"/>
    </xf>
    <xf numFmtId="172" fontId="11" fillId="13" borderId="120" xfId="0" applyNumberFormat="1" applyFont="1" applyFill="1" applyBorder="1" applyAlignment="1">
      <alignment wrapText="1"/>
    </xf>
    <xf numFmtId="0" fontId="90" fillId="0" borderId="0" xfId="0" applyFont="1" applyFill="1"/>
    <xf numFmtId="6" fontId="0" fillId="0" borderId="0" xfId="0" applyNumberFormat="1" applyBorder="1"/>
    <xf numFmtId="6" fontId="0" fillId="0" borderId="89" xfId="0" applyNumberFormat="1" applyBorder="1"/>
    <xf numFmtId="0" fontId="0" fillId="0" borderId="175" xfId="0" applyBorder="1"/>
    <xf numFmtId="0" fontId="0" fillId="0" borderId="147" xfId="0" applyBorder="1"/>
    <xf numFmtId="6" fontId="0" fillId="0" borderId="139" xfId="0" applyNumberFormat="1" applyBorder="1"/>
    <xf numFmtId="6" fontId="0" fillId="0" borderId="113" xfId="0" applyNumberFormat="1" applyBorder="1"/>
    <xf numFmtId="6" fontId="0" fillId="0" borderId="16" xfId="0" applyNumberFormat="1" applyBorder="1"/>
    <xf numFmtId="6" fontId="0" fillId="0" borderId="32" xfId="0" applyNumberFormat="1" applyBorder="1"/>
    <xf numFmtId="6" fontId="0" fillId="0" borderId="111" xfId="0" applyNumberFormat="1" applyBorder="1"/>
    <xf numFmtId="6" fontId="0" fillId="0" borderId="114" xfId="0" applyNumberFormat="1" applyBorder="1"/>
    <xf numFmtId="0" fontId="262" fillId="35" borderId="158" xfId="0" applyFont="1" applyFill="1" applyBorder="1" applyAlignment="1">
      <alignment wrapText="1"/>
    </xf>
    <xf numFmtId="0" fontId="7" fillId="3" borderId="88" xfId="0" applyFont="1" applyFill="1" applyBorder="1" applyAlignment="1">
      <alignment wrapText="1"/>
    </xf>
    <xf numFmtId="0" fontId="7" fillId="3" borderId="89" xfId="0" applyFont="1" applyFill="1" applyBorder="1" applyAlignment="1">
      <alignment wrapText="1"/>
    </xf>
    <xf numFmtId="0" fontId="262" fillId="35" borderId="111" xfId="0" applyFont="1" applyFill="1" applyBorder="1" applyAlignment="1">
      <alignment wrapText="1"/>
    </xf>
    <xf numFmtId="0" fontId="262" fillId="43" borderId="89" xfId="0" applyFont="1" applyFill="1" applyBorder="1" applyAlignment="1">
      <alignment wrapText="1"/>
    </xf>
    <xf numFmtId="0" fontId="259" fillId="0" borderId="88" xfId="0" applyFont="1" applyFill="1" applyBorder="1"/>
    <xf numFmtId="164" fontId="207" fillId="0" borderId="102" xfId="0" applyNumberFormat="1" applyFont="1" applyBorder="1"/>
    <xf numFmtId="164" fontId="207" fillId="0" borderId="87" xfId="0" applyNumberFormat="1" applyFont="1" applyBorder="1"/>
    <xf numFmtId="164" fontId="207" fillId="0" borderId="90" xfId="0" applyNumberFormat="1" applyFont="1" applyBorder="1"/>
    <xf numFmtId="164" fontId="207" fillId="0" borderId="101" xfId="0" applyNumberFormat="1" applyFont="1" applyBorder="1"/>
    <xf numFmtId="164" fontId="207" fillId="0" borderId="89" xfId="0" applyNumberFormat="1" applyFont="1" applyBorder="1"/>
    <xf numFmtId="164" fontId="207" fillId="0" borderId="138" xfId="0" applyNumberFormat="1" applyFont="1" applyBorder="1"/>
    <xf numFmtId="164" fontId="207" fillId="0" borderId="134" xfId="0" applyNumberFormat="1" applyFont="1" applyBorder="1"/>
    <xf numFmtId="0" fontId="279" fillId="0" borderId="134" xfId="0" applyFont="1" applyBorder="1"/>
    <xf numFmtId="6" fontId="191" fillId="0" borderId="134" xfId="0" applyNumberFormat="1" applyFont="1" applyBorder="1"/>
    <xf numFmtId="6" fontId="191" fillId="0" borderId="132" xfId="0" applyNumberFormat="1" applyFont="1" applyBorder="1"/>
    <xf numFmtId="167" fontId="0" fillId="0" borderId="89" xfId="0" applyNumberFormat="1" applyBorder="1"/>
    <xf numFmtId="167" fontId="0" fillId="0" borderId="90" xfId="0" applyNumberFormat="1" applyBorder="1"/>
    <xf numFmtId="6" fontId="0" fillId="0" borderId="101" xfId="0" applyNumberFormat="1" applyBorder="1"/>
    <xf numFmtId="0" fontId="262" fillId="35" borderId="89" xfId="0" applyFont="1" applyFill="1" applyBorder="1" applyAlignment="1">
      <alignment wrapText="1"/>
    </xf>
    <xf numFmtId="0" fontId="262" fillId="43" borderId="158" xfId="0" applyFont="1" applyFill="1" applyBorder="1" applyAlignment="1">
      <alignment wrapText="1"/>
    </xf>
    <xf numFmtId="0" fontId="262" fillId="32" borderId="33" xfId="0" applyFont="1" applyFill="1" applyBorder="1" applyAlignment="1">
      <alignment wrapText="1"/>
    </xf>
    <xf numFmtId="10" fontId="191" fillId="0" borderId="101" xfId="0" applyNumberFormat="1" applyFont="1" applyBorder="1"/>
    <xf numFmtId="10" fontId="191" fillId="0" borderId="102" xfId="0" applyNumberFormat="1" applyFont="1" applyBorder="1"/>
    <xf numFmtId="10" fontId="1" fillId="0" borderId="0" xfId="0" applyNumberFormat="1" applyFont="1" applyBorder="1"/>
    <xf numFmtId="0" fontId="343" fillId="0" borderId="0" xfId="0" applyFont="1" applyFill="1"/>
    <xf numFmtId="164" fontId="343" fillId="0" borderId="0" xfId="0" applyNumberFormat="1" applyFont="1" applyFill="1" applyBorder="1"/>
    <xf numFmtId="0" fontId="343" fillId="0" borderId="87" xfId="0" applyFont="1" applyFill="1" applyBorder="1"/>
    <xf numFmtId="165" fontId="90" fillId="0" borderId="0" xfId="0" applyNumberFormat="1" applyFont="1" applyFill="1" applyBorder="1"/>
    <xf numFmtId="0" fontId="11" fillId="32" borderId="101" xfId="0" applyFont="1" applyFill="1" applyBorder="1" applyAlignment="1">
      <alignment wrapText="1"/>
    </xf>
    <xf numFmtId="0" fontId="11" fillId="40" borderId="24" xfId="0" applyFont="1" applyFill="1" applyBorder="1" applyAlignment="1">
      <alignment wrapText="1"/>
    </xf>
    <xf numFmtId="44" fontId="334" fillId="23" borderId="23" xfId="1" applyFont="1" applyFill="1" applyBorder="1" applyAlignment="1" applyProtection="1">
      <alignment wrapText="1"/>
    </xf>
    <xf numFmtId="0" fontId="334" fillId="23" borderId="25" xfId="0" applyFont="1" applyFill="1" applyBorder="1" applyAlignment="1" applyProtection="1">
      <alignment wrapText="1"/>
    </xf>
    <xf numFmtId="10" fontId="334" fillId="35" borderId="24" xfId="0" applyNumberFormat="1" applyFont="1" applyFill="1" applyBorder="1" applyAlignment="1" applyProtection="1">
      <alignment wrapText="1"/>
    </xf>
    <xf numFmtId="0" fontId="251" fillId="35" borderId="24" xfId="0" applyFont="1" applyFill="1" applyBorder="1" applyAlignment="1" applyProtection="1">
      <alignment wrapText="1"/>
    </xf>
    <xf numFmtId="0" fontId="251" fillId="48" borderId="33" xfId="0" applyFont="1" applyFill="1" applyBorder="1" applyAlignment="1" applyProtection="1">
      <alignment wrapText="1"/>
    </xf>
    <xf numFmtId="0" fontId="251" fillId="48" borderId="24" xfId="0" applyFont="1" applyFill="1" applyBorder="1" applyAlignment="1" applyProtection="1">
      <alignment wrapText="1"/>
    </xf>
    <xf numFmtId="0" fontId="251" fillId="48" borderId="158" xfId="0" applyFont="1" applyFill="1" applyBorder="1" applyAlignment="1" applyProtection="1">
      <alignment wrapText="1"/>
    </xf>
    <xf numFmtId="0" fontId="335" fillId="24" borderId="25" xfId="0" applyFont="1" applyFill="1" applyBorder="1" applyAlignment="1" applyProtection="1">
      <alignment wrapText="1"/>
    </xf>
    <xf numFmtId="0" fontId="251" fillId="47" borderId="25" xfId="0" applyFont="1" applyFill="1" applyBorder="1" applyAlignment="1" applyProtection="1">
      <alignment wrapText="1"/>
    </xf>
    <xf numFmtId="1" fontId="11" fillId="0" borderId="100" xfId="1" applyNumberFormat="1" applyFont="1" applyFill="1" applyBorder="1" applyProtection="1"/>
    <xf numFmtId="1" fontId="283" fillId="0" borderId="102" xfId="0" applyNumberFormat="1" applyFont="1" applyFill="1" applyBorder="1" applyProtection="1"/>
    <xf numFmtId="0" fontId="255" fillId="0" borderId="102" xfId="0" applyFont="1" applyFill="1" applyBorder="1" applyProtection="1"/>
    <xf numFmtId="0" fontId="251" fillId="0" borderId="87" xfId="0" applyFont="1" applyFill="1" applyBorder="1" applyProtection="1"/>
    <xf numFmtId="0" fontId="38" fillId="0" borderId="86" xfId="0" applyFont="1" applyFill="1" applyBorder="1" applyProtection="1"/>
    <xf numFmtId="0" fontId="0" fillId="0" borderId="0" xfId="0" applyFont="1" applyFill="1" applyBorder="1" applyProtection="1"/>
    <xf numFmtId="0" fontId="249" fillId="0" borderId="0" xfId="0" applyFont="1" applyFill="1" applyBorder="1" applyProtection="1"/>
    <xf numFmtId="10" fontId="249" fillId="0" borderId="0" xfId="0" applyNumberFormat="1" applyFont="1" applyFill="1" applyBorder="1" applyProtection="1"/>
    <xf numFmtId="0" fontId="249" fillId="0" borderId="0" xfId="0" applyFont="1" applyFill="1" applyBorder="1" applyAlignment="1" applyProtection="1">
      <alignment wrapText="1"/>
    </xf>
    <xf numFmtId="0" fontId="249" fillId="0" borderId="25" xfId="0" applyFont="1" applyFill="1" applyBorder="1" applyProtection="1"/>
    <xf numFmtId="0" fontId="0" fillId="0" borderId="25" xfId="0" applyFill="1" applyBorder="1" applyAlignment="1" applyProtection="1">
      <alignment wrapText="1"/>
    </xf>
    <xf numFmtId="10" fontId="251" fillId="48" borderId="160" xfId="0" applyNumberFormat="1" applyFont="1" applyFill="1" applyBorder="1" applyAlignment="1" applyProtection="1">
      <alignment wrapText="1"/>
    </xf>
    <xf numFmtId="0" fontId="251" fillId="48" borderId="161" xfId="0" applyFont="1" applyFill="1" applyBorder="1" applyAlignment="1" applyProtection="1">
      <alignment wrapText="1"/>
    </xf>
    <xf numFmtId="0" fontId="205" fillId="47" borderId="0" xfId="0" applyFont="1" applyFill="1" applyBorder="1" applyProtection="1"/>
    <xf numFmtId="1" fontId="249" fillId="0" borderId="0" xfId="0" applyNumberFormat="1" applyFont="1" applyFill="1" applyBorder="1" applyProtection="1"/>
    <xf numFmtId="167" fontId="249" fillId="0" borderId="0" xfId="0" applyNumberFormat="1" applyFont="1" applyFill="1" applyBorder="1" applyProtection="1"/>
    <xf numFmtId="0" fontId="249" fillId="0" borderId="24" xfId="0" applyFont="1" applyFill="1" applyBorder="1" applyProtection="1"/>
    <xf numFmtId="0" fontId="249" fillId="0" borderId="25" xfId="0" applyFont="1" applyFill="1" applyBorder="1" applyAlignment="1" applyProtection="1">
      <alignment wrapText="1"/>
    </xf>
    <xf numFmtId="0" fontId="0" fillId="0" borderId="87" xfId="0" applyFill="1" applyBorder="1" applyProtection="1"/>
    <xf numFmtId="167" fontId="334" fillId="33" borderId="24" xfId="0" applyNumberFormat="1" applyFont="1" applyFill="1" applyBorder="1" applyAlignment="1" applyProtection="1">
      <alignment wrapText="1"/>
    </xf>
    <xf numFmtId="0" fontId="251" fillId="33" borderId="24" xfId="0" applyFont="1" applyFill="1" applyBorder="1" applyAlignment="1" applyProtection="1">
      <alignment wrapText="1"/>
    </xf>
    <xf numFmtId="0" fontId="316" fillId="33" borderId="24" xfId="0" applyFont="1" applyFill="1" applyBorder="1" applyAlignment="1" applyProtection="1">
      <alignment wrapText="1"/>
    </xf>
    <xf numFmtId="0" fontId="251" fillId="48" borderId="25" xfId="0" applyFont="1" applyFill="1" applyBorder="1" applyAlignment="1" applyProtection="1">
      <alignment wrapText="1"/>
    </xf>
    <xf numFmtId="0" fontId="251" fillId="49" borderId="137" xfId="0" applyFont="1" applyFill="1" applyBorder="1" applyAlignment="1" applyProtection="1">
      <alignment wrapText="1"/>
    </xf>
    <xf numFmtId="0" fontId="205" fillId="47" borderId="90" xfId="0" applyFont="1" applyFill="1" applyBorder="1" applyProtection="1"/>
    <xf numFmtId="0" fontId="245" fillId="0" borderId="0" xfId="0" applyFont="1" applyFill="1" applyBorder="1" applyProtection="1">
      <protection locked="0"/>
    </xf>
    <xf numFmtId="0" fontId="0" fillId="47" borderId="132" xfId="0" applyFill="1" applyBorder="1"/>
    <xf numFmtId="0" fontId="0" fillId="47" borderId="134" xfId="0" applyFill="1" applyBorder="1" applyAlignment="1">
      <alignment wrapText="1"/>
    </xf>
    <xf numFmtId="0" fontId="242" fillId="47" borderId="0" xfId="0" applyFont="1" applyFill="1" applyBorder="1"/>
    <xf numFmtId="167" fontId="257" fillId="0" borderId="102" xfId="0" applyNumberFormat="1" applyFont="1" applyFill="1" applyBorder="1" applyProtection="1"/>
    <xf numFmtId="167" fontId="257" fillId="0" borderId="87" xfId="0" applyNumberFormat="1" applyFont="1" applyFill="1" applyBorder="1" applyProtection="1"/>
    <xf numFmtId="0" fontId="249" fillId="0" borderId="87" xfId="0" applyFont="1" applyFill="1" applyBorder="1" applyAlignment="1" applyProtection="1">
      <alignment wrapText="1"/>
    </xf>
    <xf numFmtId="1" fontId="11" fillId="0" borderId="88" xfId="1" applyNumberFormat="1" applyFont="1" applyFill="1" applyBorder="1" applyProtection="1"/>
    <xf numFmtId="1" fontId="283" fillId="0" borderId="90" xfId="0" applyNumberFormat="1" applyFont="1" applyFill="1" applyBorder="1" applyProtection="1"/>
    <xf numFmtId="167" fontId="257" fillId="0" borderId="90" xfId="0" applyNumberFormat="1" applyFont="1" applyFill="1" applyBorder="1" applyProtection="1"/>
    <xf numFmtId="1" fontId="29" fillId="0" borderId="100" xfId="1" applyNumberFormat="1" applyFont="1" applyFill="1" applyBorder="1" applyProtection="1"/>
    <xf numFmtId="1" fontId="29" fillId="0" borderId="86" xfId="1" applyNumberFormat="1" applyFont="1" applyFill="1" applyBorder="1" applyProtection="1"/>
    <xf numFmtId="1" fontId="344" fillId="47" borderId="88" xfId="1" applyNumberFormat="1" applyFont="1" applyFill="1" applyBorder="1" applyAlignment="1" applyProtection="1"/>
    <xf numFmtId="6" fontId="205" fillId="0" borderId="88" xfId="0" applyNumberFormat="1" applyFont="1" applyFill="1" applyBorder="1" applyProtection="1"/>
    <xf numFmtId="6" fontId="205" fillId="0" borderId="89" xfId="0" applyNumberFormat="1" applyFont="1" applyFill="1" applyBorder="1" applyProtection="1"/>
    <xf numFmtId="0" fontId="249" fillId="0" borderId="89" xfId="0" applyFont="1" applyFill="1" applyBorder="1" applyProtection="1"/>
    <xf numFmtId="0" fontId="249" fillId="0" borderId="90" xfId="0" applyFont="1" applyFill="1" applyBorder="1" applyAlignment="1" applyProtection="1">
      <alignment wrapText="1"/>
    </xf>
    <xf numFmtId="0" fontId="0" fillId="0" borderId="87" xfId="0" applyBorder="1" applyProtection="1"/>
    <xf numFmtId="164" fontId="257" fillId="0" borderId="100" xfId="0" applyNumberFormat="1" applyFont="1" applyFill="1" applyBorder="1" applyProtection="1"/>
    <xf numFmtId="10" fontId="257" fillId="0" borderId="113" xfId="0" quotePrefix="1" applyNumberFormat="1" applyFont="1" applyFill="1" applyBorder="1" applyProtection="1"/>
    <xf numFmtId="167" fontId="257" fillId="0" borderId="101" xfId="0" applyNumberFormat="1" applyFont="1" applyFill="1" applyBorder="1" applyProtection="1"/>
    <xf numFmtId="164" fontId="257" fillId="0" borderId="86" xfId="0" applyNumberFormat="1" applyFont="1" applyFill="1" applyBorder="1" applyProtection="1"/>
    <xf numFmtId="10" fontId="257" fillId="0" borderId="32" xfId="0" quotePrefix="1" applyNumberFormat="1" applyFont="1" applyFill="1" applyBorder="1" applyProtection="1"/>
    <xf numFmtId="164" fontId="257" fillId="0" borderId="88" xfId="0" applyNumberFormat="1" applyFont="1" applyFill="1" applyBorder="1" applyProtection="1"/>
    <xf numFmtId="10" fontId="257" fillId="0" borderId="114" xfId="0" quotePrefix="1" applyNumberFormat="1" applyFont="1" applyFill="1" applyBorder="1" applyProtection="1"/>
    <xf numFmtId="167" fontId="257" fillId="0" borderId="89" xfId="0" applyNumberFormat="1" applyFont="1" applyFill="1" applyBorder="1" applyProtection="1"/>
    <xf numFmtId="164" fontId="257" fillId="0" borderId="0" xfId="0" applyNumberFormat="1" applyFont="1" applyFill="1" applyBorder="1" applyProtection="1"/>
    <xf numFmtId="10" fontId="257" fillId="0" borderId="113" xfId="0" applyNumberFormat="1" applyFont="1" applyFill="1" applyBorder="1" applyProtection="1"/>
    <xf numFmtId="10" fontId="257" fillId="0" borderId="32" xfId="0" applyNumberFormat="1" applyFont="1" applyFill="1" applyBorder="1" applyProtection="1"/>
    <xf numFmtId="167" fontId="255" fillId="0" borderId="0" xfId="0" applyNumberFormat="1" applyFont="1" applyFill="1" applyBorder="1" applyProtection="1"/>
    <xf numFmtId="164" fontId="257" fillId="0" borderId="89" xfId="0" applyNumberFormat="1" applyFont="1" applyFill="1" applyBorder="1" applyProtection="1"/>
    <xf numFmtId="10" fontId="257" fillId="0" borderId="114" xfId="0" applyNumberFormat="1" applyFont="1" applyFill="1" applyBorder="1" applyProtection="1"/>
    <xf numFmtId="167" fontId="255" fillId="0" borderId="89" xfId="0" applyNumberFormat="1" applyFont="1" applyFill="1" applyBorder="1" applyProtection="1"/>
    <xf numFmtId="0" fontId="6" fillId="0" borderId="0" xfId="0" applyFont="1" applyBorder="1" applyProtection="1"/>
    <xf numFmtId="10" fontId="254" fillId="0" borderId="0" xfId="0" applyNumberFormat="1" applyFont="1" applyBorder="1" applyProtection="1"/>
    <xf numFmtId="10" fontId="334" fillId="33" borderId="24" xfId="0" applyNumberFormat="1" applyFont="1" applyFill="1" applyBorder="1" applyAlignment="1" applyProtection="1">
      <alignment wrapText="1"/>
    </xf>
    <xf numFmtId="6" fontId="257" fillId="0" borderId="0" xfId="0" applyNumberFormat="1" applyFont="1" applyFill="1" applyBorder="1" applyProtection="1"/>
    <xf numFmtId="0" fontId="257" fillId="0" borderId="0" xfId="0" applyFont="1" applyFill="1" applyBorder="1" applyProtection="1"/>
    <xf numFmtId="1" fontId="257" fillId="0" borderId="21" xfId="0" quotePrefix="1" applyNumberFormat="1" applyFont="1" applyBorder="1" applyProtection="1"/>
    <xf numFmtId="1" fontId="257" fillId="0" borderId="101" xfId="0" quotePrefix="1" applyNumberFormat="1" applyFont="1" applyBorder="1" applyProtection="1"/>
    <xf numFmtId="1" fontId="257" fillId="0" borderId="102" xfId="0" quotePrefix="1" applyNumberFormat="1" applyFont="1" applyBorder="1" applyProtection="1"/>
    <xf numFmtId="1" fontId="257" fillId="0" borderId="12" xfId="0" quotePrefix="1" applyNumberFormat="1" applyFont="1" applyBorder="1" applyProtection="1"/>
    <xf numFmtId="1" fontId="257" fillId="0" borderId="0" xfId="0" quotePrefix="1" applyNumberFormat="1" applyFont="1" applyBorder="1" applyProtection="1"/>
    <xf numFmtId="1" fontId="257" fillId="0" borderId="87" xfId="0" quotePrefix="1" applyNumberFormat="1" applyFont="1" applyBorder="1" applyProtection="1"/>
    <xf numFmtId="1" fontId="257" fillId="0" borderId="121" xfId="0" quotePrefix="1" applyNumberFormat="1" applyFont="1" applyBorder="1" applyProtection="1"/>
    <xf numFmtId="1" fontId="257" fillId="0" borderId="89" xfId="0" quotePrefix="1" applyNumberFormat="1" applyFont="1" applyBorder="1" applyProtection="1"/>
    <xf numFmtId="1" fontId="257" fillId="0" borderId="90" xfId="0" quotePrefix="1" applyNumberFormat="1" applyFont="1" applyBorder="1" applyProtection="1"/>
    <xf numFmtId="0" fontId="0" fillId="0" borderId="90" xfId="0" applyBorder="1" applyProtection="1"/>
    <xf numFmtId="38" fontId="257" fillId="0" borderId="0" xfId="0" applyNumberFormat="1" applyFont="1" applyFill="1" applyBorder="1" applyProtection="1"/>
    <xf numFmtId="38" fontId="257" fillId="0" borderId="101" xfId="0" applyNumberFormat="1" applyFont="1" applyFill="1" applyBorder="1" applyProtection="1"/>
    <xf numFmtId="38" fontId="257" fillId="0" borderId="102" xfId="0" applyNumberFormat="1" applyFont="1" applyFill="1" applyBorder="1" applyProtection="1"/>
    <xf numFmtId="38" fontId="257" fillId="0" borderId="87" xfId="0" applyNumberFormat="1" applyFont="1" applyFill="1" applyBorder="1" applyProtection="1"/>
    <xf numFmtId="38" fontId="257" fillId="0" borderId="89" xfId="0" applyNumberFormat="1" applyFont="1" applyFill="1" applyBorder="1" applyProtection="1"/>
    <xf numFmtId="38" fontId="257" fillId="0" borderId="90" xfId="0" applyNumberFormat="1" applyFont="1" applyFill="1" applyBorder="1" applyProtection="1"/>
    <xf numFmtId="0" fontId="255" fillId="0" borderId="86" xfId="0" applyFont="1" applyFill="1" applyBorder="1" applyProtection="1"/>
    <xf numFmtId="0" fontId="6" fillId="0" borderId="0" xfId="0" applyFont="1" applyFill="1" applyBorder="1" applyProtection="1"/>
    <xf numFmtId="0" fontId="2" fillId="0" borderId="0" xfId="0" applyFont="1" applyFill="1" applyBorder="1" applyProtection="1"/>
    <xf numFmtId="0" fontId="0" fillId="0" borderId="0" xfId="0" applyFill="1" applyBorder="1" applyProtection="1"/>
    <xf numFmtId="10" fontId="254" fillId="0" borderId="0" xfId="0" applyNumberFormat="1" applyFont="1" applyFill="1" applyBorder="1" applyProtection="1"/>
    <xf numFmtId="6" fontId="205" fillId="0" borderId="12" xfId="0" applyNumberFormat="1" applyFont="1" applyFill="1" applyBorder="1" applyProtection="1"/>
    <xf numFmtId="1" fontId="205" fillId="0" borderId="0" xfId="0" applyNumberFormat="1" applyFont="1" applyFill="1" applyBorder="1" applyProtection="1"/>
    <xf numFmtId="1" fontId="205" fillId="0" borderId="89" xfId="0" applyNumberFormat="1" applyFont="1" applyFill="1" applyBorder="1" applyProtection="1"/>
    <xf numFmtId="10" fontId="257" fillId="0" borderId="66" xfId="0" quotePrefix="1" applyNumberFormat="1" applyFont="1" applyBorder="1" applyProtection="1"/>
    <xf numFmtId="10" fontId="257" fillId="0" borderId="67" xfId="0" quotePrefix="1" applyNumberFormat="1" applyFont="1" applyBorder="1" applyProtection="1"/>
    <xf numFmtId="10" fontId="257" fillId="0" borderId="129" xfId="0" quotePrefix="1" applyNumberFormat="1" applyFont="1" applyBorder="1" applyProtection="1"/>
    <xf numFmtId="10" fontId="257" fillId="0" borderId="66" xfId="0" applyNumberFormat="1" applyFont="1" applyFill="1" applyBorder="1" applyProtection="1"/>
    <xf numFmtId="10" fontId="257" fillId="0" borderId="67" xfId="0" applyNumberFormat="1" applyFont="1" applyFill="1" applyBorder="1" applyProtection="1"/>
    <xf numFmtId="10" fontId="257" fillId="0" borderId="129" xfId="0" applyNumberFormat="1" applyFont="1" applyFill="1" applyBorder="1" applyProtection="1"/>
    <xf numFmtId="10" fontId="10" fillId="0" borderId="66" xfId="0" applyNumberFormat="1" applyFont="1" applyBorder="1" applyProtection="1">
      <protection locked="0"/>
    </xf>
    <xf numFmtId="10" fontId="205" fillId="47" borderId="129" xfId="0" applyNumberFormat="1" applyFont="1" applyFill="1" applyBorder="1" applyProtection="1"/>
    <xf numFmtId="10" fontId="10" fillId="0" borderId="129" xfId="0" applyNumberFormat="1" applyFont="1" applyBorder="1" applyProtection="1">
      <protection locked="0"/>
    </xf>
    <xf numFmtId="0" fontId="195" fillId="0" borderId="101" xfId="2" applyFont="1" applyBorder="1" applyAlignment="1" applyProtection="1"/>
    <xf numFmtId="0" fontId="195" fillId="0" borderId="89" xfId="2" applyFont="1" applyBorder="1" applyAlignment="1" applyProtection="1"/>
    <xf numFmtId="0" fontId="282" fillId="0" borderId="0" xfId="0" applyFont="1" applyProtection="1"/>
    <xf numFmtId="0" fontId="282" fillId="34" borderId="0" xfId="0" applyFont="1" applyFill="1" applyProtection="1"/>
    <xf numFmtId="0" fontId="265" fillId="34" borderId="0" xfId="0" applyFont="1" applyFill="1" applyProtection="1"/>
    <xf numFmtId="0" fontId="265" fillId="0" borderId="0" xfId="0" applyFont="1" applyProtection="1"/>
    <xf numFmtId="0" fontId="44" fillId="0" borderId="0" xfId="0" applyFont="1" applyBorder="1" applyProtection="1"/>
    <xf numFmtId="0" fontId="278" fillId="0" borderId="0" xfId="0" applyFont="1" applyProtection="1"/>
    <xf numFmtId="0" fontId="289" fillId="23" borderId="124" xfId="0" applyFont="1" applyFill="1" applyBorder="1" applyProtection="1"/>
    <xf numFmtId="0" fontId="291" fillId="23" borderId="125" xfId="0" applyFont="1" applyFill="1" applyBorder="1" applyProtection="1"/>
    <xf numFmtId="0" fontId="289" fillId="23" borderId="125" xfId="0" applyFont="1" applyFill="1" applyBorder="1" applyProtection="1"/>
    <xf numFmtId="0" fontId="291" fillId="23" borderId="126" xfId="0" applyFont="1" applyFill="1" applyBorder="1" applyProtection="1"/>
    <xf numFmtId="0" fontId="0" fillId="0" borderId="0" xfId="0" applyFill="1" applyProtection="1"/>
    <xf numFmtId="0" fontId="44" fillId="0" borderId="92" xfId="0" applyFont="1" applyBorder="1" applyProtection="1"/>
    <xf numFmtId="0" fontId="0" fillId="0" borderId="93" xfId="0" applyBorder="1" applyProtection="1"/>
    <xf numFmtId="0" fontId="0" fillId="0" borderId="94" xfId="0" applyBorder="1" applyProtection="1"/>
    <xf numFmtId="0" fontId="48" fillId="0" borderId="104" xfId="0" applyFont="1" applyBorder="1" applyProtection="1"/>
    <xf numFmtId="0" fontId="0" fillId="0" borderId="103" xfId="0" applyBorder="1" applyProtection="1"/>
    <xf numFmtId="0" fontId="265" fillId="0" borderId="103" xfId="0" applyFont="1" applyBorder="1" applyProtection="1"/>
    <xf numFmtId="0" fontId="254" fillId="0" borderId="103" xfId="0" applyFont="1" applyFill="1" applyBorder="1" applyProtection="1"/>
    <xf numFmtId="0" fontId="169" fillId="0" borderId="103" xfId="0" applyFont="1" applyFill="1" applyBorder="1" applyProtection="1"/>
    <xf numFmtId="10" fontId="170" fillId="0" borderId="103" xfId="0" applyNumberFormat="1" applyFont="1" applyFill="1" applyBorder="1" applyProtection="1"/>
    <xf numFmtId="0" fontId="0" fillId="0" borderId="105" xfId="0" applyBorder="1" applyProtection="1"/>
    <xf numFmtId="0" fontId="242" fillId="0" borderId="95" xfId="0" applyFont="1" applyBorder="1" applyAlignment="1" applyProtection="1">
      <alignment wrapText="1"/>
    </xf>
    <xf numFmtId="0" fontId="242" fillId="0" borderId="19" xfId="0" applyFont="1" applyBorder="1" applyAlignment="1" applyProtection="1">
      <alignment wrapText="1"/>
    </xf>
    <xf numFmtId="0" fontId="242" fillId="0" borderId="19" xfId="0" applyFont="1" applyBorder="1" applyAlignment="1" applyProtection="1"/>
    <xf numFmtId="0" fontId="0" fillId="0" borderId="96" xfId="0" applyBorder="1" applyProtection="1"/>
    <xf numFmtId="0" fontId="242" fillId="32" borderId="106" xfId="0" applyFont="1" applyFill="1" applyBorder="1" applyProtection="1"/>
    <xf numFmtId="0" fontId="0" fillId="0" borderId="0" xfId="0" applyBorder="1" applyAlignment="1" applyProtection="1">
      <alignment horizontal="right"/>
    </xf>
    <xf numFmtId="0" fontId="169" fillId="0" borderId="0" xfId="0" applyFont="1" applyFill="1" applyBorder="1" applyProtection="1"/>
    <xf numFmtId="10" fontId="170" fillId="0" borderId="0" xfId="0" applyNumberFormat="1" applyFont="1" applyFill="1" applyBorder="1" applyProtection="1"/>
    <xf numFmtId="164" fontId="170" fillId="0" borderId="0" xfId="0" applyNumberFormat="1" applyFont="1" applyFill="1" applyBorder="1" applyProtection="1"/>
    <xf numFmtId="0" fontId="170" fillId="0" borderId="0" xfId="0" applyFont="1" applyFill="1" applyBorder="1" applyProtection="1"/>
    <xf numFmtId="0" fontId="254" fillId="0" borderId="0" xfId="0" applyFont="1" applyFill="1" applyBorder="1" applyProtection="1"/>
    <xf numFmtId="0" fontId="242" fillId="32" borderId="86" xfId="0" applyFont="1" applyFill="1" applyBorder="1" applyProtection="1"/>
    <xf numFmtId="0" fontId="61" fillId="0" borderId="0" xfId="0" applyFont="1" applyFill="1" applyBorder="1" applyProtection="1"/>
    <xf numFmtId="10" fontId="90" fillId="0" borderId="0" xfId="0" applyNumberFormat="1" applyFont="1" applyFill="1" applyBorder="1" applyProtection="1"/>
    <xf numFmtId="164" fontId="90" fillId="0" borderId="0" xfId="0" applyNumberFormat="1" applyFont="1" applyFill="1" applyBorder="1" applyProtection="1"/>
    <xf numFmtId="0" fontId="90" fillId="0" borderId="0" xfId="0" applyFont="1" applyFill="1" applyBorder="1" applyProtection="1"/>
    <xf numFmtId="164" fontId="254" fillId="0" borderId="0" xfId="0" applyNumberFormat="1" applyFont="1" applyFill="1" applyBorder="1" applyProtection="1"/>
    <xf numFmtId="0" fontId="242" fillId="0" borderId="86" xfId="0" applyFont="1" applyBorder="1" applyAlignment="1" applyProtection="1">
      <alignment horizontal="right"/>
    </xf>
    <xf numFmtId="164" fontId="6" fillId="0" borderId="0" xfId="0" applyNumberFormat="1" applyFont="1" applyFill="1" applyBorder="1" applyAlignment="1" applyProtection="1"/>
    <xf numFmtId="164" fontId="23" fillId="0" borderId="0" xfId="0" applyNumberFormat="1" applyFont="1" applyFill="1" applyBorder="1" applyProtection="1"/>
    <xf numFmtId="0" fontId="26" fillId="0" borderId="0" xfId="0" applyFont="1" applyFill="1" applyBorder="1" applyProtection="1"/>
    <xf numFmtId="164" fontId="269" fillId="0" borderId="0" xfId="0" applyNumberFormat="1" applyFont="1" applyFill="1" applyBorder="1" applyAlignment="1" applyProtection="1">
      <alignment horizontal="center"/>
    </xf>
    <xf numFmtId="0" fontId="168" fillId="0" borderId="87" xfId="0" applyFont="1" applyFill="1" applyBorder="1" applyProtection="1"/>
    <xf numFmtId="0" fontId="23" fillId="0" borderId="0" xfId="0" applyFont="1" applyFill="1" applyBorder="1" applyProtection="1"/>
    <xf numFmtId="0" fontId="270" fillId="0" borderId="0" xfId="0" applyFont="1" applyFill="1" applyBorder="1" applyProtection="1"/>
    <xf numFmtId="0" fontId="0" fillId="0" borderId="0" xfId="0" applyFill="1" applyBorder="1" applyAlignment="1" applyProtection="1">
      <alignment horizontal="right"/>
    </xf>
    <xf numFmtId="0" fontId="242" fillId="32" borderId="88" xfId="0" applyFont="1" applyFill="1" applyBorder="1" applyProtection="1"/>
    <xf numFmtId="0" fontId="0" fillId="0" borderId="89" xfId="0" applyBorder="1" applyAlignment="1" applyProtection="1">
      <alignment horizontal="right"/>
    </xf>
    <xf numFmtId="164" fontId="6" fillId="0" borderId="89" xfId="0" applyNumberFormat="1" applyFont="1" applyFill="1" applyBorder="1" applyAlignment="1" applyProtection="1"/>
    <xf numFmtId="0" fontId="26" fillId="0" borderId="89" xfId="0" applyFont="1" applyFill="1" applyBorder="1" applyProtection="1"/>
    <xf numFmtId="164" fontId="23" fillId="0" borderId="89" xfId="0" applyNumberFormat="1" applyFont="1" applyFill="1" applyBorder="1" applyProtection="1"/>
    <xf numFmtId="164" fontId="269" fillId="0" borderId="89" xfId="0" applyNumberFormat="1" applyFont="1" applyFill="1" applyBorder="1" applyAlignment="1" applyProtection="1">
      <alignment horizontal="center"/>
    </xf>
    <xf numFmtId="0" fontId="168" fillId="0" borderId="90" xfId="0" applyFont="1" applyFill="1" applyBorder="1" applyProtection="1"/>
    <xf numFmtId="166" fontId="25" fillId="0" borderId="0" xfId="0" applyNumberFormat="1" applyFont="1" applyFill="1" applyBorder="1" applyProtection="1"/>
    <xf numFmtId="164" fontId="48" fillId="0" borderId="0" xfId="0" applyNumberFormat="1" applyFont="1" applyFill="1" applyBorder="1" applyProtection="1"/>
    <xf numFmtId="0" fontId="168" fillId="0" borderId="0" xfId="0" applyFont="1" applyFill="1" applyBorder="1" applyProtection="1"/>
    <xf numFmtId="0" fontId="44" fillId="0" borderId="100" xfId="0" applyFont="1" applyBorder="1" applyProtection="1"/>
    <xf numFmtId="0" fontId="0" fillId="0" borderId="101" xfId="0" applyBorder="1" applyProtection="1"/>
    <xf numFmtId="0" fontId="0" fillId="0" borderId="102" xfId="0" applyBorder="1" applyProtection="1"/>
    <xf numFmtId="0" fontId="48" fillId="0" borderId="106" xfId="0" applyFont="1" applyBorder="1" applyProtection="1"/>
    <xf numFmtId="0" fontId="0" fillId="0" borderId="5" xfId="0" applyBorder="1" applyProtection="1"/>
    <xf numFmtId="0" fontId="265" fillId="0" borderId="5" xfId="0" applyFont="1" applyBorder="1" applyProtection="1"/>
    <xf numFmtId="0" fontId="256" fillId="0" borderId="5" xfId="0" applyFont="1" applyBorder="1" applyProtection="1"/>
    <xf numFmtId="0" fontId="0" fillId="0" borderId="107" xfId="0" applyBorder="1" applyProtection="1"/>
    <xf numFmtId="0" fontId="242" fillId="0" borderId="106" xfId="0" applyFont="1" applyBorder="1" applyAlignment="1" applyProtection="1">
      <alignment wrapText="1"/>
    </xf>
    <xf numFmtId="0" fontId="242" fillId="0" borderId="5" xfId="0" applyFont="1" applyBorder="1" applyAlignment="1" applyProtection="1">
      <alignment wrapText="1"/>
    </xf>
    <xf numFmtId="0" fontId="242" fillId="0" borderId="5" xfId="0" applyFont="1" applyBorder="1" applyAlignment="1" applyProtection="1"/>
    <xf numFmtId="0" fontId="242" fillId="0" borderId="107" xfId="0" applyFont="1" applyBorder="1" applyAlignment="1" applyProtection="1">
      <alignment wrapText="1"/>
    </xf>
    <xf numFmtId="0" fontId="242" fillId="0" borderId="0" xfId="0" applyFont="1" applyAlignment="1" applyProtection="1">
      <alignment wrapText="1"/>
    </xf>
    <xf numFmtId="0" fontId="242" fillId="32" borderId="100" xfId="0" applyFont="1" applyFill="1" applyBorder="1" applyProtection="1"/>
    <xf numFmtId="44" fontId="6" fillId="0" borderId="101" xfId="1" applyFont="1" applyBorder="1" applyProtection="1"/>
    <xf numFmtId="0" fontId="0" fillId="0" borderId="101" xfId="0" applyFont="1" applyBorder="1" applyProtection="1"/>
    <xf numFmtId="0" fontId="47" fillId="0" borderId="101" xfId="0" applyFont="1" applyBorder="1" applyProtection="1"/>
    <xf numFmtId="0" fontId="254" fillId="0" borderId="101" xfId="0" applyFont="1" applyBorder="1" applyProtection="1"/>
    <xf numFmtId="44" fontId="6" fillId="0" borderId="0" xfId="1" applyFont="1" applyBorder="1" applyProtection="1"/>
    <xf numFmtId="0" fontId="242" fillId="0" borderId="0" xfId="0" applyFont="1" applyBorder="1" applyProtection="1"/>
    <xf numFmtId="0" fontId="268" fillId="0" borderId="0" xfId="0" applyFont="1" applyBorder="1" applyProtection="1"/>
    <xf numFmtId="0" fontId="114" fillId="0" borderId="0" xfId="0" applyFont="1" applyBorder="1" applyProtection="1"/>
    <xf numFmtId="10" fontId="142" fillId="0" borderId="0" xfId="0" applyNumberFormat="1" applyFont="1" applyBorder="1" applyProtection="1"/>
    <xf numFmtId="0" fontId="242" fillId="0" borderId="86" xfId="0" applyFont="1" applyFill="1" applyBorder="1" applyProtection="1"/>
    <xf numFmtId="0" fontId="7" fillId="0" borderId="0" xfId="0" applyFont="1" applyBorder="1" applyProtection="1"/>
    <xf numFmtId="0" fontId="0" fillId="0" borderId="89" xfId="0" applyFill="1" applyBorder="1" applyProtection="1"/>
    <xf numFmtId="0" fontId="7" fillId="0" borderId="89" xfId="0" applyFont="1" applyBorder="1" applyProtection="1"/>
    <xf numFmtId="0" fontId="48" fillId="0" borderId="108" xfId="0" applyFont="1" applyBorder="1" applyProtection="1"/>
    <xf numFmtId="0" fontId="0" fillId="0" borderId="109" xfId="0" applyBorder="1" applyProtection="1"/>
    <xf numFmtId="0" fontId="265" fillId="0" borderId="109" xfId="0" applyFont="1" applyBorder="1" applyProtection="1"/>
    <xf numFmtId="0" fontId="256" fillId="0" borderId="109" xfId="0" applyFont="1" applyBorder="1" applyProtection="1"/>
    <xf numFmtId="0" fontId="0" fillId="0" borderId="110" xfId="0" applyBorder="1" applyProtection="1"/>
    <xf numFmtId="0" fontId="242" fillId="0" borderId="97" xfId="0" applyFont="1" applyBorder="1" applyAlignment="1" applyProtection="1">
      <alignment wrapText="1"/>
    </xf>
    <xf numFmtId="0" fontId="242" fillId="0" borderId="98" xfId="0" applyFont="1" applyBorder="1" applyAlignment="1" applyProtection="1">
      <alignment wrapText="1"/>
    </xf>
    <xf numFmtId="0" fontId="242" fillId="0" borderId="98" xfId="0" applyFont="1" applyBorder="1" applyAlignment="1" applyProtection="1"/>
    <xf numFmtId="0" fontId="0" fillId="0" borderId="99" xfId="0" applyBorder="1" applyProtection="1"/>
    <xf numFmtId="10" fontId="256" fillId="0" borderId="0" xfId="0" applyNumberFormat="1" applyFont="1" applyBorder="1" applyProtection="1"/>
    <xf numFmtId="6" fontId="256" fillId="0" borderId="0" xfId="0" applyNumberFormat="1" applyFont="1" applyBorder="1" applyProtection="1"/>
    <xf numFmtId="9" fontId="256" fillId="0" borderId="0" xfId="0" applyNumberFormat="1" applyFont="1" applyBorder="1" applyProtection="1"/>
    <xf numFmtId="9" fontId="254" fillId="0" borderId="0" xfId="0" applyNumberFormat="1" applyFont="1" applyBorder="1" applyProtection="1"/>
    <xf numFmtId="0" fontId="242" fillId="0" borderId="89" xfId="0" applyFont="1" applyBorder="1" applyProtection="1"/>
    <xf numFmtId="6" fontId="256" fillId="0" borderId="89" xfId="0" applyNumberFormat="1" applyFont="1" applyBorder="1" applyProtection="1"/>
    <xf numFmtId="44" fontId="44" fillId="0" borderId="97" xfId="1" applyFont="1" applyBorder="1" applyProtection="1"/>
    <xf numFmtId="0" fontId="0" fillId="0" borderId="98" xfId="0" applyBorder="1" applyProtection="1"/>
    <xf numFmtId="0" fontId="242" fillId="0" borderId="86" xfId="0" applyFont="1" applyBorder="1" applyAlignment="1" applyProtection="1">
      <alignment wrapText="1"/>
    </xf>
    <xf numFmtId="0" fontId="242" fillId="0" borderId="0" xfId="0" applyFont="1" applyBorder="1" applyAlignment="1" applyProtection="1">
      <alignment wrapText="1"/>
    </xf>
    <xf numFmtId="0" fontId="242" fillId="0" borderId="0" xfId="0" applyFont="1" applyBorder="1" applyAlignment="1" applyProtection="1"/>
    <xf numFmtId="0" fontId="251" fillId="42" borderId="116" xfId="0" applyFont="1" applyFill="1" applyBorder="1" applyProtection="1"/>
    <xf numFmtId="0" fontId="7" fillId="3" borderId="117" xfId="0" applyFont="1" applyFill="1" applyBorder="1" applyAlignment="1" applyProtection="1">
      <alignment wrapText="1"/>
    </xf>
    <xf numFmtId="0" fontId="7" fillId="5" borderId="117" xfId="0" applyFont="1" applyFill="1" applyBorder="1" applyAlignment="1" applyProtection="1">
      <alignment wrapText="1"/>
    </xf>
    <xf numFmtId="0" fontId="7" fillId="5" borderId="120" xfId="0" applyFont="1" applyFill="1" applyBorder="1" applyAlignment="1" applyProtection="1">
      <alignment wrapText="1"/>
    </xf>
    <xf numFmtId="1" fontId="6" fillId="0" borderId="138" xfId="1" applyNumberFormat="1" applyFont="1" applyBorder="1" applyProtection="1"/>
    <xf numFmtId="1" fontId="254" fillId="0" borderId="100" xfId="0" applyNumberFormat="1" applyFont="1" applyBorder="1" applyProtection="1"/>
    <xf numFmtId="1" fontId="254" fillId="0" borderId="101" xfId="0" applyNumberFormat="1" applyFont="1" applyBorder="1" applyProtection="1"/>
    <xf numFmtId="164" fontId="254" fillId="0" borderId="101" xfId="0" applyNumberFormat="1" applyFont="1" applyBorder="1" applyProtection="1"/>
    <xf numFmtId="10" fontId="254" fillId="0" borderId="101" xfId="0" applyNumberFormat="1" applyFont="1" applyBorder="1" applyProtection="1"/>
    <xf numFmtId="10" fontId="254" fillId="0" borderId="102" xfId="0" applyNumberFormat="1" applyFont="1" applyBorder="1" applyProtection="1"/>
    <xf numFmtId="1" fontId="6" fillId="0" borderId="134" xfId="1" applyNumberFormat="1" applyFont="1" applyBorder="1" applyProtection="1"/>
    <xf numFmtId="1" fontId="254" fillId="0" borderId="86" xfId="0" applyNumberFormat="1" applyFont="1" applyBorder="1" applyProtection="1"/>
    <xf numFmtId="1" fontId="254" fillId="0" borderId="0" xfId="0" applyNumberFormat="1" applyFont="1" applyBorder="1" applyProtection="1"/>
    <xf numFmtId="164" fontId="254" fillId="0" borderId="0" xfId="0" applyNumberFormat="1" applyFont="1" applyBorder="1" applyProtection="1"/>
    <xf numFmtId="10" fontId="254" fillId="0" borderId="87" xfId="0" applyNumberFormat="1" applyFont="1" applyBorder="1" applyProtection="1"/>
    <xf numFmtId="1" fontId="6" fillId="0" borderId="82" xfId="1" applyNumberFormat="1" applyFont="1" applyBorder="1" applyProtection="1"/>
    <xf numFmtId="1" fontId="254" fillId="0" borderId="10" xfId="0" applyNumberFormat="1" applyFont="1" applyBorder="1" applyProtection="1"/>
    <xf numFmtId="1" fontId="254" fillId="0" borderId="3" xfId="0" applyNumberFormat="1" applyFont="1" applyBorder="1" applyProtection="1"/>
    <xf numFmtId="164" fontId="254" fillId="0" borderId="3" xfId="0" applyNumberFormat="1" applyFont="1" applyBorder="1" applyProtection="1"/>
    <xf numFmtId="10" fontId="254" fillId="0" borderId="3" xfId="0" applyNumberFormat="1" applyFont="1" applyBorder="1" applyProtection="1"/>
    <xf numFmtId="10" fontId="254" fillId="0" borderId="9" xfId="0" applyNumberFormat="1" applyFont="1" applyBorder="1" applyProtection="1"/>
    <xf numFmtId="38" fontId="256" fillId="0" borderId="0" xfId="0" applyNumberFormat="1" applyFont="1" applyBorder="1" applyProtection="1"/>
    <xf numFmtId="1" fontId="6" fillId="0" borderId="0" xfId="1" applyNumberFormat="1" applyFont="1" applyBorder="1" applyProtection="1"/>
    <xf numFmtId="1" fontId="6" fillId="0" borderId="100" xfId="1" applyNumberFormat="1" applyFont="1" applyBorder="1" applyProtection="1"/>
    <xf numFmtId="1" fontId="245" fillId="0" borderId="101" xfId="0" applyNumberFormat="1" applyFont="1" applyBorder="1" applyProtection="1"/>
    <xf numFmtId="6" fontId="245" fillId="0" borderId="101" xfId="0" applyNumberFormat="1" applyFont="1" applyBorder="1" applyProtection="1"/>
    <xf numFmtId="1" fontId="256" fillId="0" borderId="102" xfId="0" applyNumberFormat="1" applyFont="1" applyBorder="1" applyAlignment="1" applyProtection="1">
      <alignment horizontal="left"/>
    </xf>
    <xf numFmtId="1" fontId="6" fillId="0" borderId="88" xfId="1" applyNumberFormat="1" applyFont="1" applyBorder="1" applyProtection="1"/>
    <xf numFmtId="1" fontId="254" fillId="0" borderId="89" xfId="0" applyNumberFormat="1" applyFont="1" applyBorder="1" applyProtection="1"/>
    <xf numFmtId="1" fontId="245" fillId="0" borderId="89" xfId="0" applyNumberFormat="1" applyFont="1" applyBorder="1" applyProtection="1"/>
    <xf numFmtId="38" fontId="254" fillId="0" borderId="89" xfId="0" applyNumberFormat="1" applyFont="1" applyBorder="1" applyProtection="1"/>
    <xf numFmtId="1" fontId="256" fillId="0" borderId="90" xfId="0" applyNumberFormat="1" applyFont="1" applyBorder="1" applyAlignment="1" applyProtection="1">
      <alignment horizontal="left"/>
    </xf>
    <xf numFmtId="0" fontId="44" fillId="0" borderId="97" xfId="0" applyFont="1" applyBorder="1" applyProtection="1"/>
    <xf numFmtId="0" fontId="6" fillId="0" borderId="5" xfId="0" applyFont="1" applyBorder="1" applyProtection="1"/>
    <xf numFmtId="1" fontId="256" fillId="0" borderId="0" xfId="0" applyNumberFormat="1" applyFont="1" applyBorder="1" applyProtection="1"/>
    <xf numFmtId="44" fontId="6" fillId="0" borderId="89" xfId="1" applyFont="1" applyBorder="1" applyProtection="1"/>
    <xf numFmtId="10" fontId="256" fillId="0" borderId="89" xfId="0" applyNumberFormat="1" applyFont="1" applyBorder="1" applyProtection="1"/>
    <xf numFmtId="0" fontId="264" fillId="0" borderId="109" xfId="0" applyFont="1" applyBorder="1" applyProtection="1"/>
    <xf numFmtId="0" fontId="242" fillId="32" borderId="4" xfId="0" applyFont="1" applyFill="1" applyBorder="1" applyProtection="1"/>
    <xf numFmtId="0" fontId="272" fillId="0" borderId="0" xfId="0" applyFont="1" applyBorder="1" applyProtection="1"/>
    <xf numFmtId="0" fontId="242" fillId="32" borderId="16" xfId="0" applyFont="1" applyFill="1" applyBorder="1" applyProtection="1"/>
    <xf numFmtId="0" fontId="242" fillId="0" borderId="16" xfId="0" applyFont="1" applyBorder="1" applyAlignment="1" applyProtection="1">
      <alignment horizontal="right"/>
    </xf>
    <xf numFmtId="0" fontId="271" fillId="0" borderId="0" xfId="0" applyFont="1" applyBorder="1" applyProtection="1"/>
    <xf numFmtId="44" fontId="89" fillId="0" borderId="0" xfId="1" applyFont="1" applyBorder="1" applyProtection="1"/>
    <xf numFmtId="0" fontId="90" fillId="0" borderId="0" xfId="0" applyFont="1" applyBorder="1" applyProtection="1"/>
    <xf numFmtId="0" fontId="36" fillId="0" borderId="0" xfId="0" applyFont="1" applyBorder="1" applyProtection="1"/>
    <xf numFmtId="44" fontId="7" fillId="0" borderId="0" xfId="1" applyFont="1" applyBorder="1" applyProtection="1"/>
    <xf numFmtId="0" fontId="242" fillId="32" borderId="111" xfId="0" applyFont="1" applyFill="1" applyBorder="1" applyProtection="1"/>
    <xf numFmtId="0" fontId="0" fillId="0" borderId="89" xfId="0" applyFill="1" applyBorder="1" applyAlignment="1" applyProtection="1">
      <alignment horizontal="right"/>
    </xf>
    <xf numFmtId="0" fontId="36" fillId="0" borderId="89" xfId="0" applyFont="1" applyBorder="1" applyProtection="1"/>
    <xf numFmtId="44" fontId="6" fillId="0" borderId="5" xfId="1" applyFont="1" applyBorder="1" applyProtection="1"/>
    <xf numFmtId="0" fontId="0" fillId="0" borderId="86" xfId="0" applyBorder="1" applyProtection="1"/>
    <xf numFmtId="38" fontId="256" fillId="0" borderId="89" xfId="0" applyNumberFormat="1" applyFont="1" applyBorder="1" applyProtection="1"/>
    <xf numFmtId="0" fontId="0" fillId="0" borderId="88" xfId="0" applyBorder="1" applyProtection="1"/>
    <xf numFmtId="0" fontId="44" fillId="0" borderId="176" xfId="0" applyFont="1" applyBorder="1" applyProtection="1"/>
    <xf numFmtId="0" fontId="0" fillId="0" borderId="177" xfId="0" applyBorder="1" applyProtection="1"/>
    <xf numFmtId="0" fontId="0" fillId="0" borderId="178" xfId="0" applyBorder="1" applyProtection="1"/>
    <xf numFmtId="0" fontId="242" fillId="0" borderId="24" xfId="0" applyFont="1" applyBorder="1" applyAlignment="1" applyProtection="1"/>
    <xf numFmtId="0" fontId="242" fillId="0" borderId="24" xfId="0" applyFont="1" applyBorder="1" applyAlignment="1" applyProtection="1">
      <alignment wrapText="1"/>
    </xf>
    <xf numFmtId="0" fontId="335" fillId="0" borderId="86" xfId="0" applyFont="1" applyFill="1" applyBorder="1" applyAlignment="1" applyProtection="1">
      <alignment wrapText="1"/>
    </xf>
    <xf numFmtId="10" fontId="257" fillId="0" borderId="101" xfId="0" applyNumberFormat="1" applyFont="1" applyFill="1" applyBorder="1" applyProtection="1"/>
    <xf numFmtId="0" fontId="251" fillId="0" borderId="86" xfId="0" applyFont="1" applyFill="1" applyBorder="1" applyProtection="1"/>
    <xf numFmtId="10" fontId="257" fillId="0" borderId="89" xfId="0" applyNumberFormat="1" applyFont="1" applyFill="1" applyBorder="1" applyProtection="1"/>
    <xf numFmtId="0" fontId="268" fillId="0" borderId="0" xfId="0" applyFont="1" applyFill="1" applyBorder="1" applyProtection="1"/>
    <xf numFmtId="167" fontId="249" fillId="0" borderId="0" xfId="0" applyNumberFormat="1" applyFont="1" applyFill="1" applyBorder="1" applyAlignment="1" applyProtection="1">
      <alignment wrapText="1"/>
    </xf>
    <xf numFmtId="0" fontId="249" fillId="0" borderId="86" xfId="0" applyFont="1" applyFill="1" applyBorder="1" applyProtection="1"/>
    <xf numFmtId="167" fontId="251" fillId="48" borderId="24" xfId="0" applyNumberFormat="1" applyFont="1" applyFill="1" applyBorder="1" applyAlignment="1" applyProtection="1">
      <alignment wrapText="1"/>
    </xf>
    <xf numFmtId="0" fontId="251" fillId="33" borderId="25" xfId="0" applyFont="1" applyFill="1" applyBorder="1" applyAlignment="1" applyProtection="1">
      <alignment wrapText="1"/>
    </xf>
    <xf numFmtId="6" fontId="257" fillId="0" borderId="100" xfId="0" applyNumberFormat="1" applyFont="1" applyFill="1" applyBorder="1" applyProtection="1"/>
    <xf numFmtId="38" fontId="257" fillId="0" borderId="21" xfId="0" applyNumberFormat="1" applyFont="1" applyFill="1" applyBorder="1" applyProtection="1"/>
    <xf numFmtId="38" fontId="257" fillId="0" borderId="12" xfId="0" applyNumberFormat="1" applyFont="1" applyFill="1" applyBorder="1" applyProtection="1"/>
    <xf numFmtId="6" fontId="257" fillId="0" borderId="88" xfId="0" applyNumberFormat="1" applyFont="1" applyFill="1" applyBorder="1" applyProtection="1"/>
    <xf numFmtId="38" fontId="257" fillId="0" borderId="121" xfId="0" applyNumberFormat="1" applyFont="1" applyFill="1" applyBorder="1" applyProtection="1"/>
    <xf numFmtId="0" fontId="249" fillId="0" borderId="90" xfId="0" applyFont="1" applyFill="1" applyBorder="1" applyProtection="1"/>
    <xf numFmtId="0" fontId="316" fillId="33" borderId="25" xfId="0" applyFont="1" applyFill="1" applyBorder="1" applyAlignment="1" applyProtection="1">
      <alignment wrapText="1"/>
    </xf>
    <xf numFmtId="10" fontId="257" fillId="0" borderId="67" xfId="0" applyNumberFormat="1" applyFont="1" applyBorder="1" applyProtection="1"/>
    <xf numFmtId="38" fontId="257" fillId="0" borderId="12" xfId="0" applyNumberFormat="1" applyFont="1" applyFill="1" applyBorder="1" applyAlignment="1" applyProtection="1">
      <alignment wrapText="1"/>
    </xf>
    <xf numFmtId="1" fontId="257" fillId="0" borderId="87" xfId="0" applyNumberFormat="1" applyFont="1" applyFill="1" applyBorder="1" applyProtection="1"/>
    <xf numFmtId="1" fontId="7" fillId="0" borderId="88" xfId="1" applyNumberFormat="1" applyFont="1" applyFill="1" applyBorder="1" applyProtection="1"/>
    <xf numFmtId="1" fontId="257" fillId="0" borderId="121" xfId="0" applyNumberFormat="1" applyFont="1" applyFill="1" applyBorder="1" applyProtection="1"/>
    <xf numFmtId="1" fontId="257" fillId="0" borderId="89" xfId="0" applyNumberFormat="1" applyFont="1" applyFill="1" applyBorder="1" applyProtection="1"/>
    <xf numFmtId="10" fontId="257" fillId="0" borderId="129" xfId="0" applyNumberFormat="1" applyFont="1" applyBorder="1" applyProtection="1"/>
    <xf numFmtId="1" fontId="257" fillId="0" borderId="90" xfId="0" applyNumberFormat="1" applyFont="1" applyFill="1" applyBorder="1" applyProtection="1"/>
    <xf numFmtId="0" fontId="242" fillId="0" borderId="88" xfId="0" applyFont="1" applyFill="1" applyBorder="1" applyProtection="1"/>
    <xf numFmtId="44" fontId="6" fillId="0" borderId="89" xfId="1" applyFont="1" applyFill="1" applyBorder="1" applyProtection="1"/>
    <xf numFmtId="0" fontId="257" fillId="0" borderId="89" xfId="0" applyFont="1" applyFill="1" applyBorder="1" applyProtection="1"/>
    <xf numFmtId="0" fontId="0" fillId="0" borderId="90" xfId="0" applyFill="1" applyBorder="1" applyProtection="1"/>
    <xf numFmtId="44" fontId="44" fillId="0" borderId="100" xfId="1" applyFont="1" applyBorder="1" applyProtection="1"/>
    <xf numFmtId="44" fontId="119" fillId="0" borderId="101" xfId="1" applyFont="1" applyBorder="1" applyProtection="1"/>
    <xf numFmtId="0" fontId="48" fillId="0" borderId="100" xfId="0" applyFont="1" applyBorder="1" applyProtection="1"/>
    <xf numFmtId="0" fontId="265" fillId="0" borderId="101" xfId="0" applyFont="1" applyBorder="1" applyProtection="1"/>
    <xf numFmtId="0" fontId="48" fillId="0" borderId="88" xfId="0" applyFont="1" applyBorder="1" applyProtection="1"/>
    <xf numFmtId="0" fontId="256" fillId="0" borderId="89" xfId="0" applyFont="1" applyBorder="1" applyProtection="1"/>
    <xf numFmtId="0" fontId="265" fillId="0" borderId="89" xfId="0" applyFont="1" applyBorder="1" applyProtection="1"/>
    <xf numFmtId="0" fontId="0" fillId="0" borderId="19" xfId="0" applyFont="1" applyBorder="1" applyAlignment="1" applyProtection="1">
      <alignment wrapText="1"/>
    </xf>
    <xf numFmtId="0" fontId="242" fillId="0" borderId="86" xfId="0" applyFont="1" applyFill="1" applyBorder="1" applyAlignment="1" applyProtection="1">
      <alignment horizontal="right"/>
    </xf>
    <xf numFmtId="44" fontId="6" fillId="0" borderId="0" xfId="1" applyFont="1" applyFill="1" applyBorder="1" applyProtection="1"/>
    <xf numFmtId="0" fontId="256" fillId="0" borderId="103" xfId="0" applyFont="1" applyBorder="1" applyProtection="1"/>
    <xf numFmtId="0" fontId="1" fillId="0" borderId="0" xfId="0" applyFont="1" applyBorder="1" applyProtection="1"/>
    <xf numFmtId="10" fontId="47" fillId="0" borderId="0" xfId="0" applyNumberFormat="1" applyFont="1" applyBorder="1" applyProtection="1"/>
    <xf numFmtId="9" fontId="245" fillId="0" borderId="0" xfId="0" applyNumberFormat="1" applyFont="1" applyBorder="1" applyProtection="1"/>
    <xf numFmtId="0" fontId="67" fillId="0" borderId="0" xfId="0" applyFont="1" applyBorder="1" applyProtection="1"/>
    <xf numFmtId="9" fontId="256" fillId="0" borderId="0" xfId="0" applyNumberFormat="1" applyFont="1" applyProtection="1"/>
    <xf numFmtId="9" fontId="89" fillId="0" borderId="0" xfId="0" applyNumberFormat="1" applyFont="1" applyBorder="1" applyProtection="1"/>
    <xf numFmtId="164" fontId="256" fillId="0" borderId="0" xfId="0" applyNumberFormat="1" applyFont="1" applyBorder="1" applyProtection="1"/>
    <xf numFmtId="0" fontId="44" fillId="9" borderId="75" xfId="0" applyFont="1" applyFill="1" applyBorder="1" applyProtection="1"/>
    <xf numFmtId="0" fontId="0" fillId="9" borderId="70" xfId="0" applyFill="1" applyBorder="1" applyProtection="1"/>
    <xf numFmtId="0" fontId="184" fillId="9" borderId="70" xfId="0" applyFont="1" applyFill="1" applyBorder="1" applyProtection="1"/>
    <xf numFmtId="0" fontId="0" fillId="9" borderId="72" xfId="0" applyFill="1" applyBorder="1" applyProtection="1"/>
    <xf numFmtId="0" fontId="48" fillId="9" borderId="76" xfId="0" applyFont="1" applyFill="1" applyBorder="1" applyProtection="1"/>
    <xf numFmtId="0" fontId="0" fillId="9" borderId="0" xfId="0" applyFill="1" applyBorder="1" applyProtection="1"/>
    <xf numFmtId="0" fontId="184" fillId="9" borderId="0" xfId="0" applyFont="1" applyFill="1" applyBorder="1" applyProtection="1"/>
    <xf numFmtId="0" fontId="0" fillId="9" borderId="73" xfId="0" applyFill="1" applyBorder="1" applyProtection="1"/>
    <xf numFmtId="0" fontId="0" fillId="9" borderId="76" xfId="0" applyNumberFormat="1" applyFill="1" applyBorder="1" applyAlignment="1" applyProtection="1">
      <alignment horizontal="left" indent="3"/>
    </xf>
    <xf numFmtId="0" fontId="184" fillId="32" borderId="0" xfId="0" applyFont="1" applyFill="1" applyBorder="1" applyProtection="1"/>
    <xf numFmtId="0" fontId="242" fillId="9" borderId="76" xfId="0" applyNumberFormat="1" applyFont="1" applyFill="1" applyBorder="1" applyAlignment="1" applyProtection="1">
      <alignment horizontal="left" indent="3"/>
    </xf>
    <xf numFmtId="0" fontId="6" fillId="9" borderId="0" xfId="0" applyFont="1" applyFill="1" applyBorder="1" applyProtection="1"/>
    <xf numFmtId="0" fontId="215" fillId="9" borderId="76" xfId="0" applyNumberFormat="1" applyFont="1" applyFill="1" applyBorder="1" applyAlignment="1" applyProtection="1">
      <alignment horizontal="left" indent="3"/>
    </xf>
    <xf numFmtId="0" fontId="184" fillId="9" borderId="79" xfId="0" applyFont="1" applyFill="1" applyBorder="1" applyProtection="1"/>
    <xf numFmtId="0" fontId="184" fillId="9" borderId="71" xfId="0" applyFont="1" applyFill="1" applyBorder="1" applyProtection="1"/>
    <xf numFmtId="0" fontId="6" fillId="9" borderId="71" xfId="0" applyFont="1" applyFill="1" applyBorder="1" applyProtection="1"/>
    <xf numFmtId="0" fontId="0" fillId="9" borderId="74" xfId="0" applyFill="1" applyBorder="1" applyProtection="1"/>
    <xf numFmtId="6" fontId="191" fillId="0" borderId="179" xfId="0" applyNumberFormat="1" applyFont="1" applyBorder="1"/>
    <xf numFmtId="6" fontId="191" fillId="0" borderId="180" xfId="0" applyNumberFormat="1" applyFont="1" applyBorder="1"/>
    <xf numFmtId="6" fontId="191" fillId="0" borderId="180" xfId="0" applyNumberFormat="1" applyFont="1" applyFill="1" applyBorder="1"/>
    <xf numFmtId="6" fontId="191" fillId="0" borderId="181" xfId="0" applyNumberFormat="1" applyFont="1" applyBorder="1"/>
    <xf numFmtId="6" fontId="191" fillId="0" borderId="139" xfId="0" applyNumberFormat="1" applyFont="1" applyBorder="1"/>
    <xf numFmtId="6" fontId="191" fillId="0" borderId="16" xfId="0" applyNumberFormat="1" applyFont="1" applyBorder="1"/>
    <xf numFmtId="6" fontId="191" fillId="0" borderId="111" xfId="0" applyNumberFormat="1" applyFont="1" applyBorder="1"/>
    <xf numFmtId="10" fontId="191" fillId="0" borderId="139" xfId="0" applyNumberFormat="1" applyFont="1" applyBorder="1"/>
    <xf numFmtId="10" fontId="191" fillId="0" borderId="16" xfId="0" applyNumberFormat="1" applyFont="1" applyBorder="1"/>
    <xf numFmtId="10" fontId="191" fillId="0" borderId="111" xfId="0" applyNumberFormat="1" applyFont="1" applyBorder="1"/>
    <xf numFmtId="0" fontId="1" fillId="23" borderId="7" xfId="0" applyFont="1" applyFill="1" applyBorder="1"/>
    <xf numFmtId="44" fontId="6" fillId="23" borderId="0" xfId="1" applyFont="1" applyFill="1"/>
    <xf numFmtId="0" fontId="265" fillId="47" borderId="88" xfId="0" applyFont="1" applyFill="1" applyBorder="1"/>
    <xf numFmtId="0" fontId="0" fillId="47" borderId="89" xfId="0" applyFont="1" applyFill="1" applyBorder="1"/>
    <xf numFmtId="0" fontId="251" fillId="24" borderId="24" xfId="0" applyFont="1" applyFill="1" applyBorder="1" applyAlignment="1">
      <alignment wrapText="1"/>
    </xf>
    <xf numFmtId="0" fontId="251" fillId="24" borderId="25" xfId="0" applyFont="1" applyFill="1" applyBorder="1" applyAlignment="1">
      <alignment wrapText="1"/>
    </xf>
    <xf numFmtId="0" fontId="11" fillId="32" borderId="23" xfId="0" applyFont="1" applyFill="1" applyBorder="1" applyAlignment="1">
      <alignment wrapText="1"/>
    </xf>
    <xf numFmtId="164" fontId="249" fillId="0" borderId="184" xfId="0" applyNumberFormat="1" applyFont="1" applyBorder="1"/>
    <xf numFmtId="0" fontId="250" fillId="0" borderId="0" xfId="0" applyFont="1" applyProtection="1">
      <protection locked="0"/>
    </xf>
    <xf numFmtId="0" fontId="250" fillId="0" borderId="89" xfId="0" applyFont="1" applyBorder="1" applyProtection="1">
      <protection locked="0"/>
    </xf>
    <xf numFmtId="0" fontId="245" fillId="0" borderId="21" xfId="0" applyFont="1" applyBorder="1" applyProtection="1">
      <protection locked="0"/>
    </xf>
    <xf numFmtId="10" fontId="205" fillId="19" borderId="0" xfId="0" applyNumberFormat="1" applyFont="1" applyFill="1" applyBorder="1" applyAlignment="1" applyProtection="1">
      <alignment horizontal="left"/>
    </xf>
    <xf numFmtId="0" fontId="0" fillId="19" borderId="89" xfId="0" applyFill="1" applyBorder="1"/>
    <xf numFmtId="10" fontId="205" fillId="0" borderId="86" xfId="0" applyNumberFormat="1" applyFont="1" applyFill="1" applyBorder="1" applyProtection="1"/>
    <xf numFmtId="10" fontId="69" fillId="0" borderId="86" xfId="0" applyNumberFormat="1" applyFont="1" applyFill="1" applyBorder="1" applyProtection="1"/>
    <xf numFmtId="9" fontId="121" fillId="0" borderId="86" xfId="0" applyNumberFormat="1" applyFont="1" applyFill="1" applyBorder="1" applyProtection="1"/>
    <xf numFmtId="9" fontId="121" fillId="0" borderId="86" xfId="0" applyNumberFormat="1" applyFont="1" applyFill="1" applyBorder="1"/>
    <xf numFmtId="0" fontId="155" fillId="0" borderId="0" xfId="0" applyFont="1" applyBorder="1"/>
    <xf numFmtId="0" fontId="33" fillId="0" borderId="7" xfId="2" applyFont="1" applyBorder="1" applyAlignment="1" applyProtection="1"/>
    <xf numFmtId="0" fontId="333" fillId="0" borderId="0" xfId="0" applyFont="1" applyBorder="1"/>
    <xf numFmtId="0" fontId="333" fillId="0" borderId="0" xfId="0" applyFont="1"/>
    <xf numFmtId="0" fontId="172" fillId="9" borderId="163" xfId="0" applyFont="1" applyFill="1" applyBorder="1"/>
    <xf numFmtId="0" fontId="340" fillId="32" borderId="163" xfId="0" applyFont="1" applyFill="1" applyBorder="1"/>
    <xf numFmtId="0" fontId="0" fillId="9" borderId="183" xfId="0" applyFill="1" applyBorder="1"/>
    <xf numFmtId="0" fontId="0" fillId="9" borderId="164" xfId="0" applyFill="1" applyBorder="1"/>
    <xf numFmtId="167" fontId="0" fillId="0" borderId="121" xfId="0" applyNumberFormat="1" applyBorder="1"/>
    <xf numFmtId="0" fontId="48" fillId="0" borderId="16" xfId="0" applyFont="1" applyBorder="1"/>
    <xf numFmtId="0" fontId="242" fillId="0" borderId="48" xfId="0" applyFont="1" applyBorder="1" applyProtection="1"/>
    <xf numFmtId="0" fontId="259" fillId="0" borderId="42" xfId="0" applyFont="1" applyBorder="1" applyProtection="1"/>
    <xf numFmtId="0" fontId="261" fillId="0" borderId="42" xfId="0" applyFont="1" applyFill="1" applyBorder="1" applyAlignment="1" applyProtection="1">
      <alignment horizontal="center"/>
    </xf>
    <xf numFmtId="0" fontId="0" fillId="0" borderId="42" xfId="0" applyBorder="1" applyProtection="1"/>
    <xf numFmtId="167" fontId="256" fillId="23" borderId="49" xfId="0" applyNumberFormat="1" applyFont="1" applyFill="1" applyBorder="1" applyAlignment="1" applyProtection="1">
      <alignment horizontal="right"/>
    </xf>
    <xf numFmtId="0" fontId="251" fillId="45" borderId="25" xfId="0" applyFont="1" applyFill="1" applyBorder="1" applyAlignment="1" applyProtection="1">
      <alignment wrapText="1"/>
    </xf>
    <xf numFmtId="0" fontId="251" fillId="32" borderId="24" xfId="0" applyFont="1" applyFill="1" applyBorder="1" applyAlignment="1" applyProtection="1">
      <alignment wrapText="1"/>
    </xf>
    <xf numFmtId="0" fontId="247" fillId="0" borderId="88" xfId="0" applyFont="1" applyBorder="1" applyProtection="1"/>
    <xf numFmtId="0" fontId="247" fillId="0" borderId="89" xfId="0" applyFont="1" applyBorder="1" applyProtection="1"/>
    <xf numFmtId="0" fontId="249" fillId="0" borderId="89" xfId="0" applyFont="1" applyBorder="1" applyProtection="1"/>
    <xf numFmtId="6" fontId="339" fillId="0" borderId="90" xfId="0" applyNumberFormat="1" applyFont="1" applyBorder="1" applyProtection="1">
      <protection locked="0"/>
    </xf>
    <xf numFmtId="0" fontId="339" fillId="0" borderId="87" xfId="0" applyFont="1" applyBorder="1" applyProtection="1">
      <protection locked="0"/>
    </xf>
    <xf numFmtId="6" fontId="339" fillId="0" borderId="87" xfId="0" applyNumberFormat="1" applyFont="1" applyBorder="1" applyProtection="1">
      <protection locked="0"/>
    </xf>
    <xf numFmtId="10" fontId="339" fillId="0" borderId="87" xfId="0" applyNumberFormat="1" applyFont="1" applyBorder="1" applyProtection="1">
      <protection locked="0"/>
    </xf>
    <xf numFmtId="9" fontId="339" fillId="0" borderId="90" xfId="0" applyNumberFormat="1" applyFont="1" applyBorder="1" applyProtection="1">
      <protection locked="0"/>
    </xf>
    <xf numFmtId="6" fontId="245" fillId="0" borderId="86" xfId="0" applyNumberFormat="1" applyFont="1" applyFill="1" applyBorder="1" applyProtection="1">
      <protection locked="0"/>
    </xf>
    <xf numFmtId="164" fontId="249" fillId="0" borderId="12" xfId="0" applyNumberFormat="1" applyFont="1" applyFill="1" applyBorder="1"/>
    <xf numFmtId="0" fontId="6" fillId="23" borderId="116" xfId="0" applyFont="1" applyFill="1" applyBorder="1" applyAlignment="1">
      <alignment wrapText="1"/>
    </xf>
    <xf numFmtId="0" fontId="6" fillId="35" borderId="120" xfId="0" applyFont="1" applyFill="1" applyBorder="1" applyAlignment="1">
      <alignment wrapText="1"/>
    </xf>
    <xf numFmtId="0" fontId="6" fillId="40" borderId="120" xfId="0" applyFont="1" applyFill="1" applyBorder="1" applyAlignment="1">
      <alignment wrapText="1"/>
    </xf>
    <xf numFmtId="0" fontId="147" fillId="0" borderId="0" xfId="0" applyFont="1" applyFill="1" applyBorder="1" applyAlignment="1">
      <alignment horizontal="center"/>
    </xf>
    <xf numFmtId="167" fontId="254" fillId="0" borderId="0" xfId="0" applyNumberFormat="1" applyFont="1" applyFill="1" applyBorder="1"/>
    <xf numFmtId="0" fontId="254" fillId="0" borderId="0" xfId="0" applyFont="1" applyFill="1" applyBorder="1"/>
    <xf numFmtId="0" fontId="48" fillId="0" borderId="86" xfId="0" applyFont="1" applyBorder="1"/>
    <xf numFmtId="0" fontId="90" fillId="0" borderId="87" xfId="0" applyFont="1" applyBorder="1"/>
    <xf numFmtId="0" fontId="1" fillId="0" borderId="89" xfId="0" applyFont="1" applyFill="1" applyBorder="1"/>
    <xf numFmtId="44" fontId="90" fillId="0" borderId="89" xfId="1" applyFont="1" applyFill="1" applyBorder="1"/>
    <xf numFmtId="0" fontId="90" fillId="0" borderId="89" xfId="0" applyFont="1" applyFill="1" applyBorder="1"/>
    <xf numFmtId="0" fontId="147" fillId="0" borderId="89" xfId="0" applyFont="1" applyFill="1" applyBorder="1" applyAlignment="1">
      <alignment horizontal="center"/>
    </xf>
    <xf numFmtId="0" fontId="90" fillId="0" borderId="89" xfId="0" applyFont="1" applyBorder="1"/>
    <xf numFmtId="0" fontId="90" fillId="0" borderId="90" xfId="0" applyFont="1" applyBorder="1"/>
    <xf numFmtId="167" fontId="47" fillId="0" borderId="0" xfId="0" applyNumberFormat="1" applyFont="1" applyBorder="1" applyProtection="1">
      <protection locked="0"/>
    </xf>
    <xf numFmtId="167" fontId="47" fillId="0" borderId="0" xfId="0" applyNumberFormat="1" applyFont="1" applyFill="1" applyBorder="1" applyProtection="1">
      <protection locked="0"/>
    </xf>
    <xf numFmtId="10" fontId="269" fillId="0" borderId="89" xfId="0" applyNumberFormat="1" applyFont="1" applyFill="1" applyBorder="1"/>
    <xf numFmtId="0" fontId="251" fillId="42" borderId="116" xfId="0" applyFont="1" applyFill="1" applyBorder="1" applyAlignment="1">
      <alignment wrapText="1"/>
    </xf>
    <xf numFmtId="1" fontId="283" fillId="0" borderId="101" xfId="0" applyNumberFormat="1" applyFont="1" applyBorder="1" applyProtection="1">
      <protection locked="0"/>
    </xf>
    <xf numFmtId="1" fontId="6" fillId="0" borderId="88" xfId="1" applyNumberFormat="1" applyFont="1" applyBorder="1"/>
    <xf numFmtId="10" fontId="248" fillId="0" borderId="113" xfId="0" applyNumberFormat="1" applyFont="1" applyBorder="1" applyProtection="1">
      <protection locked="0"/>
    </xf>
    <xf numFmtId="10" fontId="248" fillId="0" borderId="114" xfId="0" applyNumberFormat="1" applyFont="1" applyBorder="1" applyProtection="1">
      <protection locked="0"/>
    </xf>
    <xf numFmtId="0" fontId="339" fillId="0" borderId="0" xfId="0" applyFont="1" applyBorder="1" applyAlignment="1" applyProtection="1">
      <alignment horizontal="center"/>
      <protection locked="0"/>
    </xf>
    <xf numFmtId="0" fontId="248" fillId="0" borderId="101" xfId="0" applyFont="1" applyBorder="1" applyProtection="1">
      <protection locked="0"/>
    </xf>
    <xf numFmtId="0" fontId="248" fillId="0" borderId="89" xfId="0" applyFont="1" applyBorder="1" applyProtection="1">
      <protection locked="0"/>
    </xf>
    <xf numFmtId="0" fontId="256" fillId="0" borderId="101" xfId="0" applyFont="1" applyBorder="1" applyProtection="1"/>
    <xf numFmtId="1" fontId="257" fillId="0" borderId="101" xfId="0" applyNumberFormat="1" applyFont="1" applyBorder="1" applyProtection="1"/>
    <xf numFmtId="1" fontId="257" fillId="0" borderId="89" xfId="0" applyNumberFormat="1" applyFont="1" applyBorder="1" applyProtection="1"/>
    <xf numFmtId="0" fontId="205" fillId="30" borderId="102" xfId="0" applyFont="1" applyFill="1" applyBorder="1" applyAlignment="1">
      <alignment wrapText="1"/>
    </xf>
    <xf numFmtId="0" fontId="205" fillId="30" borderId="185" xfId="0" applyFont="1" applyFill="1" applyBorder="1" applyAlignment="1">
      <alignment wrapText="1"/>
    </xf>
    <xf numFmtId="0" fontId="339" fillId="0" borderId="187" xfId="0" applyFont="1" applyBorder="1" applyAlignment="1" applyProtection="1">
      <alignment horizontal="center"/>
      <protection locked="0"/>
    </xf>
    <xf numFmtId="0" fontId="339" fillId="0" borderId="186" xfId="0" applyFont="1" applyBorder="1" applyAlignment="1" applyProtection="1">
      <alignment horizontal="center"/>
      <protection locked="0"/>
    </xf>
    <xf numFmtId="164" fontId="0" fillId="0" borderId="112" xfId="0" applyNumberFormat="1" applyFont="1" applyBorder="1"/>
    <xf numFmtId="0" fontId="242" fillId="0" borderId="0" xfId="0" applyFont="1" applyFill="1" applyBorder="1" applyProtection="1"/>
    <xf numFmtId="1" fontId="254" fillId="0" borderId="112" xfId="0" applyNumberFormat="1" applyFont="1" applyBorder="1" applyProtection="1"/>
    <xf numFmtId="1" fontId="254" fillId="0" borderId="121" xfId="0" applyNumberFormat="1" applyFont="1" applyBorder="1" applyProtection="1"/>
    <xf numFmtId="0" fontId="7" fillId="5" borderId="24" xfId="0" applyFont="1" applyFill="1" applyBorder="1" applyAlignment="1" applyProtection="1">
      <alignment wrapText="1"/>
    </xf>
    <xf numFmtId="0" fontId="205" fillId="30" borderId="102" xfId="0" applyFont="1" applyFill="1" applyBorder="1" applyAlignment="1" applyProtection="1">
      <alignment wrapText="1"/>
    </xf>
    <xf numFmtId="10" fontId="254" fillId="0" borderId="113" xfId="0" applyNumberFormat="1" applyFont="1" applyBorder="1" applyProtection="1"/>
    <xf numFmtId="1" fontId="254" fillId="0" borderId="113" xfId="0" applyNumberFormat="1" applyFont="1" applyBorder="1" applyProtection="1"/>
    <xf numFmtId="1" fontId="254" fillId="0" borderId="141" xfId="0" applyNumberFormat="1" applyFont="1" applyBorder="1" applyAlignment="1" applyProtection="1">
      <alignment horizontal="center"/>
    </xf>
    <xf numFmtId="10" fontId="254" fillId="0" borderId="114" xfId="0" applyNumberFormat="1" applyFont="1" applyBorder="1" applyProtection="1"/>
    <xf numFmtId="1" fontId="254" fillId="0" borderId="114" xfId="0" applyNumberFormat="1" applyFont="1" applyBorder="1" applyProtection="1"/>
    <xf numFmtId="1" fontId="254" fillId="0" borderId="142" xfId="0" applyNumberFormat="1" applyFont="1" applyBorder="1" applyAlignment="1" applyProtection="1">
      <alignment horizontal="center"/>
    </xf>
    <xf numFmtId="10" fontId="10" fillId="0" borderId="0" xfId="0" applyNumberFormat="1" applyFont="1" applyBorder="1" applyProtection="1"/>
    <xf numFmtId="0" fontId="339" fillId="0" borderId="0" xfId="0" applyFont="1" applyBorder="1" applyAlignment="1" applyProtection="1">
      <alignment horizontal="center"/>
    </xf>
    <xf numFmtId="0" fontId="205" fillId="30" borderId="185" xfId="0" applyFont="1" applyFill="1" applyBorder="1" applyAlignment="1" applyProtection="1">
      <alignment wrapText="1"/>
    </xf>
    <xf numFmtId="1" fontId="254" fillId="0" borderId="102" xfId="0" applyNumberFormat="1" applyFont="1" applyBorder="1" applyAlignment="1" applyProtection="1">
      <alignment horizontal="center"/>
    </xf>
    <xf numFmtId="1" fontId="254" fillId="0" borderId="90" xfId="0" applyNumberFormat="1" applyFont="1" applyBorder="1" applyAlignment="1" applyProtection="1">
      <alignment horizontal="center"/>
    </xf>
    <xf numFmtId="0" fontId="251" fillId="42" borderId="23" xfId="0" applyFont="1" applyFill="1" applyBorder="1" applyAlignment="1" applyProtection="1">
      <alignment wrapText="1"/>
    </xf>
    <xf numFmtId="0" fontId="7" fillId="3" borderId="24" xfId="0" applyFont="1" applyFill="1" applyBorder="1" applyAlignment="1" applyProtection="1">
      <alignment wrapText="1"/>
    </xf>
    <xf numFmtId="10" fontId="254" fillId="0" borderId="89" xfId="0" applyNumberFormat="1" applyFont="1" applyBorder="1" applyProtection="1"/>
    <xf numFmtId="164" fontId="254" fillId="0" borderId="112" xfId="0" applyNumberFormat="1" applyFont="1" applyBorder="1" applyProtection="1"/>
    <xf numFmtId="164" fontId="254" fillId="0" borderId="121" xfId="0" applyNumberFormat="1" applyFont="1" applyBorder="1" applyProtection="1"/>
    <xf numFmtId="164" fontId="283" fillId="0" borderId="121" xfId="0" applyNumberFormat="1" applyFont="1" applyBorder="1" applyProtection="1">
      <protection locked="0"/>
    </xf>
    <xf numFmtId="164" fontId="249" fillId="0" borderId="14" xfId="0" applyNumberFormat="1" applyFont="1" applyBorder="1"/>
    <xf numFmtId="164" fontId="249" fillId="0" borderId="0" xfId="0" applyNumberFormat="1" applyFont="1"/>
    <xf numFmtId="10" fontId="10" fillId="0" borderId="128" xfId="0" applyNumberFormat="1" applyFont="1" applyBorder="1" applyProtection="1">
      <protection locked="0"/>
    </xf>
    <xf numFmtId="0" fontId="242" fillId="0" borderId="0" xfId="0" applyFont="1" applyFill="1"/>
    <xf numFmtId="0" fontId="293" fillId="0" borderId="86" xfId="0" applyFont="1" applyFill="1" applyBorder="1"/>
    <xf numFmtId="0" fontId="293" fillId="0" borderId="0" xfId="0" applyFont="1" applyFill="1" applyBorder="1"/>
    <xf numFmtId="1" fontId="76" fillId="0" borderId="0" xfId="0" applyNumberFormat="1" applyFont="1" applyFill="1" applyBorder="1"/>
    <xf numFmtId="0" fontId="245" fillId="0" borderId="141" xfId="0" applyFont="1" applyBorder="1" applyProtection="1">
      <protection locked="0"/>
    </xf>
    <xf numFmtId="164" fontId="12" fillId="28" borderId="21" xfId="0" applyNumberFormat="1" applyFont="1" applyFill="1" applyBorder="1"/>
    <xf numFmtId="164" fontId="12" fillId="28" borderId="102" xfId="0" applyNumberFormat="1" applyFont="1" applyFill="1" applyBorder="1"/>
    <xf numFmtId="164" fontId="247" fillId="28" borderId="21" xfId="0" applyNumberFormat="1" applyFont="1" applyFill="1" applyBorder="1"/>
    <xf numFmtId="164" fontId="12" fillId="28" borderId="113" xfId="0" applyNumberFormat="1" applyFont="1" applyFill="1" applyBorder="1"/>
    <xf numFmtId="164" fontId="247" fillId="28" borderId="12" xfId="0" applyNumberFormat="1" applyFont="1" applyFill="1" applyBorder="1"/>
    <xf numFmtId="164" fontId="12" fillId="28" borderId="32" xfId="0" applyNumberFormat="1" applyFont="1" applyFill="1" applyBorder="1"/>
    <xf numFmtId="164" fontId="247" fillId="28" borderId="121" xfId="0" applyNumberFormat="1" applyFont="1" applyFill="1" applyBorder="1"/>
    <xf numFmtId="164" fontId="12" fillId="28" borderId="114" xfId="0" applyNumberFormat="1" applyFont="1" applyFill="1" applyBorder="1"/>
    <xf numFmtId="3" fontId="12" fillId="28" borderId="100" xfId="0" applyNumberFormat="1" applyFont="1" applyFill="1" applyBorder="1"/>
    <xf numFmtId="164" fontId="12" fillId="28" borderId="101" xfId="0" applyNumberFormat="1" applyFont="1" applyFill="1" applyBorder="1"/>
    <xf numFmtId="3" fontId="12" fillId="28" borderId="101" xfId="0" applyNumberFormat="1" applyFont="1" applyFill="1" applyBorder="1"/>
    <xf numFmtId="3" fontId="12" fillId="28" borderId="112" xfId="0" applyNumberFormat="1" applyFont="1" applyFill="1" applyBorder="1"/>
    <xf numFmtId="3" fontId="12" fillId="28" borderId="86" xfId="0" applyNumberFormat="1" applyFont="1" applyFill="1" applyBorder="1"/>
    <xf numFmtId="164" fontId="12" fillId="28" borderId="0" xfId="0" applyNumberFormat="1" applyFont="1" applyFill="1" applyBorder="1"/>
    <xf numFmtId="3" fontId="12" fillId="28" borderId="0" xfId="0" applyNumberFormat="1" applyFont="1" applyFill="1" applyBorder="1"/>
    <xf numFmtId="3" fontId="12" fillId="28" borderId="12" xfId="0" applyNumberFormat="1" applyFont="1" applyFill="1" applyBorder="1"/>
    <xf numFmtId="3" fontId="12" fillId="28" borderId="88" xfId="0" applyNumberFormat="1" applyFont="1" applyFill="1" applyBorder="1"/>
    <xf numFmtId="164" fontId="12" fillId="28" borderId="89" xfId="0" applyNumberFormat="1" applyFont="1" applyFill="1" applyBorder="1"/>
    <xf numFmtId="3" fontId="12" fillId="28" borderId="89" xfId="0" applyNumberFormat="1" applyFont="1" applyFill="1" applyBorder="1"/>
    <xf numFmtId="3" fontId="12" fillId="28" borderId="121" xfId="0" applyNumberFormat="1" applyFont="1" applyFill="1" applyBorder="1"/>
    <xf numFmtId="174" fontId="12" fillId="0" borderId="101" xfId="0" applyNumberFormat="1" applyFont="1" applyFill="1" applyBorder="1"/>
    <xf numFmtId="174" fontId="12" fillId="0" borderId="0" xfId="0" applyNumberFormat="1" applyFont="1" applyFill="1" applyBorder="1"/>
    <xf numFmtId="174" fontId="12" fillId="0" borderId="89" xfId="0" applyNumberFormat="1" applyFont="1" applyFill="1" applyBorder="1"/>
    <xf numFmtId="164" fontId="12" fillId="0" borderId="12" xfId="0" applyNumberFormat="1" applyFont="1" applyFill="1" applyBorder="1"/>
    <xf numFmtId="164" fontId="12" fillId="0" borderId="32" xfId="0" applyNumberFormat="1" applyFont="1" applyFill="1" applyBorder="1"/>
    <xf numFmtId="6" fontId="12" fillId="0" borderId="32" xfId="0" applyNumberFormat="1" applyFont="1" applyFill="1" applyBorder="1"/>
    <xf numFmtId="0" fontId="0" fillId="0" borderId="141" xfId="0" applyBorder="1"/>
    <xf numFmtId="38" fontId="245" fillId="0" borderId="13" xfId="0" applyNumberFormat="1" applyFont="1" applyFill="1" applyBorder="1" applyAlignment="1" applyProtection="1">
      <alignment wrapText="1"/>
      <protection locked="0"/>
    </xf>
    <xf numFmtId="0" fontId="245" fillId="0" borderId="15" xfId="0" applyFont="1" applyBorder="1" applyProtection="1">
      <protection locked="0"/>
    </xf>
    <xf numFmtId="1" fontId="245" fillId="0" borderId="14" xfId="0" applyNumberFormat="1" applyFont="1" applyFill="1" applyBorder="1" applyProtection="1">
      <protection locked="0"/>
    </xf>
    <xf numFmtId="1" fontId="245" fillId="0" borderId="114" xfId="0" applyNumberFormat="1" applyFont="1" applyFill="1" applyBorder="1" applyProtection="1">
      <protection locked="0"/>
    </xf>
    <xf numFmtId="0" fontId="284" fillId="0" borderId="0" xfId="0" applyFont="1"/>
    <xf numFmtId="0" fontId="0" fillId="0" borderId="188" xfId="0" applyBorder="1"/>
    <xf numFmtId="0" fontId="0" fillId="0" borderId="190" xfId="0" applyBorder="1"/>
    <xf numFmtId="0" fontId="256" fillId="0" borderId="188" xfId="0" applyFont="1" applyBorder="1"/>
    <xf numFmtId="0" fontId="248" fillId="0" borderId="0" xfId="0" applyFont="1" applyBorder="1"/>
    <xf numFmtId="0" fontId="255" fillId="0" borderId="188" xfId="0" applyFont="1" applyBorder="1"/>
    <xf numFmtId="0" fontId="255" fillId="0" borderId="189" xfId="0" applyFont="1" applyBorder="1"/>
    <xf numFmtId="164" fontId="249" fillId="0" borderId="88" xfId="0" applyNumberFormat="1" applyFont="1" applyBorder="1"/>
    <xf numFmtId="0" fontId="249" fillId="0" borderId="188" xfId="0" applyFont="1" applyBorder="1"/>
    <xf numFmtId="6" fontId="255" fillId="0" borderId="33" xfId="0" applyNumberFormat="1" applyFont="1" applyBorder="1"/>
    <xf numFmtId="6" fontId="255" fillId="0" borderId="158" xfId="0" applyNumberFormat="1" applyFont="1" applyBorder="1"/>
    <xf numFmtId="6" fontId="255" fillId="0" borderId="188" xfId="0" applyNumberFormat="1" applyFont="1" applyBorder="1"/>
    <xf numFmtId="0" fontId="346" fillId="0" borderId="189" xfId="0" applyFont="1" applyBorder="1"/>
    <xf numFmtId="0" fontId="346" fillId="0" borderId="188" xfId="0" applyFont="1" applyBorder="1"/>
    <xf numFmtId="0" fontId="115" fillId="40" borderId="23" xfId="0" applyFont="1" applyFill="1" applyBorder="1" applyAlignment="1">
      <alignment wrapText="1"/>
    </xf>
    <xf numFmtId="164" fontId="249" fillId="0" borderId="14" xfId="0" applyNumberFormat="1" applyFont="1" applyFill="1" applyBorder="1"/>
    <xf numFmtId="164" fontId="249" fillId="0" borderId="3" xfId="0" applyNumberFormat="1" applyFont="1" applyBorder="1"/>
    <xf numFmtId="164" fontId="249" fillId="0" borderId="34" xfId="0" applyNumberFormat="1" applyFont="1" applyBorder="1"/>
    <xf numFmtId="6" fontId="12" fillId="0" borderId="34" xfId="0" applyNumberFormat="1" applyFont="1" applyBorder="1"/>
    <xf numFmtId="0" fontId="7" fillId="12" borderId="24" xfId="0" applyFont="1" applyFill="1" applyBorder="1" applyAlignment="1">
      <alignment wrapText="1"/>
    </xf>
    <xf numFmtId="0" fontId="7" fillId="40" borderId="23" xfId="0" applyFont="1" applyFill="1" applyBorder="1" applyAlignment="1">
      <alignment wrapText="1"/>
    </xf>
    <xf numFmtId="0" fontId="7" fillId="40" borderId="24" xfId="0" applyFont="1" applyFill="1" applyBorder="1" applyAlignment="1">
      <alignment wrapText="1"/>
    </xf>
    <xf numFmtId="0" fontId="249" fillId="0" borderId="24" xfId="0" applyFont="1" applyBorder="1" applyAlignment="1">
      <alignment wrapText="1"/>
    </xf>
    <xf numFmtId="0" fontId="7" fillId="32" borderId="23" xfId="0" applyFont="1" applyFill="1" applyBorder="1" applyAlignment="1">
      <alignment wrapText="1"/>
    </xf>
    <xf numFmtId="0" fontId="7" fillId="32" borderId="25" xfId="0" applyFont="1" applyFill="1" applyBorder="1" applyAlignment="1">
      <alignment wrapText="1"/>
    </xf>
    <xf numFmtId="0" fontId="255" fillId="0" borderId="189" xfId="0" applyFont="1" applyBorder="1" applyAlignment="1">
      <alignment wrapText="1"/>
    </xf>
    <xf numFmtId="0" fontId="255" fillId="0" borderId="188" xfId="0" applyFont="1" applyBorder="1" applyAlignment="1">
      <alignment wrapText="1"/>
    </xf>
    <xf numFmtId="164" fontId="255" fillId="0" borderId="191" xfId="0" applyNumberFormat="1" applyFont="1" applyBorder="1" applyAlignment="1">
      <alignment wrapText="1"/>
    </xf>
    <xf numFmtId="164" fontId="255" fillId="0" borderId="192" xfId="0" applyNumberFormat="1" applyFont="1" applyBorder="1" applyAlignment="1">
      <alignment wrapText="1"/>
    </xf>
    <xf numFmtId="6" fontId="255" fillId="0" borderId="188" xfId="0" applyNumberFormat="1" applyFont="1" applyBorder="1" applyAlignment="1">
      <alignment wrapText="1"/>
    </xf>
    <xf numFmtId="6" fontId="255" fillId="0" borderId="191" xfId="0" applyNumberFormat="1" applyFont="1" applyBorder="1" applyAlignment="1">
      <alignment wrapText="1"/>
    </xf>
    <xf numFmtId="6" fontId="255" fillId="0" borderId="192" xfId="0" applyNumberFormat="1" applyFont="1" applyBorder="1" applyAlignment="1">
      <alignment wrapText="1"/>
    </xf>
    <xf numFmtId="0" fontId="0" fillId="0" borderId="188" xfId="0" applyBorder="1" applyAlignment="1">
      <alignment wrapText="1"/>
    </xf>
    <xf numFmtId="0" fontId="0" fillId="0" borderId="190" xfId="0" applyBorder="1" applyAlignment="1">
      <alignment wrapText="1"/>
    </xf>
    <xf numFmtId="0" fontId="256" fillId="0" borderId="188" xfId="0" applyFont="1" applyBorder="1" applyAlignment="1"/>
    <xf numFmtId="164" fontId="0" fillId="0" borderId="14" xfId="0" applyNumberFormat="1" applyBorder="1"/>
    <xf numFmtId="164" fontId="249" fillId="0" borderId="165" xfId="0" applyNumberFormat="1" applyFont="1" applyFill="1" applyBorder="1"/>
    <xf numFmtId="164" fontId="283" fillId="0" borderId="21" xfId="0" applyNumberFormat="1" applyFont="1" applyBorder="1" applyProtection="1">
      <protection locked="0"/>
    </xf>
    <xf numFmtId="0" fontId="15" fillId="0" borderId="0" xfId="0" applyFont="1" applyFill="1" applyBorder="1" applyProtection="1">
      <protection locked="0"/>
    </xf>
    <xf numFmtId="0" fontId="15" fillId="0" borderId="0" xfId="0" applyFont="1" applyFill="1" applyBorder="1" applyAlignment="1" applyProtection="1">
      <alignment wrapText="1"/>
      <protection locked="0"/>
    </xf>
    <xf numFmtId="164" fontId="15" fillId="0" borderId="0" xfId="0" applyNumberFormat="1" applyFont="1" applyFill="1" applyBorder="1" applyProtection="1">
      <protection locked="0"/>
    </xf>
    <xf numFmtId="164" fontId="15" fillId="0" borderId="0" xfId="0" applyNumberFormat="1" applyFont="1" applyFill="1" applyBorder="1" applyAlignment="1" applyProtection="1">
      <alignment wrapText="1"/>
      <protection locked="0"/>
    </xf>
    <xf numFmtId="0" fontId="15" fillId="0" borderId="101" xfId="0" applyFont="1" applyBorder="1" applyProtection="1">
      <protection locked="0"/>
    </xf>
    <xf numFmtId="1" fontId="245" fillId="0" borderId="121" xfId="0" applyNumberFormat="1" applyFont="1" applyFill="1" applyBorder="1" applyProtection="1">
      <protection locked="0"/>
    </xf>
    <xf numFmtId="0" fontId="243" fillId="0" borderId="101" xfId="0" applyFont="1" applyBorder="1" applyProtection="1">
      <protection locked="0"/>
    </xf>
    <xf numFmtId="0" fontId="243" fillId="0" borderId="0" xfId="0" applyFont="1" applyFill="1" applyBorder="1" applyProtection="1">
      <protection locked="0"/>
    </xf>
    <xf numFmtId="0" fontId="10" fillId="0" borderId="101" xfId="0" applyFont="1" applyBorder="1" applyProtection="1">
      <protection locked="0"/>
    </xf>
    <xf numFmtId="0" fontId="245" fillId="0" borderId="101" xfId="0" applyFont="1" applyBorder="1" applyAlignment="1" applyProtection="1">
      <alignment wrapText="1"/>
      <protection locked="0"/>
    </xf>
    <xf numFmtId="164" fontId="245" fillId="0" borderId="101" xfId="0" applyNumberFormat="1" applyFont="1" applyBorder="1" applyProtection="1">
      <protection locked="0"/>
    </xf>
    <xf numFmtId="0" fontId="245" fillId="0" borderId="0" xfId="0" applyFont="1" applyBorder="1" applyAlignment="1" applyProtection="1">
      <alignment wrapText="1"/>
      <protection locked="0"/>
    </xf>
    <xf numFmtId="164" fontId="245" fillId="0" borderId="0" xfId="0" applyNumberFormat="1" applyFont="1" applyBorder="1" applyProtection="1">
      <protection locked="0"/>
    </xf>
    <xf numFmtId="164" fontId="10" fillId="0" borderId="0" xfId="0" applyNumberFormat="1" applyFont="1" applyBorder="1" applyProtection="1">
      <protection locked="0"/>
    </xf>
    <xf numFmtId="0" fontId="242" fillId="0" borderId="188" xfId="0" applyFont="1" applyBorder="1" applyAlignment="1"/>
    <xf numFmtId="164" fontId="348" fillId="0" borderId="191" xfId="0" applyNumberFormat="1" applyFont="1" applyBorder="1" applyAlignment="1">
      <alignment wrapText="1"/>
    </xf>
    <xf numFmtId="164" fontId="348" fillId="0" borderId="192" xfId="0" applyNumberFormat="1" applyFont="1" applyBorder="1" applyAlignment="1">
      <alignment wrapText="1"/>
    </xf>
    <xf numFmtId="6" fontId="348" fillId="0" borderId="188" xfId="0" applyNumberFormat="1" applyFont="1" applyBorder="1" applyAlignment="1">
      <alignment wrapText="1"/>
    </xf>
    <xf numFmtId="6" fontId="348" fillId="0" borderId="191" xfId="0" applyNumberFormat="1" applyFont="1" applyBorder="1" applyAlignment="1">
      <alignment wrapText="1"/>
    </xf>
    <xf numFmtId="6" fontId="348" fillId="0" borderId="192" xfId="0" applyNumberFormat="1" applyFont="1" applyBorder="1" applyAlignment="1">
      <alignment wrapText="1"/>
    </xf>
    <xf numFmtId="164" fontId="349" fillId="0" borderId="188" xfId="0" applyNumberFormat="1" applyFont="1" applyBorder="1" applyAlignment="1"/>
    <xf numFmtId="164" fontId="349" fillId="0" borderId="188" xfId="0" applyNumberFormat="1" applyFont="1" applyBorder="1" applyAlignment="1">
      <alignment wrapText="1"/>
    </xf>
    <xf numFmtId="0" fontId="48" fillId="0" borderId="18" xfId="0" applyFont="1" applyBorder="1"/>
    <xf numFmtId="0" fontId="242" fillId="0" borderId="89" xfId="0" applyFont="1" applyBorder="1"/>
    <xf numFmtId="0" fontId="0" fillId="0" borderId="0" xfId="0" applyBorder="1" applyAlignment="1"/>
    <xf numFmtId="1" fontId="238" fillId="0" borderId="24" xfId="0" applyNumberFormat="1" applyFont="1" applyBorder="1"/>
    <xf numFmtId="0" fontId="244" fillId="0" borderId="0" xfId="0" applyFont="1" applyFill="1" applyBorder="1"/>
    <xf numFmtId="6" fontId="10" fillId="0" borderId="101" xfId="0" applyNumberFormat="1" applyFont="1" applyFill="1" applyBorder="1" applyProtection="1">
      <protection locked="0"/>
    </xf>
    <xf numFmtId="0" fontId="245" fillId="0" borderId="101" xfId="0" applyFont="1" applyFill="1" applyBorder="1" applyProtection="1">
      <protection locked="0"/>
    </xf>
    <xf numFmtId="0" fontId="10" fillId="0" borderId="101" xfId="0" applyFont="1" applyFill="1" applyBorder="1" applyProtection="1">
      <protection locked="0"/>
    </xf>
    <xf numFmtId="10" fontId="10" fillId="0" borderId="127" xfId="0" applyNumberFormat="1" applyFont="1" applyBorder="1" applyProtection="1">
      <protection locked="0"/>
    </xf>
    <xf numFmtId="10" fontId="10" fillId="0" borderId="89" xfId="0" applyNumberFormat="1" applyFont="1" applyFill="1" applyBorder="1" applyProtection="1">
      <protection locked="0"/>
    </xf>
    <xf numFmtId="0" fontId="245" fillId="0" borderId="89" xfId="0" applyFont="1" applyFill="1" applyBorder="1" applyProtection="1">
      <protection locked="0"/>
    </xf>
    <xf numFmtId="0" fontId="10" fillId="0" borderId="89" xfId="0" applyFont="1" applyFill="1" applyBorder="1" applyProtection="1">
      <protection locked="0"/>
    </xf>
    <xf numFmtId="0" fontId="245" fillId="0" borderId="90" xfId="0" applyFont="1" applyBorder="1" applyProtection="1">
      <protection locked="0"/>
    </xf>
    <xf numFmtId="6" fontId="10" fillId="0" borderId="88" xfId="0" applyNumberFormat="1" applyFont="1" applyFill="1" applyBorder="1" applyProtection="1">
      <protection locked="0"/>
    </xf>
    <xf numFmtId="3" fontId="334" fillId="23" borderId="25" xfId="0" applyNumberFormat="1" applyFont="1" applyFill="1" applyBorder="1" applyAlignment="1" applyProtection="1">
      <alignment wrapText="1"/>
    </xf>
    <xf numFmtId="3" fontId="334" fillId="0" borderId="102" xfId="0" applyNumberFormat="1" applyFont="1" applyFill="1" applyBorder="1" applyAlignment="1" applyProtection="1"/>
    <xf numFmtId="3" fontId="334" fillId="0" borderId="87" xfId="0" applyNumberFormat="1" applyFont="1" applyFill="1" applyBorder="1" applyAlignment="1" applyProtection="1"/>
    <xf numFmtId="3" fontId="245" fillId="0" borderId="87" xfId="0" applyNumberFormat="1" applyFont="1" applyFill="1" applyBorder="1" applyProtection="1"/>
    <xf numFmtId="3" fontId="245" fillId="0" borderId="90" xfId="0" applyNumberFormat="1" applyFont="1" applyFill="1" applyBorder="1" applyProtection="1"/>
    <xf numFmtId="3" fontId="0" fillId="0" borderId="0" xfId="0" applyNumberFormat="1" applyFont="1" applyFill="1" applyBorder="1" applyProtection="1"/>
    <xf numFmtId="3" fontId="334" fillId="23" borderId="25" xfId="0" applyNumberFormat="1" applyFont="1" applyFill="1" applyBorder="1" applyAlignment="1">
      <alignment wrapText="1"/>
    </xf>
    <xf numFmtId="0" fontId="245" fillId="0" borderId="87" xfId="0" applyFont="1" applyBorder="1" applyProtection="1">
      <protection locked="0"/>
    </xf>
    <xf numFmtId="3" fontId="245" fillId="0" borderId="0" xfId="0" applyNumberFormat="1" applyFont="1" applyFill="1" applyBorder="1" applyProtection="1"/>
    <xf numFmtId="1" fontId="7" fillId="0" borderId="0" xfId="1" applyNumberFormat="1" applyFont="1" applyFill="1" applyBorder="1" applyProtection="1"/>
    <xf numFmtId="6" fontId="257" fillId="0" borderId="0" xfId="0" applyNumberFormat="1" applyFont="1" applyFill="1" applyBorder="1" applyAlignment="1" applyProtection="1"/>
    <xf numFmtId="3" fontId="245" fillId="0" borderId="109" xfId="0" applyNumberFormat="1" applyFont="1" applyFill="1" applyBorder="1" applyProtection="1"/>
    <xf numFmtId="10" fontId="350" fillId="0" borderId="109" xfId="0" applyNumberFormat="1" applyFont="1" applyFill="1" applyBorder="1" applyProtection="1"/>
    <xf numFmtId="44" fontId="103" fillId="0" borderId="86" xfId="1" applyFont="1" applyFill="1" applyBorder="1"/>
    <xf numFmtId="0" fontId="311" fillId="0" borderId="87" xfId="0" applyFont="1" applyFill="1" applyBorder="1"/>
    <xf numFmtId="3" fontId="351" fillId="23" borderId="25" xfId="0" applyNumberFormat="1" applyFont="1" applyFill="1" applyBorder="1" applyAlignment="1" applyProtection="1">
      <alignment wrapText="1"/>
    </xf>
    <xf numFmtId="10" fontId="351" fillId="35" borderId="24" xfId="0" applyNumberFormat="1" applyFont="1" applyFill="1" applyBorder="1" applyAlignment="1" applyProtection="1">
      <alignment wrapText="1"/>
    </xf>
    <xf numFmtId="0" fontId="262" fillId="35" borderId="24" xfId="0" applyFont="1" applyFill="1" applyBorder="1" applyAlignment="1" applyProtection="1">
      <alignment wrapText="1"/>
    </xf>
    <xf numFmtId="0" fontId="262" fillId="48" borderId="33" xfId="0" applyFont="1" applyFill="1" applyBorder="1" applyAlignment="1" applyProtection="1">
      <alignment wrapText="1"/>
    </xf>
    <xf numFmtId="0" fontId="262" fillId="48" borderId="24" xfId="0" applyFont="1" applyFill="1" applyBorder="1" applyAlignment="1" applyProtection="1">
      <alignment wrapText="1"/>
    </xf>
    <xf numFmtId="0" fontId="262" fillId="48" borderId="25" xfId="0" applyFont="1" applyFill="1" applyBorder="1" applyAlignment="1" applyProtection="1">
      <alignment wrapText="1"/>
    </xf>
    <xf numFmtId="3" fontId="351" fillId="0" borderId="102" xfId="0" applyNumberFormat="1" applyFont="1" applyFill="1" applyBorder="1" applyAlignment="1" applyProtection="1"/>
    <xf numFmtId="10" fontId="15" fillId="0" borderId="0" xfId="0" applyNumberFormat="1" applyFont="1" applyFill="1" applyBorder="1" applyProtection="1">
      <protection locked="0"/>
    </xf>
    <xf numFmtId="10" fontId="328" fillId="0" borderId="12" xfId="0" applyNumberFormat="1" applyFont="1" applyFill="1" applyBorder="1" applyProtection="1"/>
    <xf numFmtId="167" fontId="243" fillId="0" borderId="0" xfId="0" applyNumberFormat="1" applyFont="1" applyFill="1" applyBorder="1" applyProtection="1">
      <protection locked="0"/>
    </xf>
    <xf numFmtId="167" fontId="328" fillId="0" borderId="87" xfId="0" applyNumberFormat="1" applyFont="1" applyFill="1" applyBorder="1" applyProtection="1"/>
    <xf numFmtId="3" fontId="351" fillId="0" borderId="87" xfId="0" applyNumberFormat="1" applyFont="1" applyFill="1" applyBorder="1" applyAlignment="1" applyProtection="1"/>
    <xf numFmtId="3" fontId="243" fillId="0" borderId="87" xfId="0" applyNumberFormat="1" applyFont="1" applyFill="1" applyBorder="1" applyProtection="1"/>
    <xf numFmtId="3" fontId="243" fillId="0" borderId="109" xfId="0" applyNumberFormat="1" applyFont="1" applyFill="1" applyBorder="1" applyProtection="1"/>
    <xf numFmtId="3" fontId="247" fillId="0" borderId="0" xfId="0" applyNumberFormat="1" applyFont="1" applyFill="1" applyBorder="1" applyProtection="1"/>
    <xf numFmtId="0" fontId="247" fillId="0" borderId="0" xfId="0" applyFont="1" applyFill="1" applyBorder="1" applyProtection="1"/>
    <xf numFmtId="10" fontId="247" fillId="0" borderId="0" xfId="0" applyNumberFormat="1" applyFont="1" applyFill="1" applyBorder="1" applyProtection="1"/>
    <xf numFmtId="0" fontId="247" fillId="0" borderId="87" xfId="0" applyFont="1" applyFill="1" applyBorder="1" applyAlignment="1" applyProtection="1">
      <alignment wrapText="1"/>
    </xf>
    <xf numFmtId="10" fontId="262" fillId="48" borderId="160" xfId="0" applyNumberFormat="1" applyFont="1" applyFill="1" applyBorder="1" applyAlignment="1" applyProtection="1">
      <alignment wrapText="1"/>
    </xf>
    <xf numFmtId="10" fontId="328" fillId="0" borderId="21" xfId="0" applyNumberFormat="1" applyFont="1" applyFill="1" applyBorder="1" applyProtection="1"/>
    <xf numFmtId="167" fontId="243" fillId="0" borderId="101" xfId="0" applyNumberFormat="1" applyFont="1" applyFill="1" applyBorder="1" applyProtection="1">
      <protection locked="0"/>
    </xf>
    <xf numFmtId="167" fontId="328" fillId="0" borderId="102" xfId="0" applyNumberFormat="1" applyFont="1" applyFill="1" applyBorder="1" applyProtection="1"/>
    <xf numFmtId="10" fontId="328" fillId="0" borderId="122" xfId="0" applyNumberFormat="1" applyFont="1" applyFill="1" applyBorder="1" applyProtection="1"/>
    <xf numFmtId="167" fontId="243" fillId="0" borderId="19" xfId="0" applyNumberFormat="1" applyFont="1" applyFill="1" applyBorder="1" applyProtection="1">
      <protection locked="0"/>
    </xf>
    <xf numFmtId="167" fontId="328" fillId="0" borderId="96" xfId="0" applyNumberFormat="1" applyFont="1" applyFill="1" applyBorder="1" applyProtection="1"/>
    <xf numFmtId="10" fontId="350" fillId="0" borderId="0" xfId="0" applyNumberFormat="1" applyFont="1" applyFill="1" applyBorder="1" applyProtection="1"/>
    <xf numFmtId="0" fontId="265" fillId="0" borderId="0" xfId="0" applyFont="1" applyBorder="1"/>
    <xf numFmtId="44" fontId="58" fillId="0" borderId="86" xfId="1" applyFont="1" applyFill="1" applyBorder="1"/>
    <xf numFmtId="3" fontId="245" fillId="0" borderId="89" xfId="0" applyNumberFormat="1" applyFont="1" applyFill="1" applyBorder="1" applyProtection="1"/>
    <xf numFmtId="10" fontId="350" fillId="0" borderId="89" xfId="0" applyNumberFormat="1" applyFont="1" applyFill="1" applyBorder="1" applyProtection="1"/>
    <xf numFmtId="1" fontId="350" fillId="0" borderId="109" xfId="0" applyNumberFormat="1" applyFont="1" applyFill="1" applyBorder="1" applyProtection="1"/>
    <xf numFmtId="6" fontId="350" fillId="0" borderId="108" xfId="0" applyNumberFormat="1" applyFont="1" applyFill="1" applyBorder="1" applyProtection="1"/>
    <xf numFmtId="1" fontId="350" fillId="0" borderId="110" xfId="0" applyNumberFormat="1" applyFont="1" applyFill="1" applyBorder="1" applyProtection="1"/>
    <xf numFmtId="6" fontId="350" fillId="0" borderId="88" xfId="0" applyNumberFormat="1" applyFont="1" applyFill="1" applyBorder="1" applyProtection="1"/>
    <xf numFmtId="1" fontId="350" fillId="0" borderId="89" xfId="0" applyNumberFormat="1" applyFont="1" applyFill="1" applyBorder="1" applyProtection="1"/>
    <xf numFmtId="0" fontId="251" fillId="33" borderId="25" xfId="0" applyFont="1" applyFill="1" applyBorder="1" applyAlignment="1">
      <alignment wrapText="1"/>
    </xf>
    <xf numFmtId="0" fontId="245" fillId="0" borderId="102" xfId="0" applyFont="1" applyBorder="1" applyProtection="1">
      <protection locked="0"/>
    </xf>
    <xf numFmtId="6" fontId="350" fillId="0" borderId="0" xfId="0" applyNumberFormat="1" applyFont="1" applyFill="1" applyBorder="1" applyProtection="1"/>
    <xf numFmtId="1" fontId="350" fillId="0" borderId="0" xfId="0" applyNumberFormat="1" applyFont="1" applyFill="1" applyBorder="1" applyProtection="1"/>
    <xf numFmtId="0" fontId="352" fillId="0" borderId="0" xfId="0" applyFont="1" applyBorder="1"/>
    <xf numFmtId="10" fontId="350" fillId="0" borderId="66" xfId="0" applyNumberFormat="1" applyFont="1" applyBorder="1" applyProtection="1"/>
    <xf numFmtId="0" fontId="350" fillId="0" borderId="0" xfId="0" applyFont="1" applyFill="1" applyBorder="1" applyProtection="1"/>
    <xf numFmtId="0" fontId="350" fillId="0" borderId="0" xfId="0" applyFont="1" applyBorder="1" applyProtection="1"/>
    <xf numFmtId="37" fontId="8" fillId="0" borderId="100" xfId="1" applyNumberFormat="1" applyFont="1" applyBorder="1" applyProtection="1"/>
    <xf numFmtId="37" fontId="7" fillId="0" borderId="101" xfId="1" applyNumberFormat="1" applyFont="1" applyBorder="1" applyProtection="1"/>
    <xf numFmtId="164" fontId="69" fillId="0" borderId="139" xfId="0" applyNumberFormat="1" applyFont="1" applyBorder="1" applyProtection="1"/>
    <xf numFmtId="164" fontId="69" fillId="0" borderId="101" xfId="0" applyNumberFormat="1" applyFont="1" applyBorder="1" applyProtection="1"/>
    <xf numFmtId="6" fontId="254" fillId="0" borderId="113" xfId="0" applyNumberFormat="1" applyFont="1" applyBorder="1" applyProtection="1"/>
    <xf numFmtId="164" fontId="69" fillId="0" borderId="112" xfId="0" applyNumberFormat="1" applyFont="1" applyBorder="1" applyProtection="1"/>
    <xf numFmtId="6" fontId="256" fillId="0" borderId="141" xfId="0" applyNumberFormat="1" applyFont="1" applyBorder="1" applyProtection="1"/>
    <xf numFmtId="1" fontId="8" fillId="0" borderId="86" xfId="1" applyNumberFormat="1" applyFont="1" applyBorder="1" applyProtection="1"/>
    <xf numFmtId="1" fontId="8" fillId="0" borderId="0" xfId="0" applyNumberFormat="1" applyFont="1" applyBorder="1" applyProtection="1"/>
    <xf numFmtId="164" fontId="69" fillId="0" borderId="16" xfId="0" applyNumberFormat="1" applyFont="1" applyBorder="1" applyProtection="1"/>
    <xf numFmtId="164" fontId="69" fillId="0" borderId="0" xfId="0" applyNumberFormat="1" applyFont="1" applyBorder="1" applyProtection="1"/>
    <xf numFmtId="6" fontId="254" fillId="0" borderId="32" xfId="0" applyNumberFormat="1" applyFont="1" applyBorder="1" applyProtection="1"/>
    <xf numFmtId="164" fontId="69" fillId="0" borderId="12" xfId="0" applyNumberFormat="1" applyFont="1" applyBorder="1" applyProtection="1"/>
    <xf numFmtId="6" fontId="256" fillId="0" borderId="13" xfId="0" applyNumberFormat="1" applyFont="1" applyBorder="1" applyProtection="1"/>
    <xf numFmtId="1" fontId="8" fillId="0" borderId="88" xfId="1" applyNumberFormat="1" applyFont="1" applyBorder="1" applyProtection="1"/>
    <xf numFmtId="1" fontId="8" fillId="0" borderId="89" xfId="0" applyNumberFormat="1" applyFont="1" applyBorder="1" applyProtection="1"/>
    <xf numFmtId="164" fontId="69" fillId="0" borderId="111" xfId="0" applyNumberFormat="1" applyFont="1" applyBorder="1" applyProtection="1"/>
    <xf numFmtId="164" fontId="69" fillId="0" borderId="89" xfId="0" applyNumberFormat="1" applyFont="1" applyBorder="1" applyProtection="1"/>
    <xf numFmtId="6" fontId="254" fillId="0" borderId="114" xfId="0" applyNumberFormat="1" applyFont="1" applyBorder="1" applyProtection="1"/>
    <xf numFmtId="164" fontId="69" fillId="0" borderId="121" xfId="0" applyNumberFormat="1" applyFont="1" applyBorder="1" applyProtection="1"/>
    <xf numFmtId="6" fontId="256" fillId="0" borderId="142" xfId="0" applyNumberFormat="1" applyFont="1" applyBorder="1" applyProtection="1"/>
    <xf numFmtId="0" fontId="353" fillId="0" borderId="0" xfId="0" applyFont="1" applyFill="1" applyBorder="1"/>
    <xf numFmtId="0" fontId="42" fillId="0" borderId="0" xfId="2" applyFont="1" applyFill="1" applyBorder="1" applyAlignment="1" applyProtection="1"/>
    <xf numFmtId="0" fontId="264" fillId="0" borderId="100" xfId="0" applyFont="1" applyBorder="1" applyProtection="1"/>
    <xf numFmtId="0" fontId="89" fillId="0" borderId="101" xfId="0" applyFont="1" applyBorder="1" applyProtection="1"/>
    <xf numFmtId="0" fontId="133" fillId="0" borderId="101" xfId="0" applyFont="1" applyBorder="1" applyProtection="1"/>
    <xf numFmtId="0" fontId="90" fillId="0" borderId="101" xfId="0" applyFont="1" applyBorder="1" applyProtection="1"/>
    <xf numFmtId="0" fontId="279" fillId="0" borderId="86" xfId="0" applyFont="1" applyBorder="1" applyProtection="1"/>
    <xf numFmtId="0" fontId="279" fillId="0" borderId="0" xfId="0" applyFont="1" applyProtection="1"/>
    <xf numFmtId="0" fontId="12" fillId="0" borderId="0" xfId="0" applyFont="1" applyFill="1" applyBorder="1" applyProtection="1"/>
    <xf numFmtId="0" fontId="89" fillId="0" borderId="0" xfId="0" applyFont="1" applyBorder="1" applyProtection="1"/>
    <xf numFmtId="0" fontId="133" fillId="0" borderId="0" xfId="0" applyFont="1" applyBorder="1" applyProtection="1"/>
    <xf numFmtId="0" fontId="264" fillId="0" borderId="86" xfId="0" applyFont="1" applyBorder="1" applyProtection="1"/>
    <xf numFmtId="0" fontId="0" fillId="0" borderId="86" xfId="0" applyFont="1" applyBorder="1" applyProtection="1"/>
    <xf numFmtId="0" fontId="1" fillId="0" borderId="0" xfId="0" applyFont="1" applyFill="1" applyBorder="1" applyProtection="1"/>
    <xf numFmtId="0" fontId="244" fillId="0" borderId="86" xfId="0" applyFont="1" applyBorder="1" applyProtection="1"/>
    <xf numFmtId="0" fontId="244" fillId="0" borderId="0" xfId="0" applyFont="1" applyProtection="1"/>
    <xf numFmtId="0" fontId="0" fillId="0" borderId="4" xfId="0" applyBorder="1" applyProtection="1"/>
    <xf numFmtId="0" fontId="279" fillId="0" borderId="5" xfId="0" applyFont="1" applyBorder="1" applyProtection="1"/>
    <xf numFmtId="6" fontId="248" fillId="0" borderId="5" xfId="0" applyNumberFormat="1" applyFont="1" applyBorder="1" applyProtection="1">
      <protection locked="0"/>
    </xf>
    <xf numFmtId="2" fontId="248" fillId="0" borderId="5" xfId="0" applyNumberFormat="1" applyFont="1" applyBorder="1" applyProtection="1">
      <protection locked="0"/>
    </xf>
    <xf numFmtId="0" fontId="0" fillId="0" borderId="16" xfId="0" applyBorder="1" applyProtection="1"/>
    <xf numFmtId="0" fontId="279" fillId="0" borderId="0" xfId="0" applyFont="1" applyBorder="1" applyProtection="1"/>
    <xf numFmtId="2" fontId="248" fillId="0" borderId="0" xfId="0" applyNumberFormat="1" applyFont="1" applyBorder="1" applyProtection="1"/>
    <xf numFmtId="6" fontId="248" fillId="0" borderId="0" xfId="0" applyNumberFormat="1" applyFont="1" applyBorder="1" applyProtection="1"/>
    <xf numFmtId="0" fontId="354" fillId="0" borderId="16" xfId="0" applyFont="1" applyBorder="1" applyProtection="1"/>
    <xf numFmtId="0" fontId="354" fillId="0" borderId="0" xfId="0" applyFont="1" applyBorder="1" applyProtection="1"/>
    <xf numFmtId="2" fontId="248" fillId="0" borderId="0" xfId="0" applyNumberFormat="1" applyFont="1" applyBorder="1" applyProtection="1">
      <protection locked="0"/>
    </xf>
    <xf numFmtId="0" fontId="279" fillId="0" borderId="16" xfId="0" applyFont="1" applyBorder="1" applyProtection="1"/>
    <xf numFmtId="2" fontId="256" fillId="0" borderId="0" xfId="0" applyNumberFormat="1" applyFont="1" applyBorder="1" applyProtection="1"/>
    <xf numFmtId="0" fontId="248" fillId="0" borderId="0" xfId="0" applyFont="1" applyBorder="1" applyProtection="1"/>
    <xf numFmtId="0" fontId="0" fillId="0" borderId="18" xfId="0" applyBorder="1" applyProtection="1"/>
    <xf numFmtId="0" fontId="0" fillId="0" borderId="19" xfId="0" applyBorder="1" applyProtection="1"/>
    <xf numFmtId="164" fontId="261" fillId="0" borderId="19" xfId="0" applyNumberFormat="1" applyFont="1" applyBorder="1" applyProtection="1"/>
    <xf numFmtId="0" fontId="279" fillId="0" borderId="19" xfId="0" applyFont="1" applyBorder="1" applyProtection="1"/>
    <xf numFmtId="164" fontId="261" fillId="0" borderId="0" xfId="0" applyNumberFormat="1" applyFont="1" applyBorder="1" applyProtection="1"/>
    <xf numFmtId="4" fontId="248" fillId="0" borderId="5" xfId="0" applyNumberFormat="1" applyFont="1" applyBorder="1" applyProtection="1"/>
    <xf numFmtId="10" fontId="248" fillId="0" borderId="5" xfId="0" applyNumberFormat="1" applyFont="1" applyBorder="1" applyProtection="1"/>
    <xf numFmtId="10" fontId="0" fillId="0" borderId="5" xfId="0" applyNumberFormat="1" applyBorder="1" applyProtection="1"/>
    <xf numFmtId="0" fontId="0" fillId="0" borderId="6" xfId="0" applyBorder="1" applyProtection="1"/>
    <xf numFmtId="4" fontId="248" fillId="0" borderId="0" xfId="0" applyNumberFormat="1" applyFont="1" applyBorder="1" applyProtection="1"/>
    <xf numFmtId="10" fontId="248" fillId="0" borderId="0" xfId="0" applyNumberFormat="1" applyFont="1" applyBorder="1" applyProtection="1"/>
    <xf numFmtId="10" fontId="0" fillId="0" borderId="0" xfId="0" applyNumberFormat="1" applyBorder="1" applyProtection="1"/>
    <xf numFmtId="0" fontId="0" fillId="0" borderId="17" xfId="0" applyBorder="1" applyProtection="1"/>
    <xf numFmtId="0" fontId="256" fillId="0" borderId="86" xfId="0" applyFont="1" applyFill="1" applyBorder="1" applyProtection="1"/>
    <xf numFmtId="4" fontId="248" fillId="0" borderId="0" xfId="0" applyNumberFormat="1" applyFont="1" applyBorder="1" applyProtection="1">
      <protection locked="0"/>
    </xf>
    <xf numFmtId="165" fontId="242" fillId="0" borderId="104" xfId="0" applyNumberFormat="1" applyFont="1" applyBorder="1" applyAlignment="1" applyProtection="1">
      <alignment wrapText="1"/>
    </xf>
    <xf numFmtId="165" fontId="242" fillId="0" borderId="195" xfId="0" applyNumberFormat="1" applyFont="1" applyBorder="1" applyAlignment="1" applyProtection="1">
      <alignment wrapText="1"/>
    </xf>
    <xf numFmtId="10" fontId="242" fillId="0" borderId="0" xfId="0" applyNumberFormat="1" applyFont="1" applyBorder="1" applyAlignment="1" applyProtection="1">
      <alignment wrapText="1"/>
    </xf>
    <xf numFmtId="165" fontId="256" fillId="0" borderId="95" xfId="0" applyNumberFormat="1" applyFont="1" applyBorder="1" applyProtection="1"/>
    <xf numFmtId="165" fontId="256" fillId="0" borderId="20" xfId="0" applyNumberFormat="1" applyFont="1" applyBorder="1" applyProtection="1"/>
    <xf numFmtId="0" fontId="242" fillId="0" borderId="86" xfId="0" applyFont="1" applyBorder="1" applyProtection="1"/>
    <xf numFmtId="165" fontId="242" fillId="0" borderId="0" xfId="0" applyNumberFormat="1" applyFont="1" applyBorder="1" applyProtection="1"/>
    <xf numFmtId="10" fontId="242" fillId="0" borderId="0" xfId="0" applyNumberFormat="1" applyFont="1" applyBorder="1" applyProtection="1"/>
    <xf numFmtId="165" fontId="0" fillId="0" borderId="0" xfId="0" applyNumberFormat="1" applyFont="1" applyBorder="1" applyProtection="1"/>
    <xf numFmtId="10" fontId="0" fillId="0" borderId="0" xfId="0" applyNumberFormat="1" applyFont="1" applyBorder="1" applyProtection="1"/>
    <xf numFmtId="0" fontId="281" fillId="0" borderId="86" xfId="0" applyFont="1" applyBorder="1" applyProtection="1"/>
    <xf numFmtId="0" fontId="281" fillId="0" borderId="0" xfId="0" applyFont="1" applyProtection="1"/>
    <xf numFmtId="0" fontId="0" fillId="0" borderId="86" xfId="0" applyFont="1" applyFill="1" applyBorder="1" applyProtection="1"/>
    <xf numFmtId="164" fontId="0" fillId="0" borderId="0" xfId="0" applyNumberFormat="1" applyFont="1" applyBorder="1" applyProtection="1"/>
    <xf numFmtId="167" fontId="0" fillId="0" borderId="0" xfId="0" applyNumberFormat="1" applyFont="1" applyBorder="1" applyProtection="1"/>
    <xf numFmtId="0" fontId="0" fillId="0" borderId="95" xfId="0" applyFont="1" applyFill="1" applyBorder="1" applyProtection="1"/>
    <xf numFmtId="164" fontId="0" fillId="0" borderId="19" xfId="0" applyNumberFormat="1" applyFont="1" applyBorder="1" applyProtection="1"/>
    <xf numFmtId="167" fontId="0" fillId="0" borderId="19" xfId="0" applyNumberFormat="1" applyFont="1" applyBorder="1" applyProtection="1"/>
    <xf numFmtId="0" fontId="0" fillId="0" borderId="20" xfId="0" applyBorder="1" applyProtection="1"/>
    <xf numFmtId="0" fontId="265" fillId="0" borderId="86" xfId="0" applyFont="1" applyBorder="1" applyProtection="1"/>
    <xf numFmtId="10" fontId="311" fillId="0" borderId="0" xfId="0" applyNumberFormat="1" applyFont="1" applyBorder="1" applyProtection="1"/>
    <xf numFmtId="165" fontId="246" fillId="0" borderId="104" xfId="0" applyNumberFormat="1" applyFont="1" applyBorder="1" applyAlignment="1" applyProtection="1">
      <alignment wrapText="1"/>
    </xf>
    <xf numFmtId="165" fontId="246" fillId="0" borderId="195" xfId="0" applyNumberFormat="1" applyFont="1" applyBorder="1" applyAlignment="1" applyProtection="1">
      <alignment wrapText="1"/>
    </xf>
    <xf numFmtId="0" fontId="281" fillId="0" borderId="0" xfId="0" applyFont="1" applyBorder="1" applyProtection="1"/>
    <xf numFmtId="0" fontId="0" fillId="0" borderId="87" xfId="0" applyFont="1" applyBorder="1" applyProtection="1"/>
    <xf numFmtId="164" fontId="256" fillId="0" borderId="95" xfId="0" applyNumberFormat="1" applyFont="1" applyBorder="1" applyProtection="1"/>
    <xf numFmtId="164" fontId="256" fillId="0" borderId="20" xfId="0" applyNumberFormat="1" applyFont="1" applyBorder="1" applyProtection="1"/>
    <xf numFmtId="165" fontId="256" fillId="0" borderId="0" xfId="0" applyNumberFormat="1" applyFont="1" applyBorder="1" applyProtection="1"/>
    <xf numFmtId="0" fontId="242" fillId="0" borderId="108" xfId="0" applyFont="1" applyBorder="1" applyAlignment="1" applyProtection="1">
      <alignment wrapText="1"/>
    </xf>
    <xf numFmtId="0" fontId="281" fillId="0" borderId="109" xfId="0" applyFont="1" applyBorder="1" applyProtection="1"/>
    <xf numFmtId="165" fontId="256" fillId="0" borderId="109" xfId="0" applyNumberFormat="1" applyFont="1" applyBorder="1" applyAlignment="1" applyProtection="1">
      <alignment wrapText="1"/>
    </xf>
    <xf numFmtId="165" fontId="242" fillId="0" borderId="109" xfId="0" applyNumberFormat="1" applyFont="1" applyBorder="1" applyAlignment="1" applyProtection="1">
      <alignment wrapText="1"/>
    </xf>
    <xf numFmtId="164" fontId="248" fillId="0" borderId="21" xfId="0" applyNumberFormat="1" applyFont="1" applyBorder="1" applyProtection="1">
      <protection locked="0"/>
    </xf>
    <xf numFmtId="164" fontId="248" fillId="0" borderId="12" xfId="0" applyNumberFormat="1" applyFont="1" applyBorder="1" applyProtection="1">
      <protection locked="0"/>
    </xf>
    <xf numFmtId="0" fontId="0" fillId="0" borderId="88" xfId="0" applyFont="1" applyFill="1" applyBorder="1" applyProtection="1"/>
    <xf numFmtId="0" fontId="279" fillId="0" borderId="89" xfId="0" applyFont="1" applyBorder="1" applyProtection="1"/>
    <xf numFmtId="164" fontId="248" fillId="0" borderId="121" xfId="0" applyNumberFormat="1" applyFont="1" applyBorder="1" applyProtection="1">
      <protection locked="0"/>
    </xf>
    <xf numFmtId="164" fontId="0" fillId="0" borderId="89" xfId="0" applyNumberFormat="1" applyFont="1" applyBorder="1" applyProtection="1"/>
    <xf numFmtId="0" fontId="133" fillId="0" borderId="89" xfId="0" applyFont="1" applyBorder="1" applyProtection="1"/>
    <xf numFmtId="164" fontId="339" fillId="0" borderId="0" xfId="0" applyNumberFormat="1" applyFont="1" applyBorder="1" applyProtection="1">
      <protection locked="0"/>
    </xf>
    <xf numFmtId="164" fontId="339" fillId="0" borderId="19" xfId="0" applyNumberFormat="1" applyFont="1" applyBorder="1" applyProtection="1">
      <protection locked="0"/>
    </xf>
    <xf numFmtId="14" fontId="1" fillId="0" borderId="0" xfId="0" applyNumberFormat="1" applyFont="1" applyBorder="1"/>
    <xf numFmtId="0" fontId="44" fillId="0" borderId="22" xfId="0" applyFont="1" applyBorder="1" applyProtection="1"/>
    <xf numFmtId="0" fontId="0" fillId="0" borderId="1" xfId="0" applyBorder="1" applyProtection="1"/>
    <xf numFmtId="10" fontId="28" fillId="0" borderId="1" xfId="0" applyNumberFormat="1" applyFont="1" applyBorder="1" applyProtection="1"/>
    <xf numFmtId="9" fontId="52" fillId="0" borderId="1" xfId="0" applyNumberFormat="1" applyFont="1" applyBorder="1" applyProtection="1"/>
    <xf numFmtId="0" fontId="44" fillId="0" borderId="86" xfId="0" applyFont="1" applyBorder="1" applyProtection="1"/>
    <xf numFmtId="10" fontId="28" fillId="0" borderId="0" xfId="0" applyNumberFormat="1" applyFont="1" applyBorder="1" applyProtection="1"/>
    <xf numFmtId="9" fontId="52" fillId="0" borderId="0" xfId="0" applyNumberFormat="1" applyFont="1" applyBorder="1" applyProtection="1"/>
    <xf numFmtId="0" fontId="1" fillId="0" borderId="86" xfId="0" applyFont="1" applyBorder="1" applyProtection="1"/>
    <xf numFmtId="0" fontId="6" fillId="0" borderId="86" xfId="0" applyFont="1" applyBorder="1" applyProtection="1"/>
    <xf numFmtId="0" fontId="112" fillId="0" borderId="0" xfId="0" applyFont="1" applyBorder="1" applyProtection="1"/>
    <xf numFmtId="10" fontId="127" fillId="0" borderId="0" xfId="0" applyNumberFormat="1" applyFont="1" applyBorder="1" applyProtection="1"/>
    <xf numFmtId="10" fontId="92" fillId="0" borderId="0" xfId="0" applyNumberFormat="1" applyFont="1" applyBorder="1" applyProtection="1"/>
    <xf numFmtId="0" fontId="2" fillId="0" borderId="86" xfId="0" applyFont="1" applyBorder="1" applyProtection="1"/>
    <xf numFmtId="0" fontId="242" fillId="0" borderId="0" xfId="0" applyFont="1" applyProtection="1"/>
    <xf numFmtId="167" fontId="7" fillId="0" borderId="0" xfId="0" applyNumberFormat="1" applyFont="1" applyBorder="1" applyProtection="1"/>
    <xf numFmtId="10" fontId="6" fillId="0" borderId="0" xfId="0" applyNumberFormat="1" applyFont="1" applyBorder="1" applyProtection="1"/>
    <xf numFmtId="10" fontId="89" fillId="0" borderId="0" xfId="0" applyNumberFormat="1" applyFont="1" applyBorder="1" applyProtection="1"/>
    <xf numFmtId="167" fontId="92" fillId="0" borderId="0" xfId="0" applyNumberFormat="1" applyFont="1" applyFill="1" applyBorder="1" applyProtection="1"/>
    <xf numFmtId="0" fontId="6" fillId="0" borderId="7" xfId="0" applyFont="1" applyBorder="1" applyProtection="1"/>
    <xf numFmtId="10" fontId="90" fillId="0" borderId="0" xfId="0" applyNumberFormat="1" applyFont="1" applyBorder="1" applyProtection="1"/>
    <xf numFmtId="167" fontId="47" fillId="0" borderId="0" xfId="0" applyNumberFormat="1" applyFont="1" applyFill="1" applyBorder="1" applyProtection="1"/>
    <xf numFmtId="167" fontId="6" fillId="0" borderId="0" xfId="0" applyNumberFormat="1" applyFont="1" applyBorder="1" applyProtection="1"/>
    <xf numFmtId="9" fontId="5" fillId="0" borderId="0" xfId="0" applyNumberFormat="1" applyFont="1" applyBorder="1" applyProtection="1"/>
    <xf numFmtId="0" fontId="215" fillId="0" borderId="0" xfId="0" applyFont="1" applyBorder="1" applyProtection="1"/>
    <xf numFmtId="0" fontId="244" fillId="0" borderId="0" xfId="0" applyFont="1" applyBorder="1" applyProtection="1"/>
    <xf numFmtId="0" fontId="39" fillId="0" borderId="88" xfId="0" applyFont="1" applyFill="1" applyBorder="1" applyProtection="1"/>
    <xf numFmtId="0" fontId="31" fillId="0" borderId="89" xfId="0" applyFont="1" applyBorder="1" applyProtection="1"/>
    <xf numFmtId="0" fontId="256" fillId="0" borderId="100" xfId="0" applyFont="1" applyFill="1" applyBorder="1" applyProtection="1"/>
    <xf numFmtId="0" fontId="279" fillId="0" borderId="101" xfId="0" applyFont="1" applyBorder="1" applyProtection="1"/>
    <xf numFmtId="4" fontId="248" fillId="0" borderId="101" xfId="0" applyNumberFormat="1" applyFont="1" applyBorder="1" applyProtection="1">
      <protection locked="0"/>
    </xf>
    <xf numFmtId="10" fontId="311" fillId="0" borderId="101" xfId="0" applyNumberFormat="1" applyFont="1" applyBorder="1" applyProtection="1"/>
    <xf numFmtId="0" fontId="242" fillId="0" borderId="110" xfId="0" applyFont="1" applyBorder="1" applyAlignment="1" applyProtection="1">
      <alignment wrapText="1"/>
    </xf>
    <xf numFmtId="167" fontId="0" fillId="0" borderId="87" xfId="0" applyNumberFormat="1" applyFont="1" applyBorder="1" applyProtection="1"/>
    <xf numFmtId="167" fontId="0" fillId="0" borderId="90" xfId="0" applyNumberFormat="1" applyFont="1" applyBorder="1" applyProtection="1"/>
    <xf numFmtId="0" fontId="90" fillId="0" borderId="102" xfId="0" applyFont="1" applyBorder="1" applyProtection="1"/>
    <xf numFmtId="0" fontId="90" fillId="0" borderId="87" xfId="0" applyFont="1" applyBorder="1" applyProtection="1"/>
    <xf numFmtId="0" fontId="279" fillId="0" borderId="88" xfId="0" applyFont="1" applyBorder="1" applyProtection="1"/>
    <xf numFmtId="0" fontId="90" fillId="0" borderId="90" xfId="0" applyFont="1" applyBorder="1" applyProtection="1"/>
    <xf numFmtId="0" fontId="242" fillId="0" borderId="5" xfId="0" applyFont="1" applyBorder="1" applyProtection="1"/>
    <xf numFmtId="0" fontId="264" fillId="0" borderId="4" xfId="0" applyFont="1" applyBorder="1" applyProtection="1"/>
    <xf numFmtId="0" fontId="0" fillId="0" borderId="16" xfId="0" applyFont="1" applyBorder="1" applyProtection="1"/>
    <xf numFmtId="0" fontId="256" fillId="0" borderId="16" xfId="0" applyFont="1" applyFill="1" applyBorder="1" applyProtection="1"/>
    <xf numFmtId="0" fontId="281" fillId="0" borderId="16" xfId="0" applyFont="1" applyBorder="1" applyProtection="1"/>
    <xf numFmtId="0" fontId="279" fillId="0" borderId="18" xfId="0" applyFont="1" applyBorder="1" applyProtection="1"/>
    <xf numFmtId="0" fontId="0" fillId="0" borderId="100" xfId="0" applyFont="1" applyBorder="1" applyProtection="1"/>
    <xf numFmtId="165" fontId="0" fillId="0" borderId="101" xfId="0" applyNumberFormat="1" applyFont="1" applyBorder="1" applyProtection="1"/>
    <xf numFmtId="165" fontId="242" fillId="0" borderId="101" xfId="0" applyNumberFormat="1" applyFont="1" applyBorder="1" applyProtection="1"/>
    <xf numFmtId="10" fontId="0" fillId="0" borderId="101" xfId="0" applyNumberFormat="1" applyFont="1" applyBorder="1" applyProtection="1"/>
    <xf numFmtId="0" fontId="242" fillId="0" borderId="88" xfId="0" applyFont="1" applyBorder="1" applyAlignment="1" applyProtection="1">
      <alignment wrapText="1"/>
    </xf>
    <xf numFmtId="165" fontId="256" fillId="0" borderId="89" xfId="0" applyNumberFormat="1" applyFont="1" applyBorder="1" applyAlignment="1" applyProtection="1">
      <alignment wrapText="1"/>
    </xf>
    <xf numFmtId="165" fontId="242" fillId="0" borderId="89" xfId="0" applyNumberFormat="1" applyFont="1" applyBorder="1" applyAlignment="1" applyProtection="1">
      <alignment wrapText="1"/>
    </xf>
    <xf numFmtId="0" fontId="242" fillId="0" borderId="89" xfId="0" applyFont="1" applyBorder="1" applyAlignment="1" applyProtection="1">
      <alignment wrapText="1"/>
    </xf>
    <xf numFmtId="0" fontId="0" fillId="0" borderId="90" xfId="0" applyFont="1" applyBorder="1" applyProtection="1"/>
    <xf numFmtId="14" fontId="1" fillId="0" borderId="56" xfId="0" applyNumberFormat="1" applyFont="1" applyBorder="1"/>
    <xf numFmtId="0" fontId="0" fillId="0" borderId="56" xfId="0" applyFont="1" applyFill="1" applyBorder="1" applyProtection="1"/>
    <xf numFmtId="10" fontId="350" fillId="0" borderId="196" xfId="0" applyNumberFormat="1" applyFont="1" applyFill="1" applyBorder="1" applyProtection="1"/>
    <xf numFmtId="1" fontId="350" fillId="0" borderId="25" xfId="0" applyNumberFormat="1" applyFont="1" applyFill="1" applyBorder="1" applyProtection="1"/>
    <xf numFmtId="10" fontId="350" fillId="0" borderId="197" xfId="0" applyNumberFormat="1" applyFont="1" applyFill="1" applyBorder="1" applyProtection="1"/>
    <xf numFmtId="6" fontId="243" fillId="0" borderId="101" xfId="0" applyNumberFormat="1" applyFont="1" applyFill="1" applyBorder="1" applyAlignment="1" applyProtection="1">
      <alignment wrapText="1"/>
      <protection locked="0"/>
    </xf>
    <xf numFmtId="6" fontId="243" fillId="0" borderId="0" xfId="0" applyNumberFormat="1" applyFont="1" applyFill="1" applyBorder="1" applyAlignment="1" applyProtection="1">
      <protection locked="0"/>
    </xf>
    <xf numFmtId="10" fontId="0" fillId="0" borderId="87" xfId="0" applyNumberFormat="1" applyFill="1" applyBorder="1"/>
    <xf numFmtId="9" fontId="0" fillId="0" borderId="17" xfId="0" applyNumberFormat="1" applyBorder="1"/>
    <xf numFmtId="0" fontId="22" fillId="0" borderId="198" xfId="0" applyFont="1" applyBorder="1" applyAlignment="1">
      <alignment wrapText="1"/>
    </xf>
    <xf numFmtId="0" fontId="22" fillId="0" borderId="109" xfId="0" applyFont="1" applyBorder="1" applyAlignment="1">
      <alignment wrapText="1"/>
    </xf>
    <xf numFmtId="0" fontId="22" fillId="0" borderId="199" xfId="0" applyFont="1" applyBorder="1" applyAlignment="1">
      <alignment wrapText="1"/>
    </xf>
    <xf numFmtId="9" fontId="313" fillId="0" borderId="16" xfId="0" applyNumberFormat="1" applyFont="1" applyBorder="1"/>
    <xf numFmtId="9" fontId="8" fillId="0" borderId="166" xfId="0" applyNumberFormat="1" applyFont="1" applyBorder="1"/>
    <xf numFmtId="0" fontId="242" fillId="0" borderId="200" xfId="0" applyFont="1" applyFill="1" applyBorder="1" applyAlignment="1">
      <alignment wrapText="1"/>
    </xf>
    <xf numFmtId="0" fontId="242" fillId="0" borderId="199" xfId="0" applyFont="1" applyFill="1" applyBorder="1" applyAlignment="1">
      <alignment wrapText="1"/>
    </xf>
    <xf numFmtId="0" fontId="7" fillId="0" borderId="198" xfId="0" applyFont="1" applyBorder="1" applyAlignment="1">
      <alignment wrapText="1"/>
    </xf>
    <xf numFmtId="10" fontId="110" fillId="0" borderId="87" xfId="0" applyNumberFormat="1" applyFont="1" applyBorder="1" applyAlignment="1">
      <alignment horizontal="left"/>
    </xf>
    <xf numFmtId="0" fontId="22" fillId="0" borderId="201" xfId="0" applyFont="1" applyBorder="1" applyAlignment="1">
      <alignment wrapText="1"/>
    </xf>
    <xf numFmtId="164" fontId="355" fillId="0" borderId="202" xfId="0" applyNumberFormat="1" applyFont="1" applyBorder="1" applyAlignment="1">
      <alignment wrapText="1"/>
    </xf>
    <xf numFmtId="164" fontId="355" fillId="0" borderId="203" xfId="0" applyNumberFormat="1" applyFont="1" applyBorder="1" applyAlignment="1">
      <alignment wrapText="1"/>
    </xf>
    <xf numFmtId="0" fontId="8" fillId="0" borderId="201" xfId="0" applyFont="1" applyBorder="1" applyAlignment="1">
      <alignment wrapText="1"/>
    </xf>
    <xf numFmtId="0" fontId="0" fillId="0" borderId="204" xfId="0" applyFont="1" applyFill="1" applyBorder="1" applyAlignment="1">
      <alignment wrapText="1"/>
    </xf>
    <xf numFmtId="0" fontId="0" fillId="0" borderId="203" xfId="0" applyFont="1" applyFill="1" applyBorder="1" applyAlignment="1">
      <alignment wrapText="1"/>
    </xf>
    <xf numFmtId="0" fontId="316" fillId="0" borderId="0" xfId="0" applyFont="1" applyBorder="1"/>
    <xf numFmtId="9" fontId="313" fillId="0" borderId="0" xfId="0" applyNumberFormat="1" applyFont="1" applyBorder="1"/>
    <xf numFmtId="9" fontId="0" fillId="0" borderId="0" xfId="0" applyNumberFormat="1" applyBorder="1"/>
    <xf numFmtId="0" fontId="316" fillId="0" borderId="18" xfId="0" applyFont="1" applyBorder="1"/>
    <xf numFmtId="6" fontId="315" fillId="0" borderId="19" xfId="0" applyNumberFormat="1" applyFont="1" applyBorder="1"/>
    <xf numFmtId="6" fontId="312" fillId="0" borderId="20" xfId="0" applyNumberFormat="1" applyFont="1" applyBorder="1"/>
    <xf numFmtId="9" fontId="313" fillId="0" borderId="18" xfId="0" applyNumberFormat="1" applyFont="1" applyBorder="1"/>
    <xf numFmtId="9" fontId="8" fillId="0" borderId="205" xfId="0" applyNumberFormat="1" applyFont="1" applyBorder="1"/>
    <xf numFmtId="9" fontId="0" fillId="0" borderId="20" xfId="0" applyNumberFormat="1" applyBorder="1"/>
    <xf numFmtId="164" fontId="256" fillId="0" borderId="0" xfId="0" applyNumberFormat="1" applyFont="1"/>
    <xf numFmtId="0" fontId="110" fillId="0" borderId="0" xfId="0" applyFont="1" applyFill="1" applyBorder="1"/>
    <xf numFmtId="38" fontId="238" fillId="0" borderId="23" xfId="0" applyNumberFormat="1" applyFont="1" applyBorder="1"/>
    <xf numFmtId="0" fontId="30" fillId="0" borderId="23" xfId="0" applyFont="1" applyFill="1" applyBorder="1"/>
    <xf numFmtId="0" fontId="30" fillId="0" borderId="25" xfId="0" applyFont="1" applyBorder="1" applyAlignment="1">
      <alignment wrapText="1"/>
    </xf>
    <xf numFmtId="3" fontId="247" fillId="0" borderId="87" xfId="0" applyNumberFormat="1" applyFont="1" applyBorder="1"/>
    <xf numFmtId="0" fontId="89" fillId="0" borderId="102" xfId="0" applyFont="1" applyBorder="1" applyProtection="1"/>
    <xf numFmtId="0" fontId="89" fillId="0" borderId="87" xfId="0" applyFont="1" applyBorder="1" applyProtection="1"/>
    <xf numFmtId="0" fontId="89" fillId="0" borderId="90" xfId="0" applyFont="1" applyBorder="1" applyProtection="1"/>
    <xf numFmtId="0" fontId="0" fillId="0" borderId="110" xfId="0" applyBorder="1" applyAlignment="1"/>
    <xf numFmtId="1" fontId="7" fillId="0" borderId="100" xfId="1" applyNumberFormat="1" applyFont="1" applyFill="1" applyBorder="1" applyAlignment="1" applyProtection="1"/>
    <xf numFmtId="44" fontId="351" fillId="0" borderId="100" xfId="1" applyFont="1" applyFill="1" applyBorder="1" applyAlignment="1" applyProtection="1"/>
    <xf numFmtId="44" fontId="351" fillId="0" borderId="86" xfId="1" applyFont="1" applyFill="1" applyBorder="1" applyAlignment="1" applyProtection="1"/>
    <xf numFmtId="1" fontId="11" fillId="0" borderId="108" xfId="1" applyNumberFormat="1" applyFont="1" applyFill="1" applyBorder="1" applyAlignment="1" applyProtection="1"/>
    <xf numFmtId="164" fontId="356" fillId="0" borderId="101" xfId="0" applyNumberFormat="1" applyFont="1" applyFill="1" applyBorder="1" applyProtection="1"/>
    <xf numFmtId="10" fontId="356" fillId="0" borderId="101" xfId="0" applyNumberFormat="1" applyFont="1" applyFill="1" applyBorder="1" applyProtection="1"/>
    <xf numFmtId="10" fontId="356" fillId="0" borderId="112" xfId="0" applyNumberFormat="1" applyFont="1" applyFill="1" applyBorder="1" applyProtection="1"/>
    <xf numFmtId="167" fontId="356" fillId="0" borderId="101" xfId="0" applyNumberFormat="1" applyFont="1" applyFill="1" applyBorder="1" applyProtection="1"/>
    <xf numFmtId="167" fontId="356" fillId="0" borderId="113" xfId="0" applyNumberFormat="1" applyFont="1" applyFill="1" applyBorder="1" applyProtection="1"/>
    <xf numFmtId="6" fontId="243" fillId="0" borderId="0" xfId="0" applyNumberFormat="1" applyFont="1" applyFill="1" applyBorder="1" applyProtection="1">
      <protection locked="0"/>
    </xf>
    <xf numFmtId="10" fontId="243" fillId="0" borderId="0" xfId="0" applyNumberFormat="1" applyFont="1" applyFill="1" applyBorder="1" applyProtection="1">
      <protection locked="0"/>
    </xf>
    <xf numFmtId="167" fontId="250" fillId="0" borderId="0" xfId="0" applyNumberFormat="1" applyFont="1" applyFill="1" applyBorder="1" applyProtection="1">
      <protection locked="0"/>
    </xf>
    <xf numFmtId="167" fontId="328" fillId="0" borderId="32" xfId="0" applyNumberFormat="1" applyFont="1" applyFill="1" applyBorder="1" applyProtection="1"/>
    <xf numFmtId="164" fontId="94" fillId="47" borderId="89" xfId="0" applyNumberFormat="1" applyFont="1" applyFill="1" applyBorder="1" applyAlignment="1" applyProtection="1">
      <alignment wrapText="1"/>
    </xf>
    <xf numFmtId="10" fontId="94" fillId="47" borderId="89" xfId="0" applyNumberFormat="1" applyFont="1" applyFill="1" applyBorder="1" applyAlignment="1" applyProtection="1">
      <alignment wrapText="1"/>
    </xf>
    <xf numFmtId="10" fontId="94" fillId="47" borderId="121" xfId="0" applyNumberFormat="1" applyFont="1" applyFill="1" applyBorder="1" applyProtection="1"/>
    <xf numFmtId="167" fontId="320" fillId="47" borderId="89" xfId="0" applyNumberFormat="1" applyFont="1" applyFill="1" applyBorder="1" applyAlignment="1" applyProtection="1">
      <alignment wrapText="1"/>
    </xf>
    <xf numFmtId="167" fontId="94" fillId="47" borderId="114" xfId="0" applyNumberFormat="1" applyFont="1" applyFill="1" applyBorder="1" applyAlignment="1" applyProtection="1">
      <alignment wrapText="1"/>
    </xf>
    <xf numFmtId="164" fontId="356" fillId="0" borderId="0" xfId="0" applyNumberFormat="1" applyFont="1" applyFill="1" applyBorder="1" applyProtection="1"/>
    <xf numFmtId="164" fontId="94" fillId="47" borderId="89" xfId="0" applyNumberFormat="1" applyFont="1" applyFill="1" applyBorder="1" applyProtection="1"/>
    <xf numFmtId="10" fontId="94" fillId="47" borderId="89" xfId="0" applyNumberFormat="1" applyFont="1" applyFill="1" applyBorder="1" applyProtection="1"/>
    <xf numFmtId="10" fontId="356" fillId="0" borderId="0" xfId="0" applyNumberFormat="1" applyFont="1" applyFill="1" applyBorder="1" applyProtection="1"/>
    <xf numFmtId="10" fontId="356" fillId="0" borderId="21" xfId="0" applyNumberFormat="1" applyFont="1" applyFill="1" applyBorder="1" applyProtection="1"/>
    <xf numFmtId="167" fontId="320" fillId="47" borderId="89" xfId="0" applyNumberFormat="1" applyFont="1" applyFill="1" applyBorder="1" applyProtection="1"/>
    <xf numFmtId="167" fontId="94" fillId="47" borderId="114" xfId="0" applyNumberFormat="1" applyFont="1" applyFill="1" applyBorder="1" applyProtection="1"/>
    <xf numFmtId="6" fontId="328" fillId="0" borderId="108" xfId="0" applyNumberFormat="1" applyFont="1" applyFill="1" applyBorder="1" applyAlignment="1" applyProtection="1"/>
    <xf numFmtId="10" fontId="328" fillId="0" borderId="193" xfId="0" applyNumberFormat="1" applyFont="1" applyFill="1" applyBorder="1" applyProtection="1"/>
    <xf numFmtId="10" fontId="328" fillId="0" borderId="194" xfId="0" applyNumberFormat="1" applyFont="1" applyFill="1" applyBorder="1" applyProtection="1"/>
    <xf numFmtId="167" fontId="328" fillId="0" borderId="109" xfId="0" applyNumberFormat="1" applyFont="1" applyFill="1" applyBorder="1" applyProtection="1"/>
    <xf numFmtId="167" fontId="328" fillId="0" borderId="110" xfId="0" applyNumberFormat="1" applyFont="1" applyFill="1" applyBorder="1" applyProtection="1"/>
    <xf numFmtId="10" fontId="328" fillId="0" borderId="109" xfId="0" applyNumberFormat="1" applyFont="1" applyFill="1" applyBorder="1" applyProtection="1"/>
    <xf numFmtId="0" fontId="0" fillId="44" borderId="0" xfId="0" applyFill="1" applyProtection="1"/>
    <xf numFmtId="0" fontId="242" fillId="0" borderId="100" xfId="0" applyFont="1" applyBorder="1" applyProtection="1"/>
    <xf numFmtId="0" fontId="249" fillId="0" borderId="101" xfId="0" applyFont="1" applyBorder="1" applyProtection="1"/>
    <xf numFmtId="0" fontId="249" fillId="0" borderId="102" xfId="0" applyFont="1" applyBorder="1" applyProtection="1"/>
    <xf numFmtId="0" fontId="249" fillId="0" borderId="0" xfId="0" applyFont="1" applyBorder="1" applyProtection="1"/>
    <xf numFmtId="0" fontId="249" fillId="0" borderId="86" xfId="0" applyFont="1" applyBorder="1" applyProtection="1"/>
    <xf numFmtId="0" fontId="249" fillId="0" borderId="0" xfId="0" applyFont="1" applyProtection="1"/>
    <xf numFmtId="6" fontId="339" fillId="0" borderId="0" xfId="0" applyNumberFormat="1" applyFont="1" applyProtection="1"/>
    <xf numFmtId="0" fontId="242" fillId="0" borderId="106" xfId="0" applyFont="1" applyBorder="1" applyProtection="1"/>
    <xf numFmtId="0" fontId="249" fillId="0" borderId="5" xfId="0" applyFont="1" applyBorder="1" applyProtection="1"/>
    <xf numFmtId="0" fontId="249" fillId="0" borderId="6" xfId="0" applyFont="1" applyBorder="1" applyProtection="1"/>
    <xf numFmtId="0" fontId="247" fillId="0" borderId="86" xfId="0" applyFont="1" applyBorder="1" applyProtection="1"/>
    <xf numFmtId="9" fontId="339" fillId="0" borderId="0" xfId="0" applyNumberFormat="1" applyFont="1" applyBorder="1" applyProtection="1"/>
    <xf numFmtId="0" fontId="242" fillId="0" borderId="159" xfId="0" applyFont="1" applyBorder="1" applyProtection="1"/>
    <xf numFmtId="0" fontId="242" fillId="0" borderId="182" xfId="0" applyFont="1" applyBorder="1" applyProtection="1"/>
    <xf numFmtId="0" fontId="0" fillId="0" borderId="182" xfId="0" applyBorder="1" applyProtection="1"/>
    <xf numFmtId="0" fontId="256" fillId="23" borderId="183" xfId="0" applyFont="1" applyFill="1" applyBorder="1" applyAlignment="1" applyProtection="1">
      <alignment horizontal="center"/>
    </xf>
    <xf numFmtId="0" fontId="242" fillId="0" borderId="12" xfId="0" applyFont="1" applyBorder="1" applyProtection="1"/>
    <xf numFmtId="164" fontId="256" fillId="23" borderId="32" xfId="0" applyNumberFormat="1" applyFont="1" applyFill="1" applyBorder="1" applyAlignment="1" applyProtection="1">
      <alignment horizontal="center"/>
    </xf>
    <xf numFmtId="0" fontId="259" fillId="0" borderId="0" xfId="0" applyFont="1" applyBorder="1" applyProtection="1"/>
    <xf numFmtId="0" fontId="261" fillId="0" borderId="0" xfId="0" applyFont="1" applyFill="1" applyBorder="1" applyAlignment="1" applyProtection="1">
      <alignment horizontal="center"/>
    </xf>
    <xf numFmtId="167" fontId="256" fillId="23" borderId="32" xfId="0" applyNumberFormat="1" applyFont="1" applyFill="1" applyBorder="1" applyProtection="1"/>
    <xf numFmtId="0" fontId="256" fillId="23" borderId="32" xfId="0" applyFont="1" applyFill="1" applyBorder="1" applyAlignment="1" applyProtection="1">
      <alignment horizontal="center"/>
    </xf>
    <xf numFmtId="0" fontId="264" fillId="0" borderId="0" xfId="0" applyFont="1" applyFill="1" applyBorder="1" applyProtection="1"/>
    <xf numFmtId="0" fontId="251" fillId="23" borderId="23" xfId="0" applyFont="1" applyFill="1" applyBorder="1" applyAlignment="1" applyProtection="1">
      <alignment wrapText="1"/>
    </xf>
    <xf numFmtId="0" fontId="251" fillId="23" borderId="24" xfId="0" applyFont="1" applyFill="1" applyBorder="1" applyAlignment="1" applyProtection="1">
      <alignment wrapText="1"/>
    </xf>
    <xf numFmtId="0" fontId="251" fillId="43" borderId="24" xfId="0" applyFont="1" applyFill="1" applyBorder="1" applyAlignment="1" applyProtection="1">
      <alignment wrapText="1"/>
    </xf>
    <xf numFmtId="0" fontId="251" fillId="34" borderId="24" xfId="0" applyFont="1" applyFill="1" applyBorder="1" applyAlignment="1" applyProtection="1">
      <alignment wrapText="1"/>
    </xf>
    <xf numFmtId="0" fontId="251" fillId="0" borderId="0" xfId="0" applyFont="1" applyAlignment="1" applyProtection="1">
      <alignment wrapText="1"/>
    </xf>
    <xf numFmtId="0" fontId="327" fillId="0" borderId="0" xfId="0" applyFont="1" applyAlignment="1" applyProtection="1">
      <alignment vertical="center"/>
    </xf>
    <xf numFmtId="0" fontId="249" fillId="0" borderId="7" xfId="0" applyFont="1" applyBorder="1" applyProtection="1"/>
    <xf numFmtId="6" fontId="249" fillId="0" borderId="0" xfId="0" applyNumberFormat="1" applyFont="1" applyBorder="1" applyProtection="1"/>
    <xf numFmtId="6" fontId="0" fillId="0" borderId="0" xfId="0" applyNumberFormat="1" applyProtection="1"/>
    <xf numFmtId="164" fontId="249" fillId="0" borderId="0" xfId="0" applyNumberFormat="1" applyFont="1" applyBorder="1" applyProtection="1"/>
    <xf numFmtId="167" fontId="0" fillId="0" borderId="143" xfId="0" applyNumberFormat="1" applyBorder="1" applyProtection="1"/>
    <xf numFmtId="167" fontId="0" fillId="0" borderId="144" xfId="0" applyNumberFormat="1" applyBorder="1" applyProtection="1"/>
    <xf numFmtId="164" fontId="0" fillId="0" borderId="0" xfId="0" applyNumberFormat="1" applyProtection="1"/>
    <xf numFmtId="0" fontId="249" fillId="0" borderId="88" xfId="0" applyFont="1" applyBorder="1" applyProtection="1"/>
    <xf numFmtId="6" fontId="249" fillId="0" borderId="89" xfId="0" applyNumberFormat="1" applyFont="1" applyBorder="1" applyProtection="1"/>
    <xf numFmtId="164" fontId="249" fillId="0" borderId="89" xfId="0" applyNumberFormat="1" applyFont="1" applyBorder="1" applyProtection="1"/>
    <xf numFmtId="167" fontId="0" fillId="0" borderId="145" xfId="0" applyNumberFormat="1" applyBorder="1" applyProtection="1"/>
    <xf numFmtId="0" fontId="256" fillId="0" borderId="0" xfId="0" applyFont="1" applyBorder="1" applyAlignment="1" applyProtection="1">
      <alignment horizontal="center"/>
    </xf>
    <xf numFmtId="0" fontId="6" fillId="0" borderId="0" xfId="0" applyFont="1" applyFill="1" applyBorder="1" applyProtection="1">
      <protection locked="0"/>
    </xf>
    <xf numFmtId="6" fontId="328" fillId="0" borderId="100" xfId="0" applyNumberFormat="1" applyFont="1" applyFill="1" applyBorder="1" applyAlignment="1" applyProtection="1">
      <alignment wrapText="1"/>
    </xf>
    <xf numFmtId="10" fontId="328" fillId="0" borderId="0" xfId="0" applyNumberFormat="1" applyFont="1" applyFill="1" applyBorder="1" applyProtection="1"/>
    <xf numFmtId="167" fontId="328" fillId="0" borderId="0" xfId="0" applyNumberFormat="1" applyFont="1" applyFill="1" applyBorder="1" applyProtection="1"/>
    <xf numFmtId="6" fontId="328" fillId="0" borderId="86" xfId="0" applyNumberFormat="1" applyFont="1" applyFill="1" applyBorder="1" applyAlignment="1" applyProtection="1">
      <alignment wrapText="1"/>
    </xf>
    <xf numFmtId="6" fontId="328" fillId="0" borderId="10" xfId="0" applyNumberFormat="1" applyFont="1" applyFill="1" applyBorder="1" applyAlignment="1" applyProtection="1">
      <alignment wrapText="1"/>
    </xf>
    <xf numFmtId="10" fontId="328" fillId="0" borderId="113" xfId="0" applyNumberFormat="1" applyFont="1" applyFill="1" applyBorder="1" applyProtection="1"/>
    <xf numFmtId="10" fontId="328" fillId="0" borderId="32" xfId="0" applyNumberFormat="1" applyFont="1" applyFill="1" applyBorder="1" applyProtection="1"/>
    <xf numFmtId="10" fontId="328" fillId="0" borderId="114" xfId="0" applyNumberFormat="1" applyFont="1" applyFill="1" applyBorder="1" applyProtection="1"/>
    <xf numFmtId="10" fontId="328" fillId="0" borderId="89" xfId="0" applyNumberFormat="1" applyFont="1" applyFill="1" applyBorder="1" applyProtection="1"/>
    <xf numFmtId="167" fontId="328" fillId="0" borderId="89" xfId="0" applyNumberFormat="1" applyFont="1" applyFill="1" applyBorder="1" applyProtection="1"/>
    <xf numFmtId="167" fontId="328" fillId="0" borderId="90" xfId="0" applyNumberFormat="1" applyFont="1" applyFill="1" applyBorder="1" applyProtection="1"/>
    <xf numFmtId="167" fontId="328" fillId="0" borderId="101" xfId="0" applyNumberFormat="1" applyFont="1" applyFill="1" applyBorder="1" applyProtection="1"/>
    <xf numFmtId="10" fontId="328" fillId="0" borderId="14" xfId="0" applyNumberFormat="1" applyFont="1" applyFill="1" applyBorder="1" applyProtection="1"/>
    <xf numFmtId="0" fontId="242" fillId="0" borderId="23" xfId="0" applyFont="1" applyBorder="1" applyAlignment="1" applyProtection="1"/>
    <xf numFmtId="0" fontId="242" fillId="0" borderId="25" xfId="0" applyFont="1" applyBorder="1" applyAlignment="1" applyProtection="1">
      <alignment wrapText="1"/>
    </xf>
    <xf numFmtId="10" fontId="328" fillId="0" borderId="113" xfId="0" applyNumberFormat="1" applyFont="1" applyFill="1" applyBorder="1" applyAlignment="1" applyProtection="1">
      <alignment wrapText="1"/>
    </xf>
    <xf numFmtId="10" fontId="328" fillId="0" borderId="32" xfId="0" applyNumberFormat="1" applyFont="1" applyFill="1" applyBorder="1" applyAlignment="1" applyProtection="1">
      <alignment wrapText="1"/>
    </xf>
    <xf numFmtId="10" fontId="328" fillId="0" borderId="114" xfId="0" applyNumberFormat="1" applyFont="1" applyFill="1" applyBorder="1" applyAlignment="1" applyProtection="1">
      <alignment wrapText="1"/>
    </xf>
    <xf numFmtId="167" fontId="328" fillId="0" borderId="101" xfId="0" applyNumberFormat="1" applyFont="1" applyFill="1" applyBorder="1" applyAlignment="1" applyProtection="1">
      <alignment wrapText="1"/>
    </xf>
    <xf numFmtId="167" fontId="328" fillId="0" borderId="102" xfId="0" applyNumberFormat="1" applyFont="1" applyFill="1" applyBorder="1" applyAlignment="1" applyProtection="1">
      <alignment wrapText="1"/>
    </xf>
    <xf numFmtId="167" fontId="328" fillId="0" borderId="0" xfId="0" applyNumberFormat="1" applyFont="1" applyFill="1" applyBorder="1" applyAlignment="1" applyProtection="1">
      <alignment wrapText="1"/>
    </xf>
    <xf numFmtId="167" fontId="328" fillId="0" borderId="87" xfId="0" applyNumberFormat="1" applyFont="1" applyFill="1" applyBorder="1" applyAlignment="1" applyProtection="1">
      <alignment wrapText="1"/>
    </xf>
    <xf numFmtId="167" fontId="328" fillId="0" borderId="89" xfId="0" applyNumberFormat="1" applyFont="1" applyFill="1" applyBorder="1" applyAlignment="1" applyProtection="1">
      <alignment wrapText="1"/>
    </xf>
    <xf numFmtId="167" fontId="328" fillId="0" borderId="90" xfId="0" applyNumberFormat="1" applyFont="1" applyFill="1" applyBorder="1" applyAlignment="1" applyProtection="1">
      <alignment wrapText="1"/>
    </xf>
    <xf numFmtId="1" fontId="344" fillId="47" borderId="10" xfId="1" applyNumberFormat="1" applyFont="1" applyFill="1" applyBorder="1" applyAlignment="1" applyProtection="1"/>
    <xf numFmtId="10" fontId="94" fillId="47" borderId="14" xfId="0" applyNumberFormat="1" applyFont="1" applyFill="1" applyBorder="1" applyProtection="1"/>
    <xf numFmtId="10" fontId="328" fillId="0" borderId="101" xfId="0" applyNumberFormat="1" applyFont="1" applyFill="1" applyBorder="1" applyProtection="1"/>
    <xf numFmtId="164" fontId="328" fillId="0" borderId="100" xfId="0" applyNumberFormat="1" applyFont="1" applyFill="1" applyBorder="1" applyProtection="1"/>
    <xf numFmtId="164" fontId="328" fillId="0" borderId="86" xfId="0" applyNumberFormat="1" applyFont="1" applyFill="1" applyBorder="1" applyProtection="1"/>
    <xf numFmtId="164" fontId="328" fillId="0" borderId="10" xfId="0" applyNumberFormat="1" applyFont="1" applyFill="1" applyBorder="1" applyProtection="1"/>
    <xf numFmtId="167" fontId="328" fillId="0" borderId="21" xfId="0" applyNumberFormat="1" applyFont="1" applyFill="1" applyBorder="1" applyProtection="1"/>
    <xf numFmtId="167" fontId="328" fillId="0" borderId="12" xfId="0" applyNumberFormat="1" applyFont="1" applyFill="1" applyBorder="1" applyProtection="1"/>
    <xf numFmtId="167" fontId="328" fillId="0" borderId="14" xfId="0" applyNumberFormat="1" applyFont="1" applyFill="1" applyBorder="1" applyProtection="1"/>
    <xf numFmtId="10" fontId="64" fillId="3" borderId="0" xfId="0" applyNumberFormat="1" applyFont="1" applyFill="1" applyBorder="1"/>
    <xf numFmtId="0" fontId="242" fillId="23" borderId="0" xfId="0" applyFont="1" applyFill="1"/>
    <xf numFmtId="167" fontId="0" fillId="0" borderId="102" xfId="0" applyNumberFormat="1" applyFont="1" applyBorder="1" applyProtection="1"/>
    <xf numFmtId="0" fontId="0" fillId="0" borderId="0" xfId="0" applyFont="1" applyProtection="1"/>
    <xf numFmtId="0" fontId="46" fillId="0" borderId="0" xfId="0" applyFont="1"/>
    <xf numFmtId="0" fontId="0" fillId="28" borderId="0" xfId="0" applyFill="1"/>
    <xf numFmtId="0" fontId="0" fillId="28" borderId="0" xfId="0" applyFill="1" applyBorder="1"/>
    <xf numFmtId="0" fontId="9" fillId="28" borderId="0" xfId="0" applyFont="1" applyFill="1" applyBorder="1"/>
    <xf numFmtId="10" fontId="10" fillId="28" borderId="0" xfId="0" applyNumberFormat="1" applyFont="1" applyFill="1" applyBorder="1"/>
    <xf numFmtId="0" fontId="242" fillId="0" borderId="5" xfId="0" applyFont="1" applyBorder="1"/>
    <xf numFmtId="0" fontId="264" fillId="0" borderId="56" xfId="0" applyFont="1" applyBorder="1"/>
    <xf numFmtId="0" fontId="0" fillId="0" borderId="0" xfId="0" applyFill="1" applyBorder="1" applyAlignment="1">
      <alignment horizontal="left" indent="1"/>
    </xf>
    <xf numFmtId="0" fontId="0" fillId="0" borderId="0" xfId="0" applyFill="1" applyBorder="1" applyAlignment="1">
      <alignment horizontal="left" indent="2"/>
    </xf>
    <xf numFmtId="10" fontId="359" fillId="0" borderId="0" xfId="0" applyNumberFormat="1" applyFont="1" applyBorder="1"/>
    <xf numFmtId="6" fontId="359" fillId="0" borderId="0" xfId="0" applyNumberFormat="1" applyFont="1" applyBorder="1"/>
    <xf numFmtId="0" fontId="4" fillId="0" borderId="56" xfId="0" applyFont="1" applyBorder="1"/>
    <xf numFmtId="0" fontId="1" fillId="0" borderId="0" xfId="0" applyFont="1" applyAlignment="1">
      <alignment horizontal="center"/>
    </xf>
    <xf numFmtId="0" fontId="236" fillId="0" borderId="53" xfId="0" applyFont="1" applyBorder="1"/>
    <xf numFmtId="0" fontId="0" fillId="0" borderId="16" xfId="0" applyFont="1" applyBorder="1"/>
    <xf numFmtId="0" fontId="46" fillId="19" borderId="0" xfId="0" applyFont="1" applyFill="1"/>
    <xf numFmtId="0" fontId="1" fillId="19" borderId="0" xfId="0" applyFont="1" applyFill="1"/>
    <xf numFmtId="0" fontId="46" fillId="0" borderId="0" xfId="0" applyFont="1" applyFill="1"/>
    <xf numFmtId="0" fontId="360" fillId="23" borderId="124" xfId="0" applyFont="1" applyFill="1" applyBorder="1"/>
    <xf numFmtId="14" fontId="195" fillId="0" borderId="0" xfId="2" applyNumberFormat="1" applyFont="1" applyAlignment="1" applyProtection="1"/>
    <xf numFmtId="0" fontId="243" fillId="0" borderId="86" xfId="0" applyFont="1" applyBorder="1" applyAlignment="1" applyProtection="1">
      <alignment horizontal="center"/>
      <protection locked="0"/>
    </xf>
    <xf numFmtId="164" fontId="328" fillId="0" borderId="100" xfId="0" applyNumberFormat="1" applyFont="1" applyBorder="1"/>
    <xf numFmtId="164" fontId="243" fillId="0" borderId="100" xfId="0" applyNumberFormat="1" applyFont="1" applyBorder="1" applyProtection="1">
      <protection locked="0"/>
    </xf>
    <xf numFmtId="6" fontId="250" fillId="0" borderId="102" xfId="0" applyNumberFormat="1" applyFont="1" applyBorder="1" applyProtection="1">
      <protection locked="0"/>
    </xf>
    <xf numFmtId="164" fontId="328" fillId="0" borderId="88" xfId="0" applyNumberFormat="1" applyFont="1" applyBorder="1"/>
    <xf numFmtId="164" fontId="243" fillId="0" borderId="88" xfId="0" applyNumberFormat="1" applyFont="1" applyBorder="1" applyProtection="1">
      <protection locked="0"/>
    </xf>
    <xf numFmtId="6" fontId="250" fillId="0" borderId="90" xfId="0" applyNumberFormat="1" applyFont="1" applyBorder="1" applyProtection="1">
      <protection locked="0"/>
    </xf>
    <xf numFmtId="44" fontId="1" fillId="0" borderId="7" xfId="1" applyFont="1" applyFill="1" applyBorder="1"/>
    <xf numFmtId="0" fontId="132" fillId="47" borderId="7" xfId="0" applyFont="1" applyFill="1" applyBorder="1"/>
    <xf numFmtId="0" fontId="119" fillId="47" borderId="0" xfId="0" applyFont="1" applyFill="1" applyBorder="1"/>
    <xf numFmtId="0" fontId="50" fillId="47" borderId="0" xfId="0" applyFont="1" applyFill="1" applyBorder="1"/>
    <xf numFmtId="0" fontId="0" fillId="47" borderId="0" xfId="0" applyFill="1" applyBorder="1"/>
    <xf numFmtId="0" fontId="0" fillId="47" borderId="0" xfId="0" applyFill="1"/>
    <xf numFmtId="10" fontId="82" fillId="47" borderId="0" xfId="0" applyNumberFormat="1" applyFont="1" applyFill="1" applyBorder="1"/>
    <xf numFmtId="44" fontId="90" fillId="0" borderId="86" xfId="1" applyFont="1" applyBorder="1"/>
    <xf numFmtId="0" fontId="8" fillId="47" borderId="0" xfId="0" applyFont="1" applyFill="1" applyBorder="1"/>
    <xf numFmtId="10" fontId="10" fillId="47" borderId="0" xfId="0" applyNumberFormat="1" applyFont="1" applyFill="1" applyBorder="1"/>
    <xf numFmtId="38" fontId="10" fillId="47" borderId="0" xfId="0" applyNumberFormat="1" applyFont="1" applyFill="1" applyBorder="1"/>
    <xf numFmtId="0" fontId="76" fillId="47" borderId="0" xfId="0" applyFont="1" applyFill="1" applyBorder="1"/>
    <xf numFmtId="0" fontId="31" fillId="47" borderId="0" xfId="0" applyFont="1" applyFill="1" applyBorder="1"/>
    <xf numFmtId="0" fontId="0" fillId="47" borderId="8" xfId="0" applyFill="1" applyBorder="1"/>
    <xf numFmtId="0" fontId="1" fillId="19" borderId="0" xfId="0" applyFont="1" applyFill="1" applyBorder="1"/>
    <xf numFmtId="44" fontId="6" fillId="14" borderId="24" xfId="1" applyFont="1" applyFill="1" applyBorder="1" applyAlignment="1">
      <alignment wrapText="1"/>
    </xf>
    <xf numFmtId="0" fontId="0" fillId="0" borderId="24" xfId="0" applyBorder="1" applyAlignment="1">
      <alignment wrapText="1"/>
    </xf>
    <xf numFmtId="0" fontId="0" fillId="0" borderId="25" xfId="0" applyBorder="1" applyAlignment="1">
      <alignment wrapText="1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9" defaultPivotStyle="PivotStyleLight16"/>
  <colors>
    <mruColors>
      <color rgb="FFFF3300"/>
      <color rgb="FFFFFF99"/>
      <color rgb="FFFF6600"/>
      <color rgb="FF972D88"/>
      <color rgb="FFFFFF66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1540139599338559"/>
          <c:y val="2.380953124907238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6344477432124271"/>
          <c:y val="0.1630061867266592"/>
          <c:w val="0.70553203390559782"/>
          <c:h val="0.792936195475565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SimpleCalc!$C$56</c:f>
              <c:strCache>
                <c:ptCount val="1"/>
                <c:pt idx="0">
                  <c:v>Savings portfolio value</c:v>
                </c:pt>
              </c:strCache>
            </c:strRef>
          </c:tx>
          <c:invertIfNegative val="0"/>
          <c:cat>
            <c:strRef>
              <c:f>SimpleCalc!$B$56:$B$125</c:f>
              <c:strCache>
                <c:ptCount val="70"/>
                <c:pt idx="0">
                  <c:v>Age</c:v>
                </c:pt>
                <c:pt idx="1">
                  <c:v>25</c:v>
                </c:pt>
                <c:pt idx="2">
                  <c:v>26</c:v>
                </c:pt>
                <c:pt idx="3">
                  <c:v>27</c:v>
                </c:pt>
                <c:pt idx="4">
                  <c:v>28</c:v>
                </c:pt>
                <c:pt idx="5">
                  <c:v>29</c:v>
                </c:pt>
                <c:pt idx="6">
                  <c:v>30</c:v>
                </c:pt>
                <c:pt idx="7">
                  <c:v>31</c:v>
                </c:pt>
                <c:pt idx="8">
                  <c:v>32</c:v>
                </c:pt>
                <c:pt idx="9">
                  <c:v>33</c:v>
                </c:pt>
                <c:pt idx="10">
                  <c:v>34</c:v>
                </c:pt>
                <c:pt idx="11">
                  <c:v>35</c:v>
                </c:pt>
                <c:pt idx="12">
                  <c:v>36</c:v>
                </c:pt>
                <c:pt idx="13">
                  <c:v>37</c:v>
                </c:pt>
                <c:pt idx="14">
                  <c:v>38</c:v>
                </c:pt>
                <c:pt idx="15">
                  <c:v>39</c:v>
                </c:pt>
                <c:pt idx="16">
                  <c:v>40</c:v>
                </c:pt>
                <c:pt idx="17">
                  <c:v>41</c:v>
                </c:pt>
                <c:pt idx="18">
                  <c:v>42</c:v>
                </c:pt>
                <c:pt idx="19">
                  <c:v>43</c:v>
                </c:pt>
                <c:pt idx="20">
                  <c:v>44</c:v>
                </c:pt>
                <c:pt idx="21">
                  <c:v>45</c:v>
                </c:pt>
                <c:pt idx="22">
                  <c:v>46</c:v>
                </c:pt>
                <c:pt idx="23">
                  <c:v>47</c:v>
                </c:pt>
                <c:pt idx="24">
                  <c:v>48</c:v>
                </c:pt>
                <c:pt idx="25">
                  <c:v>49</c:v>
                </c:pt>
                <c:pt idx="26">
                  <c:v>50</c:v>
                </c:pt>
                <c:pt idx="27">
                  <c:v>51</c:v>
                </c:pt>
                <c:pt idx="28">
                  <c:v>52</c:v>
                </c:pt>
                <c:pt idx="29">
                  <c:v>53</c:v>
                </c:pt>
                <c:pt idx="30">
                  <c:v>54</c:v>
                </c:pt>
                <c:pt idx="31">
                  <c:v>55</c:v>
                </c:pt>
                <c:pt idx="32">
                  <c:v>56</c:v>
                </c:pt>
                <c:pt idx="33">
                  <c:v>57</c:v>
                </c:pt>
                <c:pt idx="34">
                  <c:v>58</c:v>
                </c:pt>
                <c:pt idx="35">
                  <c:v>59</c:v>
                </c:pt>
                <c:pt idx="36">
                  <c:v>60</c:v>
                </c:pt>
                <c:pt idx="37">
                  <c:v>61</c:v>
                </c:pt>
                <c:pt idx="38">
                  <c:v>62</c:v>
                </c:pt>
                <c:pt idx="39">
                  <c:v>63</c:v>
                </c:pt>
                <c:pt idx="40">
                  <c:v>64</c:v>
                </c:pt>
                <c:pt idx="41">
                  <c:v>65</c:v>
                </c:pt>
                <c:pt idx="42">
                  <c:v>66</c:v>
                </c:pt>
                <c:pt idx="43">
                  <c:v>67</c:v>
                </c:pt>
                <c:pt idx="44">
                  <c:v>68</c:v>
                </c:pt>
                <c:pt idx="45">
                  <c:v>69</c:v>
                </c:pt>
                <c:pt idx="46">
                  <c:v>70</c:v>
                </c:pt>
                <c:pt idx="47">
                  <c:v>71</c:v>
                </c:pt>
                <c:pt idx="48">
                  <c:v>72</c:v>
                </c:pt>
                <c:pt idx="49">
                  <c:v>73</c:v>
                </c:pt>
                <c:pt idx="50">
                  <c:v>74</c:v>
                </c:pt>
                <c:pt idx="51">
                  <c:v>75</c:v>
                </c:pt>
                <c:pt idx="52">
                  <c:v>76</c:v>
                </c:pt>
                <c:pt idx="53">
                  <c:v>77</c:v>
                </c:pt>
                <c:pt idx="54">
                  <c:v>78</c:v>
                </c:pt>
                <c:pt idx="55">
                  <c:v>79</c:v>
                </c:pt>
                <c:pt idx="56">
                  <c:v>80</c:v>
                </c:pt>
                <c:pt idx="57">
                  <c:v>81</c:v>
                </c:pt>
                <c:pt idx="58">
                  <c:v>82</c:v>
                </c:pt>
                <c:pt idx="59">
                  <c:v>83</c:v>
                </c:pt>
                <c:pt idx="60">
                  <c:v>84</c:v>
                </c:pt>
                <c:pt idx="61">
                  <c:v>85</c:v>
                </c:pt>
                <c:pt idx="62">
                  <c:v>86</c:v>
                </c:pt>
                <c:pt idx="63">
                  <c:v>87</c:v>
                </c:pt>
                <c:pt idx="64">
                  <c:v>88</c:v>
                </c:pt>
                <c:pt idx="65">
                  <c:v>89</c:v>
                </c:pt>
                <c:pt idx="66">
                  <c:v>90</c:v>
                </c:pt>
                <c:pt idx="67">
                  <c:v>91</c:v>
                </c:pt>
                <c:pt idx="68">
                  <c:v>92</c:v>
                </c:pt>
                <c:pt idx="69">
                  <c:v>93</c:v>
                </c:pt>
              </c:strCache>
            </c:strRef>
          </c:cat>
          <c:val>
            <c:numRef>
              <c:f>SimpleCalc!$C$57:$C$125</c:f>
              <c:numCache>
                <c:formatCode>"$"#,##0_);[Red]\("$"#,##0\)</c:formatCode>
                <c:ptCount val="69"/>
                <c:pt idx="0">
                  <c:v>30000</c:v>
                </c:pt>
                <c:pt idx="1">
                  <c:v>35268.75</c:v>
                </c:pt>
                <c:pt idx="2">
                  <c:v>40852.96875</c:v>
                </c:pt>
                <c:pt idx="3">
                  <c:v>46768.419843749994</c:v>
                </c:pt>
                <c:pt idx="4">
                  <c:v>53031.607586718739</c:v>
                </c:pt>
                <c:pt idx="5">
                  <c:v>59659.81095512108</c:v>
                </c:pt>
                <c:pt idx="6">
                  <c:v>66671.119095641523</c:v>
                </c:pt>
                <c:pt idx="7">
                  <c:v>74084.468435436182</c:v>
                </c:pt>
                <c:pt idx="8">
                  <c:v>81919.681475131423</c:v>
                </c:pt>
                <c:pt idx="9">
                  <c:v>90197.507340814962</c:v>
                </c:pt>
                <c:pt idx="10">
                  <c:v>98939.664174440317</c:v>
                </c:pt>
                <c:pt idx="11">
                  <c:v>108168.88344564458</c:v>
                </c:pt>
                <c:pt idx="12">
                  <c:v>117908.95627172012</c:v>
                </c:pt>
                <c:pt idx="13">
                  <c:v>128184.78183638949</c:v>
                </c:pt>
                <c:pt idx="14">
                  <c:v>139022.41800211783</c:v>
                </c:pt>
                <c:pt idx="15">
                  <c:v>150449.13421496574</c:v>
                </c:pt>
                <c:pt idx="16">
                  <c:v>162493.46680544686</c:v>
                </c:pt>
                <c:pt idx="17">
                  <c:v>175185.27679351578</c:v>
                </c:pt>
                <c:pt idx="18">
                  <c:v>188555.81031068429</c:v>
                </c:pt>
                <c:pt idx="19">
                  <c:v>202637.76175735457</c:v>
                </c:pt>
                <c:pt idx="20">
                  <c:v>217465.33981877883</c:v>
                </c:pt>
                <c:pt idx="21">
                  <c:v>233074.33646861403</c:v>
                </c:pt>
                <c:pt idx="22">
                  <c:v>249502.19909485162</c:v>
                </c:pt>
                <c:pt idx="23">
                  <c:v>266788.10588897293</c:v>
                </c:pt>
                <c:pt idx="24">
                  <c:v>284973.04464552674</c:v>
                </c:pt>
                <c:pt idx="25">
                  <c:v>304099.89512595645</c:v>
                </c:pt>
                <c:pt idx="26">
                  <c:v>324213.51514743315</c:v>
                </c:pt>
                <c:pt idx="27">
                  <c:v>345360.83056469244</c:v>
                </c:pt>
                <c:pt idx="28">
                  <c:v>367590.92932044092</c:v>
                </c:pt>
                <c:pt idx="29">
                  <c:v>390955.15974780481</c:v>
                </c:pt>
                <c:pt idx="30">
                  <c:v>415507.23331655894</c:v>
                </c:pt>
                <c:pt idx="31">
                  <c:v>441303.33202350908</c:v>
                </c:pt>
                <c:pt idx="32">
                  <c:v>468402.22063642606</c:v>
                </c:pt>
                <c:pt idx="33">
                  <c:v>496865.36401036149</c:v>
                </c:pt>
                <c:pt idx="34">
                  <c:v>526757.04970502993</c:v>
                </c:pt>
                <c:pt idx="35">
                  <c:v>558144.51614224247</c:v>
                </c:pt>
                <c:pt idx="36">
                  <c:v>591098.08655313938</c:v>
                </c:pt>
                <c:pt idx="37">
                  <c:v>625691.30897621659</c:v>
                </c:pt>
                <c:pt idx="38">
                  <c:v>662001.10257889598</c:v>
                </c:pt>
                <c:pt idx="39">
                  <c:v>700107.91058767086</c:v>
                </c:pt>
                <c:pt idx="40">
                  <c:v>740095.86012469511</c:v>
                </c:pt>
                <c:pt idx="41">
                  <c:v>782052.92926209711</c:v>
                </c:pt>
                <c:pt idx="42">
                  <c:v>770241.03863362281</c:v>
                </c:pt>
                <c:pt idx="43">
                  <c:v>748214.85195229109</c:v>
                </c:pt>
                <c:pt idx="44">
                  <c:v>724336.81422451092</c:v>
                </c:pt>
                <c:pt idx="45">
                  <c:v>698520.33868273871</c:v>
                </c:pt>
                <c:pt idx="46">
                  <c:v>670675.44008350058</c:v>
                </c:pt>
                <c:pt idx="47">
                  <c:v>640708.61222945235</c:v>
                </c:pt>
                <c:pt idx="48">
                  <c:v>608522.70129397197</c:v>
                </c:pt>
                <c:pt idx="49">
                  <c:v>574016.77480908332</c:v>
                </c:pt>
                <c:pt idx="50">
                  <c:v>537085.98617299495</c:v>
                </c:pt>
                <c:pt idx="51">
                  <c:v>497621.43452888331</c:v>
                </c:pt>
                <c:pt idx="52">
                  <c:v>455510.01986174547</c:v>
                </c:pt>
                <c:pt idx="53">
                  <c:v>410634.29315518879</c:v>
                </c:pt>
                <c:pt idx="54">
                  <c:v>362872.3014449089</c:v>
                </c:pt>
                <c:pt idx="55">
                  <c:v>312097.42760033155</c:v>
                </c:pt>
                <c:pt idx="56">
                  <c:v>258178.22466044591</c:v>
                </c:pt>
                <c:pt idx="57">
                  <c:v>200978.24454423791</c:v>
                </c:pt>
                <c:pt idx="58">
                  <c:v>140355.86095033627</c:v>
                </c:pt>
                <c:pt idx="59">
                  <c:v>76164.086254498776</c:v>
                </c:pt>
                <c:pt idx="60">
                  <c:v>8250.3822073971241</c:v>
                </c:pt>
                <c:pt idx="61">
                  <c:v>-63543.535771211929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0716672"/>
        <c:axId val="120718464"/>
      </c:barChart>
      <c:catAx>
        <c:axId val="120716672"/>
        <c:scaling>
          <c:orientation val="minMax"/>
        </c:scaling>
        <c:delete val="0"/>
        <c:axPos val="b"/>
        <c:majorTickMark val="out"/>
        <c:minorTickMark val="none"/>
        <c:tickLblPos val="nextTo"/>
        <c:crossAx val="120718464"/>
        <c:crosses val="autoZero"/>
        <c:auto val="1"/>
        <c:lblAlgn val="ctr"/>
        <c:lblOffset val="100"/>
        <c:noMultiLvlLbl val="0"/>
      </c:catAx>
      <c:valAx>
        <c:axId val="120718464"/>
        <c:scaling>
          <c:orientation val="minMax"/>
        </c:scaling>
        <c:delete val="0"/>
        <c:axPos val="l"/>
        <c:majorGridlines/>
        <c:numFmt formatCode="&quot;$&quot;#,##0_);[Red]\(&quot;$&quot;#,##0\)" sourceLinked="1"/>
        <c:majorTickMark val="out"/>
        <c:minorTickMark val="none"/>
        <c:tickLblPos val="nextTo"/>
        <c:crossAx val="1207166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544" l="0.70000000000000062" r="0.70000000000000062" t="0.75000000000000544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54261555647112"/>
          <c:y val="4.3947890876655966E-2"/>
          <c:w val="0.5533579713082375"/>
          <c:h val="0.84272243862806129"/>
        </c:manualLayout>
      </c:layout>
      <c:lineChart>
        <c:grouping val="standard"/>
        <c:varyColors val="0"/>
        <c:ser>
          <c:idx val="0"/>
          <c:order val="0"/>
          <c:tx>
            <c:strRef>
              <c:f>'R. Results'!$E$498</c:f>
              <c:strCache>
                <c:ptCount val="1"/>
                <c:pt idx="0">
                  <c:v>S1 short term gains Savings FV</c:v>
                </c:pt>
              </c:strCache>
            </c:strRef>
          </c:tx>
          <c:marker>
            <c:symbol val="none"/>
          </c:marker>
          <c:val>
            <c:numRef>
              <c:f>'R. Results'!$E$499:$E$535</c:f>
              <c:numCache>
                <c:formatCode>"$"#,##0_);[Red]\("$"#,##0\)</c:formatCode>
                <c:ptCount val="37"/>
                <c:pt idx="0">
                  <c:v>550</c:v>
                </c:pt>
                <c:pt idx="1">
                  <c:v>571.90125</c:v>
                </c:pt>
                <c:pt idx="2">
                  <c:v>590.49833658088232</c:v>
                </c:pt>
                <c:pt idx="3">
                  <c:v>603.57801915348853</c:v>
                </c:pt>
                <c:pt idx="4">
                  <c:v>550.41096793340046</c:v>
                </c:pt>
                <c:pt idx="5">
                  <c:v>497.41211433429794</c:v>
                </c:pt>
                <c:pt idx="6">
                  <c:v>464.50247280868501</c:v>
                </c:pt>
                <c:pt idx="7">
                  <c:v>639.13757103925582</c:v>
                </c:pt>
                <c:pt idx="8">
                  <c:v>831.22681815873852</c:v>
                </c:pt>
                <c:pt idx="9">
                  <c:v>925.22420387125101</c:v>
                </c:pt>
                <c:pt idx="10">
                  <c:v>1129.9040556919558</c:v>
                </c:pt>
                <c:pt idx="11">
                  <c:v>1419.2895553349779</c:v>
                </c:pt>
                <c:pt idx="12">
                  <c:v>1741.5133636305993</c:v>
                </c:pt>
                <c:pt idx="13">
                  <c:v>1907.9338424379998</c:v>
                </c:pt>
                <c:pt idx="14">
                  <c:v>2080.6780452556081</c:v>
                </c:pt>
                <c:pt idx="15">
                  <c:v>2257.4548855286962</c:v>
                </c:pt>
                <c:pt idx="16">
                  <c:v>1950.1263101537843</c:v>
                </c:pt>
                <c:pt idx="17">
                  <c:v>2105.3678131046045</c:v>
                </c:pt>
                <c:pt idx="18">
                  <c:v>2276.1722596955124</c:v>
                </c:pt>
                <c:pt idx="19">
                  <c:v>2452.7920965705439</c:v>
                </c:pt>
                <c:pt idx="20">
                  <c:v>2606.3054485084976</c:v>
                </c:pt>
                <c:pt idx="21">
                  <c:v>2764.6448199589972</c:v>
                </c:pt>
                <c:pt idx="22">
                  <c:v>2927.9288345427467</c:v>
                </c:pt>
                <c:pt idx="23">
                  <c:v>3096.3218845826477</c:v>
                </c:pt>
                <c:pt idx="24">
                  <c:v>3269.9771856378961</c:v>
                </c:pt>
                <c:pt idx="25">
                  <c:v>3449.0529060740478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'R. Results'!$F$498</c:f>
              <c:strCache>
                <c:ptCount val="1"/>
                <c:pt idx="0">
                  <c:v>S2 short term gains Savings FV</c:v>
                </c:pt>
              </c:strCache>
            </c:strRef>
          </c:tx>
          <c:marker>
            <c:symbol val="none"/>
          </c:marker>
          <c:val>
            <c:numRef>
              <c:f>'R. Results'!$F$499:$F$535</c:f>
              <c:numCache>
                <c:formatCode>"$"#,##0_);[Red]\("$"#,##0\)</c:formatCode>
                <c:ptCount val="37"/>
                <c:pt idx="0">
                  <c:v>400</c:v>
                </c:pt>
                <c:pt idx="1">
                  <c:v>416.07625000000002</c:v>
                </c:pt>
                <c:pt idx="2">
                  <c:v>428.76955658088235</c:v>
                </c:pt>
                <c:pt idx="3">
                  <c:v>435.8441877229738</c:v>
                </c:pt>
                <c:pt idx="4">
                  <c:v>382.53441925346749</c:v>
                </c:pt>
                <c:pt idx="5">
                  <c:v>334.22142637326732</c:v>
                </c:pt>
                <c:pt idx="6">
                  <c:v>302.46629935099912</c:v>
                </c:pt>
                <c:pt idx="7">
                  <c:v>339.69916542967439</c:v>
                </c:pt>
                <c:pt idx="8">
                  <c:v>365.47798489358865</c:v>
                </c:pt>
                <c:pt idx="9">
                  <c:v>462.31212693291354</c:v>
                </c:pt>
                <c:pt idx="10">
                  <c:v>504.26663345299386</c:v>
                </c:pt>
                <c:pt idx="11">
                  <c:v>551.01502639138766</c:v>
                </c:pt>
                <c:pt idx="12">
                  <c:v>643.23812650405137</c:v>
                </c:pt>
                <c:pt idx="13">
                  <c:v>806.88786884352066</c:v>
                </c:pt>
                <c:pt idx="14">
                  <c:v>977.81137017785352</c:v>
                </c:pt>
                <c:pt idx="15">
                  <c:v>1147.7721119086145</c:v>
                </c:pt>
                <c:pt idx="16">
                  <c:v>834.56881730852319</c:v>
                </c:pt>
                <c:pt idx="17">
                  <c:v>933.1181764671536</c:v>
                </c:pt>
                <c:pt idx="18">
                  <c:v>1041.4699783344572</c:v>
                </c:pt>
                <c:pt idx="19">
                  <c:v>1154.1750055562359</c:v>
                </c:pt>
                <c:pt idx="20">
                  <c:v>1233.036475261013</c:v>
                </c:pt>
                <c:pt idx="21">
                  <c:v>1324.4815950997915</c:v>
                </c:pt>
                <c:pt idx="22">
                  <c:v>1412.5673613390818</c:v>
                </c:pt>
                <c:pt idx="23">
                  <c:v>1503.6973298411792</c:v>
                </c:pt>
                <c:pt idx="24">
                  <c:v>1598.1112381709502</c:v>
                </c:pt>
                <c:pt idx="25">
                  <c:v>1695.7803965403723</c:v>
                </c:pt>
                <c:pt idx="26">
                  <c:v>2590.8222574703946</c:v>
                </c:pt>
                <c:pt idx="27">
                  <c:v>2638.7754256626772</c:v>
                </c:pt>
                <c:pt idx="28">
                  <c:v>2686.8571248893109</c:v>
                </c:pt>
                <c:pt idx="29">
                  <c:v>2735.0615403536817</c:v>
                </c:pt>
                <c:pt idx="30">
                  <c:v>2783.3841539535042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'R. Results'!$G$498</c:f>
              <c:strCache>
                <c:ptCount val="1"/>
                <c:pt idx="0">
                  <c:v>S1 long term gains Savings FV</c:v>
                </c:pt>
              </c:strCache>
            </c:strRef>
          </c:tx>
          <c:marker>
            <c:symbol val="none"/>
          </c:marker>
          <c:val>
            <c:numRef>
              <c:f>'R. Results'!$G$499:$G$535</c:f>
              <c:numCache>
                <c:formatCode>"$"#,##0_);[Red]\("$"#,##0\)</c:formatCode>
                <c:ptCount val="37"/>
                <c:pt idx="0">
                  <c:v>1100</c:v>
                </c:pt>
                <c:pt idx="1">
                  <c:v>1143.8025</c:v>
                </c:pt>
                <c:pt idx="2">
                  <c:v>1180.9966731617646</c:v>
                </c:pt>
                <c:pt idx="3">
                  <c:v>1207.1560383069771</c:v>
                </c:pt>
                <c:pt idx="4">
                  <c:v>1100.8219358668009</c:v>
                </c:pt>
                <c:pt idx="5">
                  <c:v>994.82422866859588</c:v>
                </c:pt>
                <c:pt idx="6">
                  <c:v>929.00494561737003</c:v>
                </c:pt>
                <c:pt idx="7">
                  <c:v>1278.2751420785116</c:v>
                </c:pt>
                <c:pt idx="8">
                  <c:v>1662.453636317477</c:v>
                </c:pt>
                <c:pt idx="9">
                  <c:v>1850.448407742502</c:v>
                </c:pt>
                <c:pt idx="10">
                  <c:v>2259.8081113839116</c:v>
                </c:pt>
                <c:pt idx="11">
                  <c:v>2838.5791106699558</c:v>
                </c:pt>
                <c:pt idx="12">
                  <c:v>3483.0267272611986</c:v>
                </c:pt>
                <c:pt idx="13">
                  <c:v>3815.8676848759997</c:v>
                </c:pt>
                <c:pt idx="14">
                  <c:v>4161.3560905112163</c:v>
                </c:pt>
                <c:pt idx="15">
                  <c:v>4514.9097710573924</c:v>
                </c:pt>
                <c:pt idx="16">
                  <c:v>3900.2526203075686</c:v>
                </c:pt>
                <c:pt idx="17">
                  <c:v>4210.7356262092089</c:v>
                </c:pt>
                <c:pt idx="18">
                  <c:v>4552.3445193910247</c:v>
                </c:pt>
                <c:pt idx="19">
                  <c:v>4905.5841931410878</c:v>
                </c:pt>
                <c:pt idx="20">
                  <c:v>5212.6108970169953</c:v>
                </c:pt>
                <c:pt idx="21">
                  <c:v>5529.2896399179945</c:v>
                </c:pt>
                <c:pt idx="22">
                  <c:v>5855.8576690854934</c:v>
                </c:pt>
                <c:pt idx="23">
                  <c:v>6192.6437691652955</c:v>
                </c:pt>
                <c:pt idx="24">
                  <c:v>6539.9543712757923</c:v>
                </c:pt>
                <c:pt idx="25">
                  <c:v>6898.1058121480955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'R. Results'!$H$498</c:f>
              <c:strCache>
                <c:ptCount val="1"/>
                <c:pt idx="0">
                  <c:v>S2 long term gains Savings FV</c:v>
                </c:pt>
              </c:strCache>
            </c:strRef>
          </c:tx>
          <c:marker>
            <c:symbol val="none"/>
          </c:marker>
          <c:val>
            <c:numRef>
              <c:f>'R. Results'!$H$499:$H$535</c:f>
              <c:numCache>
                <c:formatCode>"$"#,##0_);[Red]\("$"#,##0\)</c:formatCode>
                <c:ptCount val="37"/>
                <c:pt idx="0">
                  <c:v>1600</c:v>
                </c:pt>
                <c:pt idx="1">
                  <c:v>1664.3050000000001</c:v>
                </c:pt>
                <c:pt idx="2">
                  <c:v>1715.0782263235294</c:v>
                </c:pt>
                <c:pt idx="3">
                  <c:v>1743.3767508918952</c:v>
                </c:pt>
                <c:pt idx="4">
                  <c:v>1530.13767701387</c:v>
                </c:pt>
                <c:pt idx="5">
                  <c:v>1336.8857054930693</c:v>
                </c:pt>
                <c:pt idx="6">
                  <c:v>1209.8651974039965</c:v>
                </c:pt>
                <c:pt idx="7">
                  <c:v>1358.7966617186976</c:v>
                </c:pt>
                <c:pt idx="8">
                  <c:v>1461.9119395743546</c:v>
                </c:pt>
                <c:pt idx="9">
                  <c:v>1849.2485077316542</c:v>
                </c:pt>
                <c:pt idx="10">
                  <c:v>2017.0665338119754</c:v>
                </c:pt>
                <c:pt idx="11">
                  <c:v>2204.0601055655507</c:v>
                </c:pt>
                <c:pt idx="12">
                  <c:v>2572.9525060162055</c:v>
                </c:pt>
                <c:pt idx="13">
                  <c:v>3227.5514753740827</c:v>
                </c:pt>
                <c:pt idx="14">
                  <c:v>3911.2454807114141</c:v>
                </c:pt>
                <c:pt idx="15">
                  <c:v>4591.0884476344581</c:v>
                </c:pt>
                <c:pt idx="16">
                  <c:v>3338.2752692340928</c:v>
                </c:pt>
                <c:pt idx="17">
                  <c:v>3732.4727058686144</c:v>
                </c:pt>
                <c:pt idx="18">
                  <c:v>4165.8799133378288</c:v>
                </c:pt>
                <c:pt idx="19">
                  <c:v>4616.7000222249435</c:v>
                </c:pt>
                <c:pt idx="20">
                  <c:v>4932.1459010440522</c:v>
                </c:pt>
                <c:pt idx="21">
                  <c:v>5297.9263803991662</c:v>
                </c:pt>
                <c:pt idx="22">
                  <c:v>5650.2694453563272</c:v>
                </c:pt>
                <c:pt idx="23">
                  <c:v>6014.7893193647169</c:v>
                </c:pt>
                <c:pt idx="24">
                  <c:v>6392.4449526838007</c:v>
                </c:pt>
                <c:pt idx="25">
                  <c:v>6783.1215861614892</c:v>
                </c:pt>
                <c:pt idx="26">
                  <c:v>10363.289029881578</c:v>
                </c:pt>
                <c:pt idx="27">
                  <c:v>10555.101702650709</c:v>
                </c:pt>
                <c:pt idx="28">
                  <c:v>10747.428499557243</c:v>
                </c:pt>
                <c:pt idx="29">
                  <c:v>10940.246161414727</c:v>
                </c:pt>
                <c:pt idx="30">
                  <c:v>11133.536615814017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'R. Results'!$I$498</c:f>
              <c:strCache>
                <c:ptCount val="1"/>
                <c:pt idx="0">
                  <c:v>S1 tax-free gains in Savings FV</c:v>
                </c:pt>
              </c:strCache>
            </c:strRef>
          </c:tx>
          <c:marker>
            <c:symbol val="none"/>
          </c:marker>
          <c:val>
            <c:numRef>
              <c:f>'R. Results'!$I$499:$I$535</c:f>
              <c:numCache>
                <c:formatCode>"$"#,##0_);[Red]\("$"#,##0\)</c:formatCode>
                <c:ptCount val="37"/>
                <c:pt idx="0">
                  <c:v>715</c:v>
                </c:pt>
                <c:pt idx="1">
                  <c:v>743.47162500000002</c:v>
                </c:pt>
                <c:pt idx="2">
                  <c:v>767.64783755514702</c:v>
                </c:pt>
                <c:pt idx="3">
                  <c:v>784.65142489953507</c:v>
                </c:pt>
                <c:pt idx="4">
                  <c:v>715.53425831342054</c:v>
                </c:pt>
                <c:pt idx="5">
                  <c:v>646.63574863458734</c:v>
                </c:pt>
                <c:pt idx="6">
                  <c:v>603.8532146512905</c:v>
                </c:pt>
                <c:pt idx="7">
                  <c:v>830.87884235103252</c:v>
                </c:pt>
                <c:pt idx="8">
                  <c:v>1080.5948636063599</c:v>
                </c:pt>
                <c:pt idx="9">
                  <c:v>1202.7914650326261</c:v>
                </c:pt>
                <c:pt idx="10">
                  <c:v>1468.8752723995426</c:v>
                </c:pt>
                <c:pt idx="11">
                  <c:v>1845.0764219354712</c:v>
                </c:pt>
                <c:pt idx="12">
                  <c:v>2263.9673727197792</c:v>
                </c:pt>
                <c:pt idx="13">
                  <c:v>2480.3139951693997</c:v>
                </c:pt>
                <c:pt idx="14">
                  <c:v>2704.8814588322903</c:v>
                </c:pt>
                <c:pt idx="15">
                  <c:v>2934.6913511873049</c:v>
                </c:pt>
                <c:pt idx="16">
                  <c:v>2535.1642031999195</c:v>
                </c:pt>
                <c:pt idx="17">
                  <c:v>2736.9781570359855</c:v>
                </c:pt>
                <c:pt idx="18">
                  <c:v>2959.0239376041659</c:v>
                </c:pt>
                <c:pt idx="19">
                  <c:v>3188.6297255417066</c:v>
                </c:pt>
                <c:pt idx="20">
                  <c:v>3388.1970830610467</c:v>
                </c:pt>
                <c:pt idx="21">
                  <c:v>3594.0382659466959</c:v>
                </c:pt>
                <c:pt idx="22">
                  <c:v>3806.3074849055706</c:v>
                </c:pt>
                <c:pt idx="23">
                  <c:v>4025.2184499574414</c:v>
                </c:pt>
                <c:pt idx="24">
                  <c:v>4250.9703413292646</c:v>
                </c:pt>
                <c:pt idx="25">
                  <c:v>4483.7687778962618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'R. Results'!$J$498</c:f>
              <c:strCache>
                <c:ptCount val="1"/>
                <c:pt idx="0">
                  <c:v>S2 tax-free gains in Savings FV</c:v>
                </c:pt>
              </c:strCache>
            </c:strRef>
          </c:tx>
          <c:marker>
            <c:symbol val="none"/>
          </c:marker>
          <c:val>
            <c:numRef>
              <c:f>'R. Results'!$J$499:$J$535</c:f>
              <c:numCache>
                <c:formatCode>"$"#,##0_);[Red]\("$"#,##0\)</c:formatCode>
                <c:ptCount val="37"/>
                <c:pt idx="0">
                  <c:v>200</c:v>
                </c:pt>
                <c:pt idx="1">
                  <c:v>208.03812500000001</c:v>
                </c:pt>
                <c:pt idx="2">
                  <c:v>214.38477829044118</c:v>
                </c:pt>
                <c:pt idx="3">
                  <c:v>217.9220938614869</c:v>
                </c:pt>
                <c:pt idx="4">
                  <c:v>191.26720962673375</c:v>
                </c:pt>
                <c:pt idx="5">
                  <c:v>167.11071318663366</c:v>
                </c:pt>
                <c:pt idx="6">
                  <c:v>151.23314967549956</c:v>
                </c:pt>
                <c:pt idx="7">
                  <c:v>169.8495827148372</c:v>
                </c:pt>
                <c:pt idx="8">
                  <c:v>182.73899244679433</c:v>
                </c:pt>
                <c:pt idx="9">
                  <c:v>231.15606346645677</c:v>
                </c:pt>
                <c:pt idx="10">
                  <c:v>252.13331672649693</c:v>
                </c:pt>
                <c:pt idx="11">
                  <c:v>275.50751319569383</c:v>
                </c:pt>
                <c:pt idx="12">
                  <c:v>321.61906325202568</c:v>
                </c:pt>
                <c:pt idx="13">
                  <c:v>403.44393442176033</c:v>
                </c:pt>
                <c:pt idx="14">
                  <c:v>488.90568508892676</c:v>
                </c:pt>
                <c:pt idx="15">
                  <c:v>573.88605595430727</c:v>
                </c:pt>
                <c:pt idx="16">
                  <c:v>417.2844086542616</c:v>
                </c:pt>
                <c:pt idx="17">
                  <c:v>466.5590882335768</c:v>
                </c:pt>
                <c:pt idx="18">
                  <c:v>520.7349891672286</c:v>
                </c:pt>
                <c:pt idx="19">
                  <c:v>577.08750277811794</c:v>
                </c:pt>
                <c:pt idx="20">
                  <c:v>616.51823763050652</c:v>
                </c:pt>
                <c:pt idx="21">
                  <c:v>662.24079754989577</c:v>
                </c:pt>
                <c:pt idx="22">
                  <c:v>706.2836806695409</c:v>
                </c:pt>
                <c:pt idx="23">
                  <c:v>751.84866492058961</c:v>
                </c:pt>
                <c:pt idx="24">
                  <c:v>799.05561908547509</c:v>
                </c:pt>
                <c:pt idx="25">
                  <c:v>847.89019827018615</c:v>
                </c:pt>
                <c:pt idx="26">
                  <c:v>1295.4111287351973</c:v>
                </c:pt>
                <c:pt idx="27">
                  <c:v>1319.3877128313386</c:v>
                </c:pt>
                <c:pt idx="28">
                  <c:v>1343.4285624446554</c:v>
                </c:pt>
                <c:pt idx="29">
                  <c:v>1367.5307701768409</c:v>
                </c:pt>
                <c:pt idx="30">
                  <c:v>1391.6920769767521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131904"/>
        <c:axId val="203141888"/>
      </c:lineChart>
      <c:catAx>
        <c:axId val="203131904"/>
        <c:scaling>
          <c:orientation val="minMax"/>
        </c:scaling>
        <c:delete val="0"/>
        <c:axPos val="b"/>
        <c:majorTickMark val="out"/>
        <c:minorTickMark val="none"/>
        <c:tickLblPos val="nextTo"/>
        <c:crossAx val="203141888"/>
        <c:crosses val="autoZero"/>
        <c:auto val="1"/>
        <c:lblAlgn val="ctr"/>
        <c:lblOffset val="100"/>
        <c:noMultiLvlLbl val="0"/>
      </c:catAx>
      <c:valAx>
        <c:axId val="203141888"/>
        <c:scaling>
          <c:orientation val="minMax"/>
        </c:scaling>
        <c:delete val="0"/>
        <c:axPos val="l"/>
        <c:majorGridlines/>
        <c:numFmt formatCode="&quot;$&quot;#,##0_);[Red]\(&quot;$&quot;#,##0\)" sourceLinked="1"/>
        <c:majorTickMark val="out"/>
        <c:minorTickMark val="none"/>
        <c:tickLblPos val="nextTo"/>
        <c:crossAx val="203131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6" l="0.70000000000000062" r="0.70000000000000062" t="0.750000000000006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'R. Results'!$K$498</c:f>
              <c:strCache>
                <c:ptCount val="1"/>
                <c:pt idx="0">
                  <c:v>S1 irreg. Contrib -Withdrawn Savings FV</c:v>
                </c:pt>
              </c:strCache>
            </c:strRef>
          </c:tx>
          <c:marker>
            <c:symbol val="none"/>
          </c:marker>
          <c:val>
            <c:numRef>
              <c:f>'R. Results'!$K$499:$K$535</c:f>
              <c:numCache>
                <c:formatCode>"$"#,##0_);[Red]\("$"#,##0\)</c:formatCode>
                <c:ptCount val="37"/>
                <c:pt idx="0">
                  <c:v>-9100</c:v>
                </c:pt>
                <c:pt idx="1">
                  <c:v>-22618.68</c:v>
                </c:pt>
                <c:pt idx="2">
                  <c:v>-19686.8</c:v>
                </c:pt>
                <c:pt idx="3">
                  <c:v>-39081.072</c:v>
                </c:pt>
                <c:pt idx="4">
                  <c:v>-39802.693440000003</c:v>
                </c:pt>
                <c:pt idx="5">
                  <c:v>-20769.373654399998</c:v>
                </c:pt>
                <c:pt idx="6">
                  <c:v>-26649.410804544001</c:v>
                </c:pt>
                <c:pt idx="7">
                  <c:v>-10006.982572660607</c:v>
                </c:pt>
                <c:pt idx="8">
                  <c:v>-6514.978143006796</c:v>
                </c:pt>
                <c:pt idx="9">
                  <c:v>-3000</c:v>
                </c:pt>
                <c:pt idx="10">
                  <c:v>-13970.949779952814</c:v>
                </c:pt>
                <c:pt idx="11">
                  <c:v>-45274.72648541817</c:v>
                </c:pt>
                <c:pt idx="12">
                  <c:v>-15682.417945625453</c:v>
                </c:pt>
                <c:pt idx="13">
                  <c:v>-3000</c:v>
                </c:pt>
                <c:pt idx="14">
                  <c:v>-3000</c:v>
                </c:pt>
                <c:pt idx="15">
                  <c:v>-13766.946706593033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'R. Results'!$L$498</c:f>
              <c:strCache>
                <c:ptCount val="1"/>
                <c:pt idx="0">
                  <c:v>S2 irreg. Contrib -Withdrawn Savings FV</c:v>
                </c:pt>
              </c:strCache>
            </c:strRef>
          </c:tx>
          <c:marker>
            <c:symbol val="none"/>
          </c:marker>
          <c:val>
            <c:numRef>
              <c:f>'R. Results'!$L$499:$L$535</c:f>
              <c:numCache>
                <c:formatCode>"$"#,##0_);[Red]\("$"#,##0\)</c:formatCode>
                <c:ptCount val="37"/>
                <c:pt idx="0">
                  <c:v>-1500</c:v>
                </c:pt>
                <c:pt idx="1">
                  <c:v>-17340</c:v>
                </c:pt>
                <c:pt idx="2">
                  <c:v>-16646.399999999998</c:v>
                </c:pt>
                <c:pt idx="3">
                  <c:v>-36081.072</c:v>
                </c:pt>
                <c:pt idx="4">
                  <c:v>-36802.693440000003</c:v>
                </c:pt>
                <c:pt idx="5">
                  <c:v>-17269.373654399998</c:v>
                </c:pt>
                <c:pt idx="6">
                  <c:v>-21960.167175647999</c:v>
                </c:pt>
                <c:pt idx="7">
                  <c:v>0</c:v>
                </c:pt>
                <c:pt idx="8">
                  <c:v>0</c:v>
                </c:pt>
                <c:pt idx="9">
                  <c:v>-5670.5554117338652</c:v>
                </c:pt>
                <c:pt idx="10">
                  <c:v>-6094.9720999737856</c:v>
                </c:pt>
                <c:pt idx="11">
                  <c:v>-4973.4972335786078</c:v>
                </c:pt>
                <c:pt idx="12">
                  <c:v>-6341.2089728127266</c:v>
                </c:pt>
                <c:pt idx="13">
                  <c:v>0</c:v>
                </c:pt>
                <c:pt idx="14">
                  <c:v>0</c:v>
                </c:pt>
                <c:pt idx="15">
                  <c:v>-8748.1441991068405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-43704.335175833941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'R. Results'!$M$498</c:f>
              <c:strCache>
                <c:ptCount val="1"/>
                <c:pt idx="0">
                  <c:v>S1 Sched. Contrib -Withdrawn Savings FV</c:v>
                </c:pt>
              </c:strCache>
            </c:strRef>
          </c:tx>
          <c:marker>
            <c:symbol val="none"/>
          </c:marker>
          <c:val>
            <c:numRef>
              <c:f>'R. Results'!$M$499:$M$535</c:f>
              <c:numCache>
                <c:formatCode>"$"#,##0_);[Red]\("$"#,##0\)</c:formatCode>
                <c:ptCount val="37"/>
                <c:pt idx="0">
                  <c:v>1000</c:v>
                </c:pt>
                <c:pt idx="1">
                  <c:v>1010</c:v>
                </c:pt>
                <c:pt idx="2">
                  <c:v>1020.1</c:v>
                </c:pt>
                <c:pt idx="3">
                  <c:v>1030.3009999999999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-1278.2751420785116</c:v>
                </c:pt>
                <c:pt idx="8">
                  <c:v>-1662.453636317477</c:v>
                </c:pt>
                <c:pt idx="9">
                  <c:v>-1850.448407742502</c:v>
                </c:pt>
                <c:pt idx="10">
                  <c:v>-2259.8081113839116</c:v>
                </c:pt>
                <c:pt idx="11">
                  <c:v>-2838.5791106699558</c:v>
                </c:pt>
                <c:pt idx="12">
                  <c:v>-3483.0267272611986</c:v>
                </c:pt>
                <c:pt idx="13">
                  <c:v>-3815.8676848759997</c:v>
                </c:pt>
                <c:pt idx="14">
                  <c:v>-4161.3560905112163</c:v>
                </c:pt>
                <c:pt idx="15">
                  <c:v>-4514.9097710573924</c:v>
                </c:pt>
                <c:pt idx="16">
                  <c:v>-3900.2526203075686</c:v>
                </c:pt>
                <c:pt idx="17">
                  <c:v>-4210.7356262092089</c:v>
                </c:pt>
                <c:pt idx="18">
                  <c:v>-4552.3445193910247</c:v>
                </c:pt>
                <c:pt idx="19">
                  <c:v>-4905.5841931410878</c:v>
                </c:pt>
                <c:pt idx="20">
                  <c:v>-5212.6108970169953</c:v>
                </c:pt>
                <c:pt idx="21">
                  <c:v>-5529.2896399179945</c:v>
                </c:pt>
                <c:pt idx="22">
                  <c:v>-5855.8576690854934</c:v>
                </c:pt>
                <c:pt idx="23">
                  <c:v>-6192.6437691652955</c:v>
                </c:pt>
                <c:pt idx="24">
                  <c:v>-6539.9543712757923</c:v>
                </c:pt>
                <c:pt idx="25">
                  <c:v>-6898.1058121480955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'R. Results'!$N$498</c:f>
              <c:strCache>
                <c:ptCount val="1"/>
                <c:pt idx="0">
                  <c:v>S2 Sched. Contrib -Withdrawn Savings FV</c:v>
                </c:pt>
              </c:strCache>
            </c:strRef>
          </c:tx>
          <c:marker>
            <c:symbol val="none"/>
          </c:marker>
          <c:val>
            <c:numRef>
              <c:f>'R. Results'!$N$499:$N$535</c:f>
              <c:numCache>
                <c:formatCode>"$"#,##0_);[Red]\("$"#,##0\)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1200</c:v>
                </c:pt>
                <c:pt idx="4">
                  <c:v>1200</c:v>
                </c:pt>
                <c:pt idx="5">
                  <c:v>531.55714725346536</c:v>
                </c:pt>
                <c:pt idx="6">
                  <c:v>595.06740129800176</c:v>
                </c:pt>
                <c:pt idx="7">
                  <c:v>520.60166914065121</c:v>
                </c:pt>
                <c:pt idx="8">
                  <c:v>469.04403021282269</c:v>
                </c:pt>
                <c:pt idx="9">
                  <c:v>275.37574613417291</c:v>
                </c:pt>
                <c:pt idx="10">
                  <c:v>191.46673309401228</c:v>
                </c:pt>
                <c:pt idx="11">
                  <c:v>97.969947217224671</c:v>
                </c:pt>
                <c:pt idx="12">
                  <c:v>-86.476253008102731</c:v>
                </c:pt>
                <c:pt idx="13">
                  <c:v>-413.77573768704133</c:v>
                </c:pt>
                <c:pt idx="14">
                  <c:v>-1955.622740355707</c:v>
                </c:pt>
                <c:pt idx="15">
                  <c:v>-2295.5442238172291</c:v>
                </c:pt>
                <c:pt idx="16">
                  <c:v>-1669.1376346170464</c:v>
                </c:pt>
                <c:pt idx="17">
                  <c:v>-1866.2363529343072</c:v>
                </c:pt>
                <c:pt idx="18">
                  <c:v>-2082.9399566689144</c:v>
                </c:pt>
                <c:pt idx="19">
                  <c:v>-2308.3500111124717</c:v>
                </c:pt>
                <c:pt idx="20">
                  <c:v>-2466.0729505220261</c:v>
                </c:pt>
                <c:pt idx="21">
                  <c:v>-2648.9631901995831</c:v>
                </c:pt>
                <c:pt idx="22">
                  <c:v>-2825.1347226781636</c:v>
                </c:pt>
                <c:pt idx="23">
                  <c:v>-3007.3946596823585</c:v>
                </c:pt>
                <c:pt idx="24">
                  <c:v>-3196.2224763419003</c:v>
                </c:pt>
                <c:pt idx="25">
                  <c:v>-3391.5607930807446</c:v>
                </c:pt>
                <c:pt idx="26">
                  <c:v>-5181.6445149407891</c:v>
                </c:pt>
                <c:pt idx="27">
                  <c:v>-5277.5508513253544</c:v>
                </c:pt>
                <c:pt idx="28">
                  <c:v>-5373.7142497786217</c:v>
                </c:pt>
                <c:pt idx="29">
                  <c:v>-5470.1230807073634</c:v>
                </c:pt>
                <c:pt idx="30">
                  <c:v>-5566.7683079070084</c:v>
                </c:pt>
                <c:pt idx="31">
                  <c:v>-5663.115680074975</c:v>
                </c:pt>
                <c:pt idx="32">
                  <c:v>-5765.4697695189789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366784"/>
        <c:axId val="207368576"/>
      </c:lineChart>
      <c:catAx>
        <c:axId val="207366784"/>
        <c:scaling>
          <c:orientation val="minMax"/>
        </c:scaling>
        <c:delete val="0"/>
        <c:axPos val="b"/>
        <c:majorTickMark val="out"/>
        <c:minorTickMark val="none"/>
        <c:tickLblPos val="nextTo"/>
        <c:crossAx val="207368576"/>
        <c:crosses val="autoZero"/>
        <c:auto val="1"/>
        <c:lblAlgn val="ctr"/>
        <c:lblOffset val="100"/>
        <c:noMultiLvlLbl val="0"/>
      </c:catAx>
      <c:valAx>
        <c:axId val="207368576"/>
        <c:scaling>
          <c:orientation val="minMax"/>
        </c:scaling>
        <c:delete val="0"/>
        <c:axPos val="l"/>
        <c:majorGridlines/>
        <c:numFmt formatCode="&quot;$&quot;#,##0_);[Red]\(&quot;$&quot;#,##0\)" sourceLinked="1"/>
        <c:majorTickMark val="out"/>
        <c:minorTickMark val="none"/>
        <c:tickLblPos val="nextTo"/>
        <c:crossAx val="207366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6" l="0.70000000000000062" r="0.70000000000000062" t="0.750000000000006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498085884925255E-2"/>
          <c:y val="3.0647334131777212E-2"/>
          <c:w val="0.54439760589168429"/>
          <c:h val="0.84399493752602195"/>
        </c:manualLayout>
      </c:layout>
      <c:lineChart>
        <c:grouping val="standard"/>
        <c:varyColors val="0"/>
        <c:ser>
          <c:idx val="0"/>
          <c:order val="0"/>
          <c:tx>
            <c:strRef>
              <c:f>'R. Results'!$C$626</c:f>
              <c:strCache>
                <c:ptCount val="1"/>
                <c:pt idx="0">
                  <c:v>S1 scheduled IRA (401(k) etc.) contributions FV</c:v>
                </c:pt>
              </c:strCache>
            </c:strRef>
          </c:tx>
          <c:marker>
            <c:symbol val="none"/>
          </c:marker>
          <c:val>
            <c:numRef>
              <c:f>'R. Results'!$C$627:$C$663</c:f>
              <c:numCache>
                <c:formatCode>"$"#,##0</c:formatCode>
                <c:ptCount val="37"/>
                <c:pt idx="0">
                  <c:v>2500</c:v>
                </c:pt>
                <c:pt idx="1">
                  <c:v>2500</c:v>
                </c:pt>
                <c:pt idx="2">
                  <c:v>2500</c:v>
                </c:pt>
                <c:pt idx="3">
                  <c:v>3667.3288000000002</c:v>
                </c:pt>
                <c:pt idx="4">
                  <c:v>2500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'R. Results'!$D$626</c:f>
              <c:strCache>
                <c:ptCount val="1"/>
                <c:pt idx="0">
                  <c:v>S2 scheduled IRA (401(k) etc.) contributions FV</c:v>
                </c:pt>
              </c:strCache>
            </c:strRef>
          </c:tx>
          <c:marker>
            <c:symbol val="none"/>
          </c:marker>
          <c:val>
            <c:numRef>
              <c:f>'R. Results'!$D$627:$D$663</c:f>
              <c:numCache>
                <c:formatCode>"$"#,##0</c:formatCode>
                <c:ptCount val="37"/>
                <c:pt idx="0">
                  <c:v>2500</c:v>
                </c:pt>
                <c:pt idx="1">
                  <c:v>2589.75</c:v>
                </c:pt>
                <c:pt idx="2">
                  <c:v>2682.722025</c:v>
                </c:pt>
                <c:pt idx="3">
                  <c:v>2779.0317456974999</c:v>
                </c:pt>
                <c:pt idx="4">
                  <c:v>3907.10953736804</c:v>
                </c:pt>
                <c:pt idx="5">
                  <c:v>2982.1478689427527</c:v>
                </c:pt>
                <c:pt idx="6">
                  <c:v>3089.2069774377978</c:v>
                </c:pt>
                <c:pt idx="7">
                  <c:v>3200.1095079278148</c:v>
                </c:pt>
                <c:pt idx="8">
                  <c:v>3314.9934392624232</c:v>
                </c:pt>
                <c:pt idx="9">
                  <c:v>3434.0017037319444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'R. Results'!$E$626</c:f>
              <c:strCache>
                <c:ptCount val="1"/>
                <c:pt idx="0">
                  <c:v>S1 scheduled Roth contributions FV</c:v>
                </c:pt>
              </c:strCache>
            </c:strRef>
          </c:tx>
          <c:marker>
            <c:symbol val="none"/>
          </c:marker>
          <c:val>
            <c:numRef>
              <c:f>'R. Results'!$E$627:$E$663</c:f>
              <c:numCache>
                <c:formatCode>"$"#,##0</c:formatCode>
                <c:ptCount val="37"/>
                <c:pt idx="0">
                  <c:v>123</c:v>
                </c:pt>
                <c:pt idx="1">
                  <c:v>1644.845</c:v>
                </c:pt>
                <c:pt idx="2">
                  <c:v>2187.2176749999999</c:v>
                </c:pt>
                <c:pt idx="3">
                  <c:v>1158.9194401249999</c:v>
                </c:pt>
                <c:pt idx="4">
                  <c:v>1171.151726726875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'R. Results'!$F$626</c:f>
              <c:strCache>
                <c:ptCount val="1"/>
                <c:pt idx="0">
                  <c:v>S2 scheduled Roth contributions FV</c:v>
                </c:pt>
              </c:strCache>
            </c:strRef>
          </c:tx>
          <c:marker>
            <c:symbol val="none"/>
          </c:marker>
          <c:val>
            <c:numRef>
              <c:f>'R. Results'!$F$627:$F$663</c:f>
              <c:numCache>
                <c:formatCode>"$"#,##0</c:formatCode>
                <c:ptCount val="37"/>
                <c:pt idx="0">
                  <c:v>0</c:v>
                </c:pt>
                <c:pt idx="1">
                  <c:v>2009.9999999999998</c:v>
                </c:pt>
                <c:pt idx="2">
                  <c:v>2020.0499999999995</c:v>
                </c:pt>
                <c:pt idx="3">
                  <c:v>3303.5998499999992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'R. Results'!$G$626</c:f>
              <c:strCache>
                <c:ptCount val="1"/>
                <c:pt idx="0">
                  <c:v>S1 scheduled Savings Contributions FV</c:v>
                </c:pt>
              </c:strCache>
            </c:strRef>
          </c:tx>
          <c:marker>
            <c:symbol val="none"/>
          </c:marker>
          <c:val>
            <c:numRef>
              <c:f>'R. Results'!$G$627:$G$663</c:f>
              <c:numCache>
                <c:formatCode>"$"#,##0</c:formatCode>
                <c:ptCount val="37"/>
                <c:pt idx="0">
                  <c:v>1000</c:v>
                </c:pt>
                <c:pt idx="1">
                  <c:v>990.09900990099004</c:v>
                </c:pt>
                <c:pt idx="2">
                  <c:v>980.29604940692082</c:v>
                </c:pt>
                <c:pt idx="3">
                  <c:v>970.59014792764458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'R. Results'!$H$626</c:f>
              <c:strCache>
                <c:ptCount val="1"/>
                <c:pt idx="0">
                  <c:v>S2 scheduled Savings Contributions FV</c:v>
                </c:pt>
              </c:strCache>
            </c:strRef>
          </c:tx>
          <c:marker>
            <c:symbol val="none"/>
          </c:marker>
          <c:val>
            <c:numRef>
              <c:f>'R. Results'!$H$627:$H$663</c:f>
              <c:numCache>
                <c:formatCode>"$"#,##0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1200</c:v>
                </c:pt>
                <c:pt idx="4">
                  <c:v>1200</c:v>
                </c:pt>
                <c:pt idx="5">
                  <c:v>1200</c:v>
                </c:pt>
                <c:pt idx="6">
                  <c:v>1200</c:v>
                </c:pt>
                <c:pt idx="7">
                  <c:v>1200</c:v>
                </c:pt>
                <c:pt idx="8">
                  <c:v>1200</c:v>
                </c:pt>
                <c:pt idx="9">
                  <c:v>1200</c:v>
                </c:pt>
                <c:pt idx="10">
                  <c:v>1200</c:v>
                </c:pt>
                <c:pt idx="11">
                  <c:v>1200</c:v>
                </c:pt>
                <c:pt idx="12">
                  <c:v>1200</c:v>
                </c:pt>
                <c:pt idx="13">
                  <c:v>1200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'R. Results'!$I$626</c:f>
              <c:strCache>
                <c:ptCount val="1"/>
                <c:pt idx="0">
                  <c:v>Total S1 investment contributions FV</c:v>
                </c:pt>
              </c:strCache>
            </c:strRef>
          </c:tx>
          <c:marker>
            <c:symbol val="none"/>
          </c:marker>
          <c:val>
            <c:numRef>
              <c:f>'R. Results'!$I$627:$I$663</c:f>
              <c:numCache>
                <c:formatCode>"$"#,##0</c:formatCode>
                <c:ptCount val="37"/>
                <c:pt idx="0">
                  <c:v>3623</c:v>
                </c:pt>
                <c:pt idx="1">
                  <c:v>5134.9440099009898</c:v>
                </c:pt>
                <c:pt idx="2">
                  <c:v>5667.513724406921</c:v>
                </c:pt>
                <c:pt idx="3">
                  <c:v>5796.8383880526444</c:v>
                </c:pt>
                <c:pt idx="4">
                  <c:v>3671.151726726875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'R. Results'!$J$626</c:f>
              <c:strCache>
                <c:ptCount val="1"/>
                <c:pt idx="0">
                  <c:v>Total S2 investment contributions FV</c:v>
                </c:pt>
              </c:strCache>
            </c:strRef>
          </c:tx>
          <c:marker>
            <c:symbol val="none"/>
          </c:marker>
          <c:val>
            <c:numRef>
              <c:f>'R. Results'!$J$627:$J$663</c:f>
              <c:numCache>
                <c:formatCode>"$"#,##0</c:formatCode>
                <c:ptCount val="37"/>
                <c:pt idx="0">
                  <c:v>2500</c:v>
                </c:pt>
                <c:pt idx="1">
                  <c:v>4599.75</c:v>
                </c:pt>
                <c:pt idx="2">
                  <c:v>4702.7720249999993</c:v>
                </c:pt>
                <c:pt idx="3">
                  <c:v>7282.6315956974995</c:v>
                </c:pt>
                <c:pt idx="4">
                  <c:v>5107.10953736804</c:v>
                </c:pt>
                <c:pt idx="5">
                  <c:v>4182.1478689427531</c:v>
                </c:pt>
                <c:pt idx="6">
                  <c:v>4289.2069774377978</c:v>
                </c:pt>
                <c:pt idx="7">
                  <c:v>4400.1095079278148</c:v>
                </c:pt>
                <c:pt idx="8">
                  <c:v>4514.9934392624236</c:v>
                </c:pt>
                <c:pt idx="9">
                  <c:v>4634.0017037319449</c:v>
                </c:pt>
                <c:pt idx="10">
                  <c:v>1200</c:v>
                </c:pt>
                <c:pt idx="11">
                  <c:v>1200</c:v>
                </c:pt>
                <c:pt idx="12">
                  <c:v>1200</c:v>
                </c:pt>
                <c:pt idx="13">
                  <c:v>1200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'R. Results'!$K$626</c:f>
              <c:strCache>
                <c:ptCount val="1"/>
                <c:pt idx="0">
                  <c:v>Total S1+S2 for all investment contributions FV</c:v>
                </c:pt>
              </c:strCache>
            </c:strRef>
          </c:tx>
          <c:marker>
            <c:symbol val="none"/>
          </c:marker>
          <c:val>
            <c:numRef>
              <c:f>'R. Results'!$K$627:$K$663</c:f>
              <c:numCache>
                <c:formatCode>"$"#,##0</c:formatCode>
                <c:ptCount val="37"/>
                <c:pt idx="0">
                  <c:v>6123</c:v>
                </c:pt>
                <c:pt idx="1">
                  <c:v>9734.6940099009898</c:v>
                </c:pt>
                <c:pt idx="2">
                  <c:v>10370.285749406921</c:v>
                </c:pt>
                <c:pt idx="3">
                  <c:v>13079.469983750143</c:v>
                </c:pt>
                <c:pt idx="4">
                  <c:v>8778.2612640949155</c:v>
                </c:pt>
                <c:pt idx="5">
                  <c:v>4182.1478689427531</c:v>
                </c:pt>
                <c:pt idx="6">
                  <c:v>4289.2069774377978</c:v>
                </c:pt>
                <c:pt idx="7">
                  <c:v>4400.1095079278148</c:v>
                </c:pt>
                <c:pt idx="8">
                  <c:v>4514.9934392624236</c:v>
                </c:pt>
                <c:pt idx="9">
                  <c:v>4634.0017037319449</c:v>
                </c:pt>
                <c:pt idx="10">
                  <c:v>1200</c:v>
                </c:pt>
                <c:pt idx="11">
                  <c:v>1200</c:v>
                </c:pt>
                <c:pt idx="12">
                  <c:v>1200</c:v>
                </c:pt>
                <c:pt idx="13">
                  <c:v>1200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444224"/>
        <c:axId val="207470592"/>
      </c:lineChart>
      <c:catAx>
        <c:axId val="207444224"/>
        <c:scaling>
          <c:orientation val="minMax"/>
        </c:scaling>
        <c:delete val="0"/>
        <c:axPos val="b"/>
        <c:majorTickMark val="out"/>
        <c:minorTickMark val="none"/>
        <c:tickLblPos val="nextTo"/>
        <c:crossAx val="207470592"/>
        <c:crosses val="autoZero"/>
        <c:auto val="1"/>
        <c:lblAlgn val="ctr"/>
        <c:lblOffset val="100"/>
        <c:noMultiLvlLbl val="0"/>
      </c:catAx>
      <c:valAx>
        <c:axId val="207470592"/>
        <c:scaling>
          <c:orientation val="minMax"/>
        </c:scaling>
        <c:delete val="0"/>
        <c:axPos val="l"/>
        <c:majorGridlines/>
        <c:numFmt formatCode="&quot;$&quot;#,##0" sourceLinked="1"/>
        <c:majorTickMark val="out"/>
        <c:minorTickMark val="none"/>
        <c:tickLblPos val="nextTo"/>
        <c:crossAx val="207444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6" l="0.70000000000000062" r="0.70000000000000062" t="0.750000000000006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'R. Results'!$L$626</c:f>
              <c:strCache>
                <c:ptCount val="1"/>
                <c:pt idx="0">
                  <c:v>S1 contribution rate for all investment accounts FV</c:v>
                </c:pt>
              </c:strCache>
            </c:strRef>
          </c:tx>
          <c:marker>
            <c:symbol val="none"/>
          </c:marker>
          <c:val>
            <c:numRef>
              <c:f>'R. Results'!$L$627:$L$663</c:f>
              <c:numCache>
                <c:formatCode>0.00%</c:formatCode>
                <c:ptCount val="37"/>
                <c:pt idx="0">
                  <c:v>6.5397111913357399E-3</c:v>
                </c:pt>
                <c:pt idx="1">
                  <c:v>9.1324011786434577E-3</c:v>
                </c:pt>
                <c:pt idx="2">
                  <c:v>9.9117513746774417E-3</c:v>
                </c:pt>
                <c:pt idx="3">
                  <c:v>9.8997002825187037E-3</c:v>
                </c:pt>
                <c:pt idx="4">
                  <c:v>6.3876554924501335E-3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'R. Results'!$M$626</c:f>
              <c:strCache>
                <c:ptCount val="1"/>
                <c:pt idx="0">
                  <c:v>S2 contribution rate for all investment accounts FV</c:v>
                </c:pt>
              </c:strCache>
            </c:strRef>
          </c:tx>
          <c:marker>
            <c:symbol val="none"/>
          </c:marker>
          <c:val>
            <c:numRef>
              <c:f>'R. Results'!$M$627:$M$663</c:f>
              <c:numCache>
                <c:formatCode>0.00%</c:formatCode>
                <c:ptCount val="37"/>
                <c:pt idx="0">
                  <c:v>4.5126353790613718E-3</c:v>
                </c:pt>
                <c:pt idx="1">
                  <c:v>8.3441800894574324E-3</c:v>
                </c:pt>
                <c:pt idx="2">
                  <c:v>8.5568139413443045E-3</c:v>
                </c:pt>
                <c:pt idx="3">
                  <c:v>1.319835209448912E-2</c:v>
                </c:pt>
                <c:pt idx="4">
                  <c:v>9.618669685067029E-3</c:v>
                </c:pt>
                <c:pt idx="5">
                  <c:v>8.2904156762937369E-3</c:v>
                </c:pt>
                <c:pt idx="6">
                  <c:v>8.7944465643585573E-3</c:v>
                </c:pt>
                <c:pt idx="7">
                  <c:v>8.4488563019367979E-3</c:v>
                </c:pt>
                <c:pt idx="8">
                  <c:v>8.1709335228318161E-3</c:v>
                </c:pt>
                <c:pt idx="9">
                  <c:v>8.0235989123045148E-3</c:v>
                </c:pt>
                <c:pt idx="10">
                  <c:v>1.9668989957222671E-3</c:v>
                </c:pt>
                <c:pt idx="11">
                  <c:v>1.8264038917702541E-3</c:v>
                </c:pt>
                <c:pt idx="12">
                  <c:v>1.6903381060942486E-3</c:v>
                </c:pt>
                <c:pt idx="13">
                  <c:v>1.6190579417739101E-3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'R. Results'!$N$626</c:f>
              <c:strCache>
                <c:ptCount val="1"/>
                <c:pt idx="0">
                  <c:v>S1+S2  contribution rate for all investment accounts FV</c:v>
                </c:pt>
              </c:strCache>
            </c:strRef>
          </c:tx>
          <c:marker>
            <c:symbol val="none"/>
          </c:marker>
          <c:val>
            <c:numRef>
              <c:f>'R. Results'!$N$627:$N$663</c:f>
              <c:numCache>
                <c:formatCode>0.00%</c:formatCode>
                <c:ptCount val="37"/>
                <c:pt idx="0">
                  <c:v>5.5261732851985563E-3</c:v>
                </c:pt>
                <c:pt idx="1">
                  <c:v>8.7421927186503764E-3</c:v>
                </c:pt>
                <c:pt idx="2">
                  <c:v>9.2476965651630653E-3</c:v>
                </c:pt>
                <c:pt idx="3">
                  <c:v>1.1500049112898954E-2</c:v>
                </c:pt>
                <c:pt idx="4">
                  <c:v>7.9392134517821174E-3</c:v>
                </c:pt>
                <c:pt idx="5">
                  <c:v>3.9401603130855166E-3</c:v>
                </c:pt>
                <c:pt idx="6">
                  <c:v>4.1363004466059916E-3</c:v>
                </c:pt>
                <c:pt idx="7">
                  <c:v>3.9321043692631293E-3</c:v>
                </c:pt>
                <c:pt idx="8">
                  <c:v>3.7625299779106068E-3</c:v>
                </c:pt>
                <c:pt idx="9">
                  <c:v>3.655243986972406E-3</c:v>
                </c:pt>
                <c:pt idx="10">
                  <c:v>8.8639204226881947E-4</c:v>
                </c:pt>
                <c:pt idx="11">
                  <c:v>8.1413248111824015E-4</c:v>
                </c:pt>
                <c:pt idx="12">
                  <c:v>7.4521953970971961E-4</c:v>
                </c:pt>
                <c:pt idx="13">
                  <c:v>7.0590044529718473E-4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500416"/>
        <c:axId val="207501952"/>
      </c:lineChart>
      <c:catAx>
        <c:axId val="207500416"/>
        <c:scaling>
          <c:orientation val="minMax"/>
        </c:scaling>
        <c:delete val="0"/>
        <c:axPos val="b"/>
        <c:majorTickMark val="out"/>
        <c:minorTickMark val="none"/>
        <c:tickLblPos val="nextTo"/>
        <c:crossAx val="207501952"/>
        <c:crosses val="autoZero"/>
        <c:auto val="1"/>
        <c:lblAlgn val="ctr"/>
        <c:lblOffset val="100"/>
        <c:noMultiLvlLbl val="0"/>
      </c:catAx>
      <c:valAx>
        <c:axId val="207501952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207500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6" l="0.70000000000000062" r="0.70000000000000062" t="0.750000000000006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'R. Results'!$C$847</c:f>
              <c:strCache>
                <c:ptCount val="1"/>
                <c:pt idx="0">
                  <c:v>Excess adjusted Cash S1 unrebalanced (I+W-E-T) if &gt; 0 FV</c:v>
                </c:pt>
              </c:strCache>
            </c:strRef>
          </c:tx>
          <c:marker>
            <c:symbol val="none"/>
          </c:marker>
          <c:val>
            <c:numRef>
              <c:f>'R. Results'!$C$848:$C$884</c:f>
              <c:numCache>
                <c:formatCode>"$"#,##0_);[Red]\("$"#,##0\)</c:formatCode>
                <c:ptCount val="37"/>
                <c:pt idx="0">
                  <c:v>1015.25</c:v>
                </c:pt>
                <c:pt idx="1">
                  <c:v>250.24194117646402</c:v>
                </c:pt>
                <c:pt idx="2">
                  <c:v>-943.30633277655579</c:v>
                </c:pt>
                <c:pt idx="3">
                  <c:v>-14259.096726377626</c:v>
                </c:pt>
                <c:pt idx="4">
                  <c:v>-12966.53788193412</c:v>
                </c:pt>
                <c:pt idx="5">
                  <c:v>-8720.8003967600598</c:v>
                </c:pt>
                <c:pt idx="6">
                  <c:v>32929.659013036828</c:v>
                </c:pt>
                <c:pt idx="7">
                  <c:v>36947.833010506234</c:v>
                </c:pt>
                <c:pt idx="8">
                  <c:v>16887.655460737413</c:v>
                </c:pt>
                <c:pt idx="9">
                  <c:v>38807.954695237131</c:v>
                </c:pt>
                <c:pt idx="10">
                  <c:v>55278.320600512903</c:v>
                </c:pt>
                <c:pt idx="11">
                  <c:v>61180.395681853865</c:v>
                </c:pt>
                <c:pt idx="12">
                  <c:v>29278.615025129708</c:v>
                </c:pt>
                <c:pt idx="13">
                  <c:v>30160.592725914274</c:v>
                </c:pt>
                <c:pt idx="14">
                  <c:v>30569.808550529691</c:v>
                </c:pt>
                <c:pt idx="15">
                  <c:v>-66657.861311698391</c:v>
                </c:pt>
                <c:pt idx="16">
                  <c:v>26563.0100768103</c:v>
                </c:pt>
                <c:pt idx="17">
                  <c:v>29318.543348040937</c:v>
                </c:pt>
                <c:pt idx="18">
                  <c:v>30088.771177706611</c:v>
                </c:pt>
                <c:pt idx="19">
                  <c:v>25061.248565478552</c:v>
                </c:pt>
                <c:pt idx="20">
                  <c:v>25673.371758530306</c:v>
                </c:pt>
                <c:pt idx="21">
                  <c:v>26298.119830844396</c:v>
                </c:pt>
                <c:pt idx="22">
                  <c:v>26944.373688531825</c:v>
                </c:pt>
                <c:pt idx="23">
                  <c:v>27609.519876509672</c:v>
                </c:pt>
                <c:pt idx="24">
                  <c:v>28294.196560263161</c:v>
                </c:pt>
                <c:pt idx="25">
                  <c:v>-9955.3651940818763</c:v>
                </c:pt>
                <c:pt idx="26">
                  <c:v>522.75573731017903</c:v>
                </c:pt>
                <c:pt idx="27">
                  <c:v>380.62585550750009</c:v>
                </c:pt>
                <c:pt idx="28">
                  <c:v>236.88315576177047</c:v>
                </c:pt>
                <c:pt idx="29">
                  <c:v>91.807328726621563</c:v>
                </c:pt>
                <c:pt idx="30">
                  <c:v>-107.10732204062879</c:v>
                </c:pt>
                <c:pt idx="31">
                  <c:v>324.95650426923385</c:v>
                </c:pt>
                <c:pt idx="32">
                  <c:v>-22820.88968147559</c:v>
                </c:pt>
                <c:pt idx="33">
                  <c:v>7186.4759177368023</c:v>
                </c:pt>
                <c:pt idx="34">
                  <c:v>6973.9585072104564</c:v>
                </c:pt>
                <c:pt idx="35">
                  <c:v>6770.4461114809947</c:v>
                </c:pt>
                <c:pt idx="36">
                  <c:v>6575.4849755262785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'R. Results'!$D$847</c:f>
              <c:strCache>
                <c:ptCount val="1"/>
                <c:pt idx="0">
                  <c:v>Excess adjusted Cash S2 unrebalanced (I+W-E-T) if &gt; 0 FV</c:v>
                </c:pt>
              </c:strCache>
            </c:strRef>
          </c:tx>
          <c:marker>
            <c:symbol val="none"/>
          </c:marker>
          <c:val>
            <c:numRef>
              <c:f>'R. Results'!$D$848:$D$884</c:f>
              <c:numCache>
                <c:formatCode>"$"#,##0_);[Red]\("$"#,##0\)</c:formatCode>
                <c:ptCount val="37"/>
                <c:pt idx="0">
                  <c:v>1015.25</c:v>
                </c:pt>
                <c:pt idx="1">
                  <c:v>250.24194117646402</c:v>
                </c:pt>
                <c:pt idx="2">
                  <c:v>-943.30633277655579</c:v>
                </c:pt>
                <c:pt idx="3">
                  <c:v>-14259.096726377626</c:v>
                </c:pt>
                <c:pt idx="4">
                  <c:v>-12966.53788193412</c:v>
                </c:pt>
                <c:pt idx="5">
                  <c:v>-8720.8003967600598</c:v>
                </c:pt>
                <c:pt idx="6">
                  <c:v>5187.9411680065514</c:v>
                </c:pt>
                <c:pt idx="7">
                  <c:v>2766.8168137789908</c:v>
                </c:pt>
                <c:pt idx="8">
                  <c:v>16887.655460737413</c:v>
                </c:pt>
                <c:pt idx="9">
                  <c:v>5572.8088597508649</c:v>
                </c:pt>
                <c:pt idx="10">
                  <c:v>6384.7453705932821</c:v>
                </c:pt>
                <c:pt idx="11">
                  <c:v>15316.067430162868</c:v>
                </c:pt>
                <c:pt idx="12">
                  <c:v>29278.615025129708</c:v>
                </c:pt>
                <c:pt idx="13">
                  <c:v>30160.592725914274</c:v>
                </c:pt>
                <c:pt idx="14">
                  <c:v>30569.808550529691</c:v>
                </c:pt>
                <c:pt idx="15">
                  <c:v>-66657.861311698391</c:v>
                </c:pt>
                <c:pt idx="16">
                  <c:v>16788.880971146267</c:v>
                </c:pt>
                <c:pt idx="17">
                  <c:v>18404.446755825655</c:v>
                </c:pt>
                <c:pt idx="18">
                  <c:v>18895.860520185142</c:v>
                </c:pt>
                <c:pt idx="19">
                  <c:v>11732.681421508587</c:v>
                </c:pt>
                <c:pt idx="20">
                  <c:v>13973.396304342215</c:v>
                </c:pt>
                <c:pt idx="21">
                  <c:v>12981.467665008819</c:v>
                </c:pt>
                <c:pt idx="22">
                  <c:v>13282.007935732738</c:v>
                </c:pt>
                <c:pt idx="23">
                  <c:v>13619.841011509998</c:v>
                </c:pt>
                <c:pt idx="24">
                  <c:v>13940.442340286048</c:v>
                </c:pt>
                <c:pt idx="25">
                  <c:v>-9955.3651940818763</c:v>
                </c:pt>
                <c:pt idx="26">
                  <c:v>522.75573731017903</c:v>
                </c:pt>
                <c:pt idx="27">
                  <c:v>380.62585550750009</c:v>
                </c:pt>
                <c:pt idx="28">
                  <c:v>236.88315576177047</c:v>
                </c:pt>
                <c:pt idx="29">
                  <c:v>91.807328726621563</c:v>
                </c:pt>
                <c:pt idx="30">
                  <c:v>-107.10732204062879</c:v>
                </c:pt>
                <c:pt idx="31">
                  <c:v>324.95650426923385</c:v>
                </c:pt>
                <c:pt idx="32">
                  <c:v>-22820.88968147559</c:v>
                </c:pt>
                <c:pt idx="33">
                  <c:v>5595.6340615188674</c:v>
                </c:pt>
                <c:pt idx="34">
                  <c:v>5582.9436540600273</c:v>
                </c:pt>
                <c:pt idx="35">
                  <c:v>5523.7520153346486</c:v>
                </c:pt>
                <c:pt idx="36">
                  <c:v>5466.8637632659484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'R. Results'!$E$847</c:f>
              <c:strCache>
                <c:ptCount val="1"/>
                <c:pt idx="0">
                  <c:v>Total S1 Savings gains (DIV + STCG + LTCG) FV</c:v>
                </c:pt>
              </c:strCache>
            </c:strRef>
          </c:tx>
          <c:marker>
            <c:symbol val="none"/>
          </c:marker>
          <c:val>
            <c:numRef>
              <c:f>'R. Results'!$E$848:$E$884</c:f>
              <c:numCache>
                <c:formatCode>"$"#,##0</c:formatCode>
                <c:ptCount val="37"/>
                <c:pt idx="0">
                  <c:v>2365</c:v>
                </c:pt>
                <c:pt idx="1">
                  <c:v>2459.1753750000003</c:v>
                </c:pt>
                <c:pt idx="2">
                  <c:v>2539.1428472977941</c:v>
                </c:pt>
                <c:pt idx="3">
                  <c:v>2595.3854823600004</c:v>
                </c:pt>
                <c:pt idx="4">
                  <c:v>2366.7671621136219</c:v>
                </c:pt>
                <c:pt idx="5">
                  <c:v>2138.8720916374814</c:v>
                </c:pt>
                <c:pt idx="6">
                  <c:v>1997.3606330773455</c:v>
                </c:pt>
                <c:pt idx="7">
                  <c:v>2748.2915554687997</c:v>
                </c:pt>
                <c:pt idx="8">
                  <c:v>3574.2753180825753</c:v>
                </c:pt>
                <c:pt idx="9">
                  <c:v>3978.464076646379</c:v>
                </c:pt>
                <c:pt idx="10">
                  <c:v>4858.5874394754101</c:v>
                </c:pt>
                <c:pt idx="11">
                  <c:v>6102.9450879404048</c:v>
                </c:pt>
                <c:pt idx="12">
                  <c:v>7488.5074636115769</c:v>
                </c:pt>
                <c:pt idx="13">
                  <c:v>8204.1155224833983</c:v>
                </c:pt>
                <c:pt idx="14">
                  <c:v>8946.9155945991151</c:v>
                </c:pt>
                <c:pt idx="15">
                  <c:v>9707.0560077733935</c:v>
                </c:pt>
                <c:pt idx="16">
                  <c:v>8385.5431336612728</c:v>
                </c:pt>
                <c:pt idx="17">
                  <c:v>9053.0815963497989</c:v>
                </c:pt>
                <c:pt idx="18">
                  <c:v>9787.5407166907025</c:v>
                </c:pt>
                <c:pt idx="19">
                  <c:v>10547.006015253339</c:v>
                </c:pt>
                <c:pt idx="20">
                  <c:v>11207.113428586539</c:v>
                </c:pt>
                <c:pt idx="21">
                  <c:v>11887.972725823687</c:v>
                </c:pt>
                <c:pt idx="22">
                  <c:v>12590.09398853381</c:v>
                </c:pt>
                <c:pt idx="23">
                  <c:v>13314.184103705384</c:v>
                </c:pt>
                <c:pt idx="24">
                  <c:v>14060.901898242953</c:v>
                </c:pt>
                <c:pt idx="25">
                  <c:v>14830.927496118406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'R. Results'!$F$847</c:f>
              <c:strCache>
                <c:ptCount val="1"/>
                <c:pt idx="0">
                  <c:v>Total S2 Savings gains (DIV + STCG + LTCG) FV</c:v>
                </c:pt>
              </c:strCache>
            </c:strRef>
          </c:tx>
          <c:marker>
            <c:symbol val="none"/>
          </c:marker>
          <c:val>
            <c:numRef>
              <c:f>'R. Results'!$F$848:$F$884</c:f>
              <c:numCache>
                <c:formatCode>"$"#,##0</c:formatCode>
                <c:ptCount val="37"/>
                <c:pt idx="0">
                  <c:v>2200</c:v>
                </c:pt>
                <c:pt idx="1">
                  <c:v>2288.4193749999999</c:v>
                </c:pt>
                <c:pt idx="2">
                  <c:v>2358.2325611948531</c:v>
                </c:pt>
                <c:pt idx="3">
                  <c:v>2397.1430324763555</c:v>
                </c:pt>
                <c:pt idx="4">
                  <c:v>2103.9393058940714</c:v>
                </c:pt>
                <c:pt idx="5">
                  <c:v>1838.2178450529702</c:v>
                </c:pt>
                <c:pt idx="6">
                  <c:v>1663.5646464304953</c:v>
                </c:pt>
                <c:pt idx="7">
                  <c:v>1868.3454098632092</c:v>
                </c:pt>
                <c:pt idx="8">
                  <c:v>2010.1289169147376</c:v>
                </c:pt>
                <c:pt idx="9">
                  <c:v>2542.7166981310247</c:v>
                </c:pt>
                <c:pt idx="10">
                  <c:v>2773.4664839914662</c:v>
                </c:pt>
                <c:pt idx="11">
                  <c:v>3030.5826451526318</c:v>
                </c:pt>
                <c:pt idx="12">
                  <c:v>3537.8096957722823</c:v>
                </c:pt>
                <c:pt idx="13">
                  <c:v>4437.8832786393632</c:v>
                </c:pt>
                <c:pt idx="14">
                  <c:v>5377.962535978194</c:v>
                </c:pt>
                <c:pt idx="15">
                  <c:v>6312.7466154973799</c:v>
                </c:pt>
                <c:pt idx="16">
                  <c:v>4590.1284951968782</c:v>
                </c:pt>
                <c:pt idx="17">
                  <c:v>5132.1499705693441</c:v>
                </c:pt>
                <c:pt idx="18">
                  <c:v>5728.084880839514</c:v>
                </c:pt>
                <c:pt idx="19">
                  <c:v>6347.9625305592972</c:v>
                </c:pt>
                <c:pt idx="20">
                  <c:v>6781.7006139355717</c:v>
                </c:pt>
                <c:pt idx="21">
                  <c:v>7284.6487730488534</c:v>
                </c:pt>
                <c:pt idx="22">
                  <c:v>7769.1204873649494</c:v>
                </c:pt>
                <c:pt idx="23">
                  <c:v>8270.3353141264852</c:v>
                </c:pt>
                <c:pt idx="24">
                  <c:v>8789.6118099402265</c:v>
                </c:pt>
                <c:pt idx="25">
                  <c:v>9326.7921809720483</c:v>
                </c:pt>
                <c:pt idx="26">
                  <c:v>14249.522416087169</c:v>
                </c:pt>
                <c:pt idx="27">
                  <c:v>14513.264841144724</c:v>
                </c:pt>
                <c:pt idx="28">
                  <c:v>14777.714186891209</c:v>
                </c:pt>
                <c:pt idx="29">
                  <c:v>15042.83847194525</c:v>
                </c:pt>
                <c:pt idx="30">
                  <c:v>15308.612846744272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'R. Results'!$G$847</c:f>
              <c:strCache>
                <c:ptCount val="1"/>
                <c:pt idx="0">
                  <c:v>Total S1 Withdrawals (IRA + Roth + Savings) FV</c:v>
                </c:pt>
              </c:strCache>
            </c:strRef>
          </c:tx>
          <c:marker>
            <c:symbol val="none"/>
          </c:marker>
          <c:val>
            <c:numRef>
              <c:f>'R. Results'!$G$848:$G$884</c:f>
              <c:numCache>
                <c:formatCode>"$"#,##0</c:formatCode>
                <c:ptCount val="37"/>
                <c:pt idx="0">
                  <c:v>-7477</c:v>
                </c:pt>
                <c:pt idx="1">
                  <c:v>-17463.834999999999</c:v>
                </c:pt>
                <c:pt idx="2">
                  <c:v>-13979.482324999999</c:v>
                </c:pt>
                <c:pt idx="3">
                  <c:v>-33224.522759874999</c:v>
                </c:pt>
                <c:pt idx="4">
                  <c:v>-36131.541713273131</c:v>
                </c:pt>
                <c:pt idx="5">
                  <c:v>-21126.373654399998</c:v>
                </c:pt>
                <c:pt idx="6">
                  <c:v>-27006.410804544001</c:v>
                </c:pt>
                <c:pt idx="7">
                  <c:v>-11642.257714739118</c:v>
                </c:pt>
                <c:pt idx="8">
                  <c:v>-8534.4317793242735</c:v>
                </c:pt>
                <c:pt idx="9">
                  <c:v>-5207.4484077425022</c:v>
                </c:pt>
                <c:pt idx="10">
                  <c:v>-26300.729236543801</c:v>
                </c:pt>
                <c:pt idx="11">
                  <c:v>-61737.669422212515</c:v>
                </c:pt>
                <c:pt idx="12">
                  <c:v>-30047.023454974016</c:v>
                </c:pt>
                <c:pt idx="13">
                  <c:v>-18155.184987989913</c:v>
                </c:pt>
                <c:pt idx="14">
                  <c:v>-18670.297114547724</c:v>
                </c:pt>
                <c:pt idx="15">
                  <c:v>-36993.436456554991</c:v>
                </c:pt>
                <c:pt idx="16">
                  <c:v>-12969.043238530909</c:v>
                </c:pt>
                <c:pt idx="17">
                  <c:v>-13269.290518540356</c:v>
                </c:pt>
                <c:pt idx="18">
                  <c:v>-13642.80940596871</c:v>
                </c:pt>
                <c:pt idx="19">
                  <c:v>-13987.301473603977</c:v>
                </c:pt>
                <c:pt idx="20">
                  <c:v>-14286.925034827909</c:v>
                </c:pt>
                <c:pt idx="21">
                  <c:v>-14597.501510099442</c:v>
                </c:pt>
                <c:pt idx="22">
                  <c:v>-14919.46703469589</c:v>
                </c:pt>
                <c:pt idx="23">
                  <c:v>-15253.379672800564</c:v>
                </c:pt>
                <c:pt idx="24">
                  <c:v>-15599.828547006957</c:v>
                </c:pt>
                <c:pt idx="25">
                  <c:v>-15904.395488399303</c:v>
                </c:pt>
                <c:pt idx="26">
                  <c:v>-8012.9115212661554</c:v>
                </c:pt>
                <c:pt idx="27">
                  <c:v>-7928.5956003302645</c:v>
                </c:pt>
                <c:pt idx="28">
                  <c:v>-7844.9871621691073</c:v>
                </c:pt>
                <c:pt idx="29">
                  <c:v>-7762.5267896215491</c:v>
                </c:pt>
                <c:pt idx="30">
                  <c:v>-7614.4115739642548</c:v>
                </c:pt>
                <c:pt idx="31">
                  <c:v>-7468.9948306327587</c:v>
                </c:pt>
                <c:pt idx="32">
                  <c:v>-7326.0319929640982</c:v>
                </c:pt>
                <c:pt idx="33">
                  <c:v>-7186.4759177368023</c:v>
                </c:pt>
                <c:pt idx="34">
                  <c:v>-6973.9585072104564</c:v>
                </c:pt>
                <c:pt idx="35">
                  <c:v>-6770.4461114809947</c:v>
                </c:pt>
                <c:pt idx="36">
                  <c:v>-6575.4849755262785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'R. Results'!$H$847</c:f>
              <c:strCache>
                <c:ptCount val="1"/>
                <c:pt idx="0">
                  <c:v>Total S2 Withdrawals (IRA + Roth + Savings) FV</c:v>
                </c:pt>
              </c:strCache>
            </c:strRef>
          </c:tx>
          <c:marker>
            <c:symbol val="none"/>
          </c:marker>
          <c:val>
            <c:numRef>
              <c:f>'R. Results'!$H$848:$H$884</c:f>
              <c:numCache>
                <c:formatCode>"$"#,##0</c:formatCode>
                <c:ptCount val="37"/>
                <c:pt idx="0">
                  <c:v>1000</c:v>
                </c:pt>
                <c:pt idx="1">
                  <c:v>-12740.25</c:v>
                </c:pt>
                <c:pt idx="2">
                  <c:v>-11943.627974999999</c:v>
                </c:pt>
                <c:pt idx="3">
                  <c:v>-30398.440404302499</c:v>
                </c:pt>
                <c:pt idx="4">
                  <c:v>-33413.983902631961</c:v>
                </c:pt>
                <c:pt idx="5">
                  <c:v>-19518.52962765058</c:v>
                </c:pt>
                <c:pt idx="6">
                  <c:v>-24825.819537596708</c:v>
                </c:pt>
                <c:pt idx="7">
                  <c:v>-2997.3723668159564</c:v>
                </c:pt>
                <c:pt idx="8">
                  <c:v>-1413.2692196370385</c:v>
                </c:pt>
                <c:pt idx="9">
                  <c:v>-4621.8703816345169</c:v>
                </c:pt>
                <c:pt idx="10">
                  <c:v>-6911.7199568564884</c:v>
                </c:pt>
                <c:pt idx="11">
                  <c:v>-7571.438516374028</c:v>
                </c:pt>
                <c:pt idx="12">
                  <c:v>-6513.8251985316538</c:v>
                </c:pt>
                <c:pt idx="13">
                  <c:v>-413.77573768704133</c:v>
                </c:pt>
                <c:pt idx="14">
                  <c:v>-1955.622740355707</c:v>
                </c:pt>
                <c:pt idx="15">
                  <c:v>-21811.217955786004</c:v>
                </c:pt>
                <c:pt idx="16">
                  <c:v>-7058.4187965957944</c:v>
                </c:pt>
                <c:pt idx="17">
                  <c:v>-8466.3308121171976</c:v>
                </c:pt>
                <c:pt idx="18">
                  <c:v>-8753.2583719552185</c:v>
                </c:pt>
                <c:pt idx="19">
                  <c:v>-52756.350845732231</c:v>
                </c:pt>
                <c:pt idx="20">
                  <c:v>-9286.3649329375185</c:v>
                </c:pt>
                <c:pt idx="21">
                  <c:v>-8184.2530036075368</c:v>
                </c:pt>
                <c:pt idx="22">
                  <c:v>-8368.573014427333</c:v>
                </c:pt>
                <c:pt idx="23">
                  <c:v>-8587.4019749820327</c:v>
                </c:pt>
                <c:pt idx="24">
                  <c:v>-8786.2495175546028</c:v>
                </c:pt>
                <c:pt idx="25">
                  <c:v>-8992.9367047388223</c:v>
                </c:pt>
                <c:pt idx="26">
                  <c:v>-10795.663673880135</c:v>
                </c:pt>
                <c:pt idx="27">
                  <c:v>-10905.688188787093</c:v>
                </c:pt>
                <c:pt idx="28">
                  <c:v>-11017.65384514962</c:v>
                </c:pt>
                <c:pt idx="29">
                  <c:v>-11131.807592456662</c:v>
                </c:pt>
                <c:pt idx="30">
                  <c:v>-11210.072394618608</c:v>
                </c:pt>
                <c:pt idx="31">
                  <c:v>-11289.297612696848</c:v>
                </c:pt>
                <c:pt idx="32">
                  <c:v>-11375.649959725366</c:v>
                </c:pt>
                <c:pt idx="33">
                  <c:v>-5595.6340615188674</c:v>
                </c:pt>
                <c:pt idx="34">
                  <c:v>-5582.9436540600273</c:v>
                </c:pt>
                <c:pt idx="35">
                  <c:v>-5523.7520153346486</c:v>
                </c:pt>
                <c:pt idx="36">
                  <c:v>-5466.8637632659484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'R. Results'!$I$847</c:f>
              <c:strCache>
                <c:ptCount val="1"/>
                <c:pt idx="0">
                  <c:v>Total S1 Income (Pensions, SocSec, Work, Annuities) FV</c:v>
                </c:pt>
              </c:strCache>
            </c:strRef>
          </c:tx>
          <c:marker>
            <c:symbol val="none"/>
          </c:marker>
          <c:val>
            <c:numRef>
              <c:f>'R. Results'!$I$848:$I$884</c:f>
              <c:numCache>
                <c:formatCode>"$"#,##0</c:formatCode>
                <c:ptCount val="37"/>
                <c:pt idx="0">
                  <c:v>55500</c:v>
                </c:pt>
                <c:pt idx="1">
                  <c:v>56610</c:v>
                </c:pt>
                <c:pt idx="2">
                  <c:v>57742.2</c:v>
                </c:pt>
                <c:pt idx="3">
                  <c:v>46439.648999999983</c:v>
                </c:pt>
                <c:pt idx="4">
                  <c:v>46759.396904999972</c:v>
                </c:pt>
                <c:pt idx="5">
                  <c:v>47082.494542724962</c:v>
                </c:pt>
                <c:pt idx="6">
                  <c:v>78199.191085638391</c:v>
                </c:pt>
                <c:pt idx="7">
                  <c:v>79144.948401714893</c:v>
                </c:pt>
                <c:pt idx="8">
                  <c:v>80106.529731584742</c:v>
                </c:pt>
                <c:pt idx="9">
                  <c:v>91495.882557698758</c:v>
                </c:pt>
                <c:pt idx="10">
                  <c:v>92698.25386136568</c:v>
                </c:pt>
                <c:pt idx="11">
                  <c:v>93921.534859368519</c:v>
                </c:pt>
                <c:pt idx="12">
                  <c:v>95166.128056935282</c:v>
                </c:pt>
                <c:pt idx="13">
                  <c:v>96432.443930955284</c:v>
                </c:pt>
                <c:pt idx="14">
                  <c:v>97720.901089020088</c:v>
                </c:pt>
                <c:pt idx="15">
                  <c:v>55924.616928120173</c:v>
                </c:pt>
                <c:pt idx="16">
                  <c:v>57043.109266682579</c:v>
                </c:pt>
                <c:pt idx="17">
                  <c:v>58183.971452016238</c:v>
                </c:pt>
                <c:pt idx="18">
                  <c:v>59347.650881056557</c:v>
                </c:pt>
                <c:pt idx="19">
                  <c:v>53838.12514306551</c:v>
                </c:pt>
                <c:pt idx="20">
                  <c:v>54914.887645926821</c:v>
                </c:pt>
                <c:pt idx="21">
                  <c:v>56013.185398845351</c:v>
                </c:pt>
                <c:pt idx="22">
                  <c:v>57133.449106822256</c:v>
                </c:pt>
                <c:pt idx="23">
                  <c:v>58276.118088958705</c:v>
                </c:pt>
                <c:pt idx="24">
                  <c:v>59441.640450737876</c:v>
                </c:pt>
                <c:pt idx="25">
                  <c:v>15661.871462367011</c:v>
                </c:pt>
                <c:pt idx="26">
                  <c:v>11517.266703679288</c:v>
                </c:pt>
                <c:pt idx="27">
                  <c:v>11747.612037752871</c:v>
                </c:pt>
                <c:pt idx="28">
                  <c:v>11982.564278507933</c:v>
                </c:pt>
                <c:pt idx="29">
                  <c:v>12222.215564078089</c:v>
                </c:pt>
                <c:pt idx="30">
                  <c:v>12466.659875359652</c:v>
                </c:pt>
                <c:pt idx="31">
                  <c:v>12715.993072866841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'R. Results'!$J$847</c:f>
              <c:strCache>
                <c:ptCount val="1"/>
                <c:pt idx="0">
                  <c:v>Total S2 Income (Pensions, SocSec, Work, Annuities) FV</c:v>
                </c:pt>
              </c:strCache>
            </c:strRef>
          </c:tx>
          <c:marker>
            <c:symbol val="none"/>
          </c:marker>
          <c:val>
            <c:numRef>
              <c:f>'R. Results'!$J$848:$J$884</c:f>
              <c:numCache>
                <c:formatCode>"$"#,##0</c:formatCode>
                <c:ptCount val="37"/>
                <c:pt idx="0">
                  <c:v>45500</c:v>
                </c:pt>
                <c:pt idx="1">
                  <c:v>46209.999999999993</c:v>
                </c:pt>
                <c:pt idx="2">
                  <c:v>46931.199999999983</c:v>
                </c:pt>
                <c:pt idx="3">
                  <c:v>21521.819624999993</c:v>
                </c:pt>
                <c:pt idx="4">
                  <c:v>21873.830139374993</c:v>
                </c:pt>
                <c:pt idx="5">
                  <c:v>22231.704475865612</c:v>
                </c:pt>
                <c:pt idx="6">
                  <c:v>50385.739669027404</c:v>
                </c:pt>
                <c:pt idx="7">
                  <c:v>51311.446217612247</c:v>
                </c:pt>
                <c:pt idx="8">
                  <c:v>52254.436773496869</c:v>
                </c:pt>
                <c:pt idx="9">
                  <c:v>63626.685022809717</c:v>
                </c:pt>
                <c:pt idx="10">
                  <c:v>68313.464475111352</c:v>
                </c:pt>
                <c:pt idx="11">
                  <c:v>69522.693202736671</c:v>
                </c:pt>
                <c:pt idx="12">
                  <c:v>52820.528324563376</c:v>
                </c:pt>
                <c:pt idx="13">
                  <c:v>53806.93889105464</c:v>
                </c:pt>
                <c:pt idx="14">
                  <c:v>54813.077668875732</c:v>
                </c:pt>
                <c:pt idx="15">
                  <c:v>55839.339222253242</c:v>
                </c:pt>
                <c:pt idx="16">
                  <c:v>56886.126006698309</c:v>
                </c:pt>
                <c:pt idx="17">
                  <c:v>57953.848526832284</c:v>
                </c:pt>
                <c:pt idx="18">
                  <c:v>59042.925497368924</c:v>
                </c:pt>
                <c:pt idx="19">
                  <c:v>53457.305251704121</c:v>
                </c:pt>
                <c:pt idx="20">
                  <c:v>54456.451356738202</c:v>
                </c:pt>
                <c:pt idx="21">
                  <c:v>55475.580383872963</c:v>
                </c:pt>
                <c:pt idx="22">
                  <c:v>56515.09199155042</c:v>
                </c:pt>
                <c:pt idx="23">
                  <c:v>57575.393831381429</c:v>
                </c:pt>
                <c:pt idx="24">
                  <c:v>58656.901708009056</c:v>
                </c:pt>
                <c:pt idx="25">
                  <c:v>32838.103883895645</c:v>
                </c:pt>
                <c:pt idx="26">
                  <c:v>33424.865961573552</c:v>
                </c:pt>
                <c:pt idx="27">
                  <c:v>34023.363280805017</c:v>
                </c:pt>
                <c:pt idx="28">
                  <c:v>34633.83054642113</c:v>
                </c:pt>
                <c:pt idx="29">
                  <c:v>35256.507157349544</c:v>
                </c:pt>
                <c:pt idx="30">
                  <c:v>35891.637300496543</c:v>
                </c:pt>
                <c:pt idx="31">
                  <c:v>36539.470046506467</c:v>
                </c:pt>
                <c:pt idx="32">
                  <c:v>3500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'R. Results'!$K$847</c:f>
              <c:strCache>
                <c:ptCount val="1"/>
                <c:pt idx="0">
                  <c:v>Total S1+S2 Income (Pensions, SocSec, Work, Annuities) FV</c:v>
                </c:pt>
              </c:strCache>
            </c:strRef>
          </c:tx>
          <c:marker>
            <c:symbol val="none"/>
          </c:marker>
          <c:val>
            <c:numRef>
              <c:f>'R. Results'!$K$848:$K$884</c:f>
              <c:numCache>
                <c:formatCode>"$"#,##0</c:formatCode>
                <c:ptCount val="37"/>
                <c:pt idx="0">
                  <c:v>101000</c:v>
                </c:pt>
                <c:pt idx="1">
                  <c:v>102820</c:v>
                </c:pt>
                <c:pt idx="2">
                  <c:v>104673.39999999998</c:v>
                </c:pt>
                <c:pt idx="3">
                  <c:v>67961.46862499998</c:v>
                </c:pt>
                <c:pt idx="4">
                  <c:v>68633.227044374973</c:v>
                </c:pt>
                <c:pt idx="5">
                  <c:v>69314.199018590574</c:v>
                </c:pt>
                <c:pt idx="6">
                  <c:v>128584.93075466579</c:v>
                </c:pt>
                <c:pt idx="7">
                  <c:v>130456.39461932714</c:v>
                </c:pt>
                <c:pt idx="8">
                  <c:v>132360.96650508163</c:v>
                </c:pt>
                <c:pt idx="9">
                  <c:v>155122.56758050848</c:v>
                </c:pt>
                <c:pt idx="10">
                  <c:v>161011.71833647703</c:v>
                </c:pt>
                <c:pt idx="11">
                  <c:v>163444.22806210519</c:v>
                </c:pt>
                <c:pt idx="12">
                  <c:v>147986.65638149867</c:v>
                </c:pt>
                <c:pt idx="13">
                  <c:v>150239.38282200991</c:v>
                </c:pt>
                <c:pt idx="14">
                  <c:v>152533.97875789582</c:v>
                </c:pt>
                <c:pt idx="15">
                  <c:v>111763.95615037341</c:v>
                </c:pt>
                <c:pt idx="16">
                  <c:v>113929.23527338088</c:v>
                </c:pt>
                <c:pt idx="17">
                  <c:v>116137.81997884852</c:v>
                </c:pt>
                <c:pt idx="18">
                  <c:v>118390.57637842548</c:v>
                </c:pt>
                <c:pt idx="19">
                  <c:v>107295.43039476963</c:v>
                </c:pt>
                <c:pt idx="20">
                  <c:v>109371.33900266502</c:v>
                </c:pt>
                <c:pt idx="21">
                  <c:v>111488.76578271831</c:v>
                </c:pt>
                <c:pt idx="22">
                  <c:v>113648.54109837268</c:v>
                </c:pt>
                <c:pt idx="23">
                  <c:v>115851.51192034013</c:v>
                </c:pt>
                <c:pt idx="24">
                  <c:v>118098.54215874693</c:v>
                </c:pt>
                <c:pt idx="25">
                  <c:v>48499.975346262654</c:v>
                </c:pt>
                <c:pt idx="26">
                  <c:v>44942.132665252837</c:v>
                </c:pt>
                <c:pt idx="27">
                  <c:v>45770.975318557888</c:v>
                </c:pt>
                <c:pt idx="28">
                  <c:v>46616.394824929062</c:v>
                </c:pt>
                <c:pt idx="29">
                  <c:v>47478.722721427635</c:v>
                </c:pt>
                <c:pt idx="30">
                  <c:v>48358.297175856191</c:v>
                </c:pt>
                <c:pt idx="31">
                  <c:v>49255.463119373308</c:v>
                </c:pt>
                <c:pt idx="32">
                  <c:v>3500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'R. Results'!$L$847</c:f>
              <c:strCache>
                <c:ptCount val="1"/>
                <c:pt idx="0">
                  <c:v>Total S1 Taxable Income (IRA withdrawals + Savings DIV + ST Cap Gains), not LTCG FV</c:v>
                </c:pt>
              </c:strCache>
            </c:strRef>
          </c:tx>
          <c:marker>
            <c:symbol val="none"/>
          </c:marker>
          <c:val>
            <c:numRef>
              <c:f>'R. Results'!$L$848:$L$884</c:f>
              <c:numCache>
                <c:formatCode>"$"#,##0</c:formatCode>
                <c:ptCount val="37"/>
                <c:pt idx="0">
                  <c:v>57865</c:v>
                </c:pt>
                <c:pt idx="1">
                  <c:v>59069.175374999999</c:v>
                </c:pt>
                <c:pt idx="2">
                  <c:v>60281.34284729779</c:v>
                </c:pt>
                <c:pt idx="3">
                  <c:v>49035.034482359981</c:v>
                </c:pt>
                <c:pt idx="4">
                  <c:v>49126.164067113597</c:v>
                </c:pt>
                <c:pt idx="5">
                  <c:v>49221.366634362443</c:v>
                </c:pt>
                <c:pt idx="6">
                  <c:v>80196.551718715738</c:v>
                </c:pt>
                <c:pt idx="7">
                  <c:v>81893.239957183687</c:v>
                </c:pt>
                <c:pt idx="8">
                  <c:v>83680.805049667324</c:v>
                </c:pt>
                <c:pt idx="9">
                  <c:v>95474.346634345144</c:v>
                </c:pt>
                <c:pt idx="10">
                  <c:v>97556.841300841086</c:v>
                </c:pt>
                <c:pt idx="11">
                  <c:v>100024.47994730892</c:v>
                </c:pt>
                <c:pt idx="12">
                  <c:v>102654.63552054686</c:v>
                </c:pt>
                <c:pt idx="13">
                  <c:v>104636.55945343868</c:v>
                </c:pt>
                <c:pt idx="14">
                  <c:v>106667.8166836192</c:v>
                </c:pt>
                <c:pt idx="15">
                  <c:v>65631.67293589357</c:v>
                </c:pt>
                <c:pt idx="16">
                  <c:v>65428.652400343854</c:v>
                </c:pt>
                <c:pt idx="17">
                  <c:v>67237.05304836604</c:v>
                </c:pt>
                <c:pt idx="18">
                  <c:v>69135.191597747267</c:v>
                </c:pt>
                <c:pt idx="19">
                  <c:v>64385.131158318851</c:v>
                </c:pt>
                <c:pt idx="20">
                  <c:v>66122.001074513362</c:v>
                </c:pt>
                <c:pt idx="21">
                  <c:v>67901.158124669033</c:v>
                </c:pt>
                <c:pt idx="22">
                  <c:v>69723.543095356072</c:v>
                </c:pt>
                <c:pt idx="23">
                  <c:v>71590.302192664094</c:v>
                </c:pt>
                <c:pt idx="24">
                  <c:v>73502.542348980831</c:v>
                </c:pt>
                <c:pt idx="25">
                  <c:v>30492.798958485415</c:v>
                </c:pt>
                <c:pt idx="26">
                  <c:v>11517.266703679288</c:v>
                </c:pt>
                <c:pt idx="27">
                  <c:v>11747.612037752871</c:v>
                </c:pt>
                <c:pt idx="28">
                  <c:v>11982.564278507933</c:v>
                </c:pt>
                <c:pt idx="29">
                  <c:v>12222.215564078089</c:v>
                </c:pt>
                <c:pt idx="30">
                  <c:v>12466.659875359652</c:v>
                </c:pt>
                <c:pt idx="31">
                  <c:v>12715.993072866841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'R. Results'!$M$847</c:f>
              <c:strCache>
                <c:ptCount val="1"/>
                <c:pt idx="0">
                  <c:v>Total S2 Taxable Income (IRA withdrawals + Savings DIV + ST Cap Gains), not LTCG FV</c:v>
                </c:pt>
              </c:strCache>
            </c:strRef>
          </c:tx>
          <c:marker>
            <c:symbol val="none"/>
          </c:marker>
          <c:val>
            <c:numRef>
              <c:f>'R. Results'!$M$848:$M$884</c:f>
              <c:numCache>
                <c:formatCode>"$"#,##0</c:formatCode>
                <c:ptCount val="37"/>
                <c:pt idx="0">
                  <c:v>47700</c:v>
                </c:pt>
                <c:pt idx="1">
                  <c:v>48498.41937499999</c:v>
                </c:pt>
                <c:pt idx="2">
                  <c:v>49289.432561194837</c:v>
                </c:pt>
                <c:pt idx="3">
                  <c:v>23918.96265747635</c:v>
                </c:pt>
                <c:pt idx="4">
                  <c:v>23977.769445269063</c:v>
                </c:pt>
                <c:pt idx="5">
                  <c:v>24069.922320918584</c:v>
                </c:pt>
                <c:pt idx="6">
                  <c:v>52049.304315457899</c:v>
                </c:pt>
                <c:pt idx="7">
                  <c:v>53179.791627475453</c:v>
                </c:pt>
                <c:pt idx="8">
                  <c:v>54264.565690411604</c:v>
                </c:pt>
                <c:pt idx="9">
                  <c:v>66169.401720940747</c:v>
                </c:pt>
                <c:pt idx="10">
                  <c:v>71086.930959102814</c:v>
                </c:pt>
                <c:pt idx="11">
                  <c:v>72553.275847889308</c:v>
                </c:pt>
                <c:pt idx="12">
                  <c:v>56358.338020335657</c:v>
                </c:pt>
                <c:pt idx="13">
                  <c:v>58244.822169694002</c:v>
                </c:pt>
                <c:pt idx="14">
                  <c:v>60191.040204853925</c:v>
                </c:pt>
                <c:pt idx="15">
                  <c:v>62152.085837750623</c:v>
                </c:pt>
                <c:pt idx="16">
                  <c:v>61476.254501895186</c:v>
                </c:pt>
                <c:pt idx="17">
                  <c:v>63085.998497401626</c:v>
                </c:pt>
                <c:pt idx="18">
                  <c:v>64771.010378208441</c:v>
                </c:pt>
                <c:pt idx="19">
                  <c:v>59805.267782263421</c:v>
                </c:pt>
                <c:pt idx="20">
                  <c:v>61238.151970673774</c:v>
                </c:pt>
                <c:pt idx="21">
                  <c:v>62760.229156921814</c:v>
                </c:pt>
                <c:pt idx="22">
                  <c:v>64284.212478915368</c:v>
                </c:pt>
                <c:pt idx="23">
                  <c:v>65845.72914550791</c:v>
                </c:pt>
                <c:pt idx="24">
                  <c:v>67446.513517949279</c:v>
                </c:pt>
                <c:pt idx="25">
                  <c:v>42164.896064867695</c:v>
                </c:pt>
                <c:pt idx="26">
                  <c:v>47674.388377660725</c:v>
                </c:pt>
                <c:pt idx="27">
                  <c:v>48536.62812194974</c:v>
                </c:pt>
                <c:pt idx="28">
                  <c:v>49411.544733312337</c:v>
                </c:pt>
                <c:pt idx="29">
                  <c:v>50299.345629294796</c:v>
                </c:pt>
                <c:pt idx="30">
                  <c:v>51200.250147240818</c:v>
                </c:pt>
                <c:pt idx="31">
                  <c:v>36539.470046506467</c:v>
                </c:pt>
                <c:pt idx="32">
                  <c:v>3500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'R. Results'!$N$847</c:f>
              <c:strCache>
                <c:ptCount val="1"/>
                <c:pt idx="0">
                  <c:v>Total S1+S2 Taxable Income (IRA withdrawals + Savings DIV + ST Cap Gains), not LTCG FV</c:v>
                </c:pt>
              </c:strCache>
            </c:strRef>
          </c:tx>
          <c:marker>
            <c:symbol val="none"/>
          </c:marker>
          <c:val>
            <c:numRef>
              <c:f>'R. Results'!$N$848:$N$884</c:f>
              <c:numCache>
                <c:formatCode>"$"#,##0</c:formatCode>
                <c:ptCount val="37"/>
                <c:pt idx="0">
                  <c:v>105565</c:v>
                </c:pt>
                <c:pt idx="1">
                  <c:v>107567.59474999999</c:v>
                </c:pt>
                <c:pt idx="2">
                  <c:v>109570.77540849263</c:v>
                </c:pt>
                <c:pt idx="3">
                  <c:v>72953.997139836327</c:v>
                </c:pt>
                <c:pt idx="4">
                  <c:v>73103.93351238266</c:v>
                </c:pt>
                <c:pt idx="5">
                  <c:v>73291.288955281023</c:v>
                </c:pt>
                <c:pt idx="6">
                  <c:v>132245.85603417363</c:v>
                </c:pt>
                <c:pt idx="7">
                  <c:v>135073.03158465913</c:v>
                </c:pt>
                <c:pt idx="8">
                  <c:v>137945.37074007891</c:v>
                </c:pt>
                <c:pt idx="9">
                  <c:v>161643.7483552859</c:v>
                </c:pt>
                <c:pt idx="10">
                  <c:v>168643.77225994389</c:v>
                </c:pt>
                <c:pt idx="11">
                  <c:v>172577.75579519823</c:v>
                </c:pt>
                <c:pt idx="12">
                  <c:v>159012.97354088252</c:v>
                </c:pt>
                <c:pt idx="13">
                  <c:v>162881.38162313268</c:v>
                </c:pt>
                <c:pt idx="14">
                  <c:v>166858.85688847312</c:v>
                </c:pt>
                <c:pt idx="15">
                  <c:v>127783.75877364419</c:v>
                </c:pt>
                <c:pt idx="16">
                  <c:v>126904.90690223905</c:v>
                </c:pt>
                <c:pt idx="17">
                  <c:v>130323.05154576767</c:v>
                </c:pt>
                <c:pt idx="18">
                  <c:v>133906.20197595572</c:v>
                </c:pt>
                <c:pt idx="19">
                  <c:v>124190.39894058226</c:v>
                </c:pt>
                <c:pt idx="20">
                  <c:v>127360.15304518714</c:v>
                </c:pt>
                <c:pt idx="21">
                  <c:v>130661.38728159084</c:v>
                </c:pt>
                <c:pt idx="22">
                  <c:v>134007.75557427143</c:v>
                </c:pt>
                <c:pt idx="23">
                  <c:v>137436.031338172</c:v>
                </c:pt>
                <c:pt idx="24">
                  <c:v>140949.05586693011</c:v>
                </c:pt>
                <c:pt idx="25">
                  <c:v>72657.69502335311</c:v>
                </c:pt>
                <c:pt idx="26">
                  <c:v>59191.65508134001</c:v>
                </c:pt>
                <c:pt idx="27">
                  <c:v>60284.240159702611</c:v>
                </c:pt>
                <c:pt idx="28">
                  <c:v>61394.10901182027</c:v>
                </c:pt>
                <c:pt idx="29">
                  <c:v>62521.561193372887</c:v>
                </c:pt>
                <c:pt idx="30">
                  <c:v>63666.910022600467</c:v>
                </c:pt>
                <c:pt idx="31">
                  <c:v>49255.463119373308</c:v>
                </c:pt>
                <c:pt idx="32">
                  <c:v>3500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654272"/>
        <c:axId val="207664256"/>
      </c:lineChart>
      <c:catAx>
        <c:axId val="207654272"/>
        <c:scaling>
          <c:orientation val="minMax"/>
        </c:scaling>
        <c:delete val="0"/>
        <c:axPos val="b"/>
        <c:majorTickMark val="out"/>
        <c:minorTickMark val="none"/>
        <c:tickLblPos val="nextTo"/>
        <c:crossAx val="207664256"/>
        <c:crosses val="autoZero"/>
        <c:auto val="1"/>
        <c:lblAlgn val="ctr"/>
        <c:lblOffset val="100"/>
        <c:noMultiLvlLbl val="0"/>
      </c:catAx>
      <c:valAx>
        <c:axId val="207664256"/>
        <c:scaling>
          <c:orientation val="minMax"/>
        </c:scaling>
        <c:delete val="0"/>
        <c:axPos val="l"/>
        <c:majorGridlines/>
        <c:numFmt formatCode="&quot;$&quot;#,##0_);[Red]\(&quot;$&quot;#,##0\)" sourceLinked="1"/>
        <c:majorTickMark val="out"/>
        <c:minorTickMark val="none"/>
        <c:tickLblPos val="nextTo"/>
        <c:crossAx val="207654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6" l="0.70000000000000062" r="0.70000000000000062" t="0.750000000000006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'R. Results'!$C$929</c:f>
              <c:strCache>
                <c:ptCount val="1"/>
                <c:pt idx="0">
                  <c:v>S1 Scheduled expenses</c:v>
                </c:pt>
              </c:strCache>
            </c:strRef>
          </c:tx>
          <c:marker>
            <c:symbol val="none"/>
          </c:marker>
          <c:val>
            <c:numRef>
              <c:f>'R. Results'!$C$930:$C$966</c:f>
              <c:numCache>
                <c:formatCode>"$"#,##0</c:formatCode>
                <c:ptCount val="37"/>
                <c:pt idx="0">
                  <c:v>31000</c:v>
                </c:pt>
                <c:pt idx="1">
                  <c:v>31620</c:v>
                </c:pt>
                <c:pt idx="2">
                  <c:v>32252.400000000001</c:v>
                </c:pt>
                <c:pt idx="3">
                  <c:v>32897.447999999997</c:v>
                </c:pt>
                <c:pt idx="4">
                  <c:v>33555.396959999998</c:v>
                </c:pt>
                <c:pt idx="5">
                  <c:v>34226.504899200001</c:v>
                </c:pt>
                <c:pt idx="6">
                  <c:v>34911.034997184004</c:v>
                </c:pt>
                <c:pt idx="7">
                  <c:v>35609.255697127672</c:v>
                </c:pt>
                <c:pt idx="8">
                  <c:v>36321.440811070228</c:v>
                </c:pt>
                <c:pt idx="9">
                  <c:v>37047.869627291635</c:v>
                </c:pt>
                <c:pt idx="10">
                  <c:v>30231.061615869978</c:v>
                </c:pt>
                <c:pt idx="11">
                  <c:v>30835.682848187371</c:v>
                </c:pt>
                <c:pt idx="12">
                  <c:v>31452.396505151122</c:v>
                </c:pt>
                <c:pt idx="13">
                  <c:v>32081.444435254143</c:v>
                </c:pt>
                <c:pt idx="14">
                  <c:v>32723.07332395923</c:v>
                </c:pt>
                <c:pt idx="15">
                  <c:v>33377.534790438403</c:v>
                </c:pt>
                <c:pt idx="16">
                  <c:v>34045.085486247175</c:v>
                </c:pt>
                <c:pt idx="17">
                  <c:v>34725.987195972128</c:v>
                </c:pt>
                <c:pt idx="18">
                  <c:v>35420.506939891566</c:v>
                </c:pt>
                <c:pt idx="19">
                  <c:v>36128.917078689396</c:v>
                </c:pt>
                <c:pt idx="20">
                  <c:v>36851.495420263185</c:v>
                </c:pt>
                <c:pt idx="21">
                  <c:v>37588.525328668446</c:v>
                </c:pt>
                <c:pt idx="22">
                  <c:v>38340.295835241814</c:v>
                </c:pt>
                <c:pt idx="23">
                  <c:v>39107.101751946648</c:v>
                </c:pt>
                <c:pt idx="24">
                  <c:v>39889.243786985578</c:v>
                </c:pt>
                <c:pt idx="25">
                  <c:v>40687.028662725294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'R. Results'!$D$929</c:f>
              <c:strCache>
                <c:ptCount val="1"/>
                <c:pt idx="0">
                  <c:v>S2 Scheduled expenses</c:v>
                </c:pt>
              </c:strCache>
            </c:strRef>
          </c:tx>
          <c:marker>
            <c:symbol val="none"/>
          </c:marker>
          <c:val>
            <c:numRef>
              <c:f>'R. Results'!$D$930:$D$966</c:f>
              <c:numCache>
                <c:formatCode>"$"#,##0</c:formatCode>
                <c:ptCount val="37"/>
                <c:pt idx="0">
                  <c:v>29000</c:v>
                </c:pt>
                <c:pt idx="1">
                  <c:v>29580</c:v>
                </c:pt>
                <c:pt idx="2">
                  <c:v>30171.599999999999</c:v>
                </c:pt>
                <c:pt idx="3">
                  <c:v>30775.031999999999</c:v>
                </c:pt>
                <c:pt idx="4">
                  <c:v>31390.532639999998</c:v>
                </c:pt>
                <c:pt idx="5">
                  <c:v>32018.3432928</c:v>
                </c:pt>
                <c:pt idx="6">
                  <c:v>32658.710158656002</c:v>
                </c:pt>
                <c:pt idx="7">
                  <c:v>33311.884361829114</c:v>
                </c:pt>
                <c:pt idx="8">
                  <c:v>33978.1220490657</c:v>
                </c:pt>
                <c:pt idx="9">
                  <c:v>34657.684490047017</c:v>
                </c:pt>
                <c:pt idx="10">
                  <c:v>35350.838179847953</c:v>
                </c:pt>
                <c:pt idx="11">
                  <c:v>36057.854943444909</c:v>
                </c:pt>
                <c:pt idx="12">
                  <c:v>36779.012042313814</c:v>
                </c:pt>
                <c:pt idx="13">
                  <c:v>37514.592283160084</c:v>
                </c:pt>
                <c:pt idx="14">
                  <c:v>38264.884128823294</c:v>
                </c:pt>
                <c:pt idx="15">
                  <c:v>39030.181811399751</c:v>
                </c:pt>
                <c:pt idx="16">
                  <c:v>39810.78544762775</c:v>
                </c:pt>
                <c:pt idx="17">
                  <c:v>40607.001156580307</c:v>
                </c:pt>
                <c:pt idx="18">
                  <c:v>41419.141179711907</c:v>
                </c:pt>
                <c:pt idx="19">
                  <c:v>42247.524003306149</c:v>
                </c:pt>
                <c:pt idx="20">
                  <c:v>43092.474483372273</c:v>
                </c:pt>
                <c:pt idx="21">
                  <c:v>43954.323973039718</c:v>
                </c:pt>
                <c:pt idx="22">
                  <c:v>44833.41045250051</c:v>
                </c:pt>
                <c:pt idx="23">
                  <c:v>45730.078661550513</c:v>
                </c:pt>
                <c:pt idx="24">
                  <c:v>46644.680234781525</c:v>
                </c:pt>
                <c:pt idx="25">
                  <c:v>47577.573839477154</c:v>
                </c:pt>
                <c:pt idx="26">
                  <c:v>60243.052116744875</c:v>
                </c:pt>
                <c:pt idx="27">
                  <c:v>61447.913159079762</c:v>
                </c:pt>
                <c:pt idx="28">
                  <c:v>62676.871422261371</c:v>
                </c:pt>
                <c:pt idx="29">
                  <c:v>63930.40885070659</c:v>
                </c:pt>
                <c:pt idx="30">
                  <c:v>65209.017027720722</c:v>
                </c:pt>
                <c:pt idx="31">
                  <c:v>66513.197368275127</c:v>
                </c:pt>
                <c:pt idx="32">
                  <c:v>67843.461315640641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'R. Results'!$E$929</c:f>
              <c:strCache>
                <c:ptCount val="1"/>
                <c:pt idx="0">
                  <c:v>S1 Irregular expenses FV</c:v>
                </c:pt>
              </c:strCache>
            </c:strRef>
          </c:tx>
          <c:marker>
            <c:symbol val="none"/>
          </c:marker>
          <c:val>
            <c:numRef>
              <c:f>'R. Results'!$E$930:$E$966</c:f>
              <c:numCache>
                <c:formatCode>"$"#,##0</c:formatCode>
                <c:ptCount val="37"/>
                <c:pt idx="0">
                  <c:v>17500</c:v>
                </c:pt>
                <c:pt idx="1">
                  <c:v>25598.68</c:v>
                </c:pt>
                <c:pt idx="2">
                  <c:v>26143.360000000001</c:v>
                </c:pt>
                <c:pt idx="3">
                  <c:v>43081.072</c:v>
                </c:pt>
                <c:pt idx="4">
                  <c:v>43802.693440000003</c:v>
                </c:pt>
                <c:pt idx="5">
                  <c:v>25769.373654399998</c:v>
                </c:pt>
                <c:pt idx="6">
                  <c:v>26144.761127488</c:v>
                </c:pt>
                <c:pt idx="7">
                  <c:v>7000</c:v>
                </c:pt>
                <c:pt idx="8">
                  <c:v>7000</c:v>
                </c:pt>
                <c:pt idx="9">
                  <c:v>7000</c:v>
                </c:pt>
                <c:pt idx="10">
                  <c:v>19189.944199947571</c:v>
                </c:pt>
                <c:pt idx="11">
                  <c:v>49274.72648541817</c:v>
                </c:pt>
                <c:pt idx="12">
                  <c:v>19682.417945625453</c:v>
                </c:pt>
                <c:pt idx="13">
                  <c:v>7000</c:v>
                </c:pt>
                <c:pt idx="14">
                  <c:v>8979.2181445943079</c:v>
                </c:pt>
                <c:pt idx="15">
                  <c:v>107940.12537430969</c:v>
                </c:pt>
                <c:pt idx="16">
                  <c:v>2059.178557635918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'R. Results'!$F$929</c:f>
              <c:strCache>
                <c:ptCount val="1"/>
                <c:pt idx="0">
                  <c:v>S2 Irregular expenses FV</c:v>
                </c:pt>
              </c:strCache>
            </c:strRef>
          </c:tx>
          <c:marker>
            <c:symbol val="none"/>
          </c:marker>
          <c:val>
            <c:numRef>
              <c:f>'R. Results'!$F$930:$F$966</c:f>
              <c:numCache>
                <c:formatCode>"$"#,##0</c:formatCode>
                <c:ptCount val="37"/>
                <c:pt idx="0">
                  <c:v>8500</c:v>
                </c:pt>
                <c:pt idx="1">
                  <c:v>26380</c:v>
                </c:pt>
                <c:pt idx="2">
                  <c:v>24686.799999999999</c:v>
                </c:pt>
                <c:pt idx="3">
                  <c:v>43081.072</c:v>
                </c:pt>
                <c:pt idx="4">
                  <c:v>45426.341679999998</c:v>
                </c:pt>
                <c:pt idx="5">
                  <c:v>25769.373654399998</c:v>
                </c:pt>
                <c:pt idx="6">
                  <c:v>26144.761127488</c:v>
                </c:pt>
                <c:pt idx="7">
                  <c:v>7000</c:v>
                </c:pt>
                <c:pt idx="8">
                  <c:v>8757.489071503398</c:v>
                </c:pt>
                <c:pt idx="9">
                  <c:v>14170.555411733865</c:v>
                </c:pt>
                <c:pt idx="10">
                  <c:v>19189.944199947571</c:v>
                </c:pt>
                <c:pt idx="11">
                  <c:v>11351.810079381281</c:v>
                </c:pt>
                <c:pt idx="12">
                  <c:v>13341.208972812727</c:v>
                </c:pt>
                <c:pt idx="13">
                  <c:v>7000</c:v>
                </c:pt>
                <c:pt idx="14">
                  <c:v>7000</c:v>
                </c:pt>
                <c:pt idx="15">
                  <c:v>107940.12537430969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45598.189700120078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'R. Results'!$G$929</c:f>
              <c:strCache>
                <c:ptCount val="1"/>
                <c:pt idx="0">
                  <c:v>Total S1 expenses FV</c:v>
                </c:pt>
              </c:strCache>
            </c:strRef>
          </c:tx>
          <c:marker>
            <c:symbol val="none"/>
          </c:marker>
          <c:val>
            <c:numRef>
              <c:f>'R. Results'!$G$930:$G$966</c:f>
              <c:numCache>
                <c:formatCode>"$"#,##0</c:formatCode>
                <c:ptCount val="37"/>
                <c:pt idx="0">
                  <c:v>48500</c:v>
                </c:pt>
                <c:pt idx="1">
                  <c:v>57218.68</c:v>
                </c:pt>
                <c:pt idx="2">
                  <c:v>58395.76</c:v>
                </c:pt>
                <c:pt idx="3">
                  <c:v>75978.51999999999</c:v>
                </c:pt>
                <c:pt idx="4">
                  <c:v>77358.090400000001</c:v>
                </c:pt>
                <c:pt idx="5">
                  <c:v>59995.8785536</c:v>
                </c:pt>
                <c:pt idx="6">
                  <c:v>61055.796124672008</c:v>
                </c:pt>
                <c:pt idx="7">
                  <c:v>42609.255697127672</c:v>
                </c:pt>
                <c:pt idx="8">
                  <c:v>43321.440811070228</c:v>
                </c:pt>
                <c:pt idx="9">
                  <c:v>44047.869627291635</c:v>
                </c:pt>
                <c:pt idx="10">
                  <c:v>49421.005815817553</c:v>
                </c:pt>
                <c:pt idx="11">
                  <c:v>80110.409333605538</c:v>
                </c:pt>
                <c:pt idx="12">
                  <c:v>51134.814450776576</c:v>
                </c:pt>
                <c:pt idx="13">
                  <c:v>39081.444435254147</c:v>
                </c:pt>
                <c:pt idx="14">
                  <c:v>41702.291468553536</c:v>
                </c:pt>
                <c:pt idx="15">
                  <c:v>141317.66016474809</c:v>
                </c:pt>
                <c:pt idx="16">
                  <c:v>36104.264043883093</c:v>
                </c:pt>
                <c:pt idx="17">
                  <c:v>34725.987195972128</c:v>
                </c:pt>
                <c:pt idx="18">
                  <c:v>35420.506939891566</c:v>
                </c:pt>
                <c:pt idx="19">
                  <c:v>36128.917078689396</c:v>
                </c:pt>
                <c:pt idx="20">
                  <c:v>36851.495420263185</c:v>
                </c:pt>
                <c:pt idx="21">
                  <c:v>37588.525328668446</c:v>
                </c:pt>
                <c:pt idx="22">
                  <c:v>38340.295835241814</c:v>
                </c:pt>
                <c:pt idx="23">
                  <c:v>39107.101751946648</c:v>
                </c:pt>
                <c:pt idx="24">
                  <c:v>39889.243786985578</c:v>
                </c:pt>
                <c:pt idx="25">
                  <c:v>40687.028662725294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'R. Results'!$H$929</c:f>
              <c:strCache>
                <c:ptCount val="1"/>
                <c:pt idx="0">
                  <c:v>Total S2 expenses FV</c:v>
                </c:pt>
              </c:strCache>
            </c:strRef>
          </c:tx>
          <c:marker>
            <c:symbol val="none"/>
          </c:marker>
          <c:val>
            <c:numRef>
              <c:f>'R. Results'!$H$930:$H$966</c:f>
              <c:numCache>
                <c:formatCode>"$"#,##0</c:formatCode>
                <c:ptCount val="37"/>
                <c:pt idx="0">
                  <c:v>37500</c:v>
                </c:pt>
                <c:pt idx="1">
                  <c:v>55960</c:v>
                </c:pt>
                <c:pt idx="2">
                  <c:v>54858.399999999994</c:v>
                </c:pt>
                <c:pt idx="3">
                  <c:v>73856.103999999992</c:v>
                </c:pt>
                <c:pt idx="4">
                  <c:v>76816.874320000003</c:v>
                </c:pt>
                <c:pt idx="5">
                  <c:v>57787.716947199995</c:v>
                </c:pt>
                <c:pt idx="6">
                  <c:v>58803.471286144006</c:v>
                </c:pt>
                <c:pt idx="7">
                  <c:v>40311.884361829114</c:v>
                </c:pt>
                <c:pt idx="8">
                  <c:v>42735.611120569098</c:v>
                </c:pt>
                <c:pt idx="9">
                  <c:v>48828.239901780878</c:v>
                </c:pt>
                <c:pt idx="10">
                  <c:v>54540.782379795521</c:v>
                </c:pt>
                <c:pt idx="11">
                  <c:v>47409.665022826186</c:v>
                </c:pt>
                <c:pt idx="12">
                  <c:v>50120.221015126539</c:v>
                </c:pt>
                <c:pt idx="13">
                  <c:v>44514.592283160084</c:v>
                </c:pt>
                <c:pt idx="14">
                  <c:v>45264.884128823294</c:v>
                </c:pt>
                <c:pt idx="15">
                  <c:v>146970.30718570945</c:v>
                </c:pt>
                <c:pt idx="16">
                  <c:v>39810.78544762775</c:v>
                </c:pt>
                <c:pt idx="17">
                  <c:v>40607.001156580307</c:v>
                </c:pt>
                <c:pt idx="18">
                  <c:v>41419.141179711907</c:v>
                </c:pt>
                <c:pt idx="19">
                  <c:v>87845.713703426227</c:v>
                </c:pt>
                <c:pt idx="20">
                  <c:v>43092.474483372273</c:v>
                </c:pt>
                <c:pt idx="21">
                  <c:v>43954.323973039718</c:v>
                </c:pt>
                <c:pt idx="22">
                  <c:v>44833.41045250051</c:v>
                </c:pt>
                <c:pt idx="23">
                  <c:v>45730.078661550513</c:v>
                </c:pt>
                <c:pt idx="24">
                  <c:v>46644.680234781525</c:v>
                </c:pt>
                <c:pt idx="25">
                  <c:v>47577.573839477154</c:v>
                </c:pt>
                <c:pt idx="26">
                  <c:v>60243.052116744875</c:v>
                </c:pt>
                <c:pt idx="27">
                  <c:v>61447.913159079762</c:v>
                </c:pt>
                <c:pt idx="28">
                  <c:v>62676.871422261371</c:v>
                </c:pt>
                <c:pt idx="29">
                  <c:v>63930.40885070659</c:v>
                </c:pt>
                <c:pt idx="30">
                  <c:v>65209.017027720722</c:v>
                </c:pt>
                <c:pt idx="31">
                  <c:v>66513.197368275127</c:v>
                </c:pt>
                <c:pt idx="32">
                  <c:v>67843.461315640641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'R. Results'!$I$929</c:f>
              <c:strCache>
                <c:ptCount val="1"/>
                <c:pt idx="0">
                  <c:v>Total S1+S2 expenses FV</c:v>
                </c:pt>
              </c:strCache>
            </c:strRef>
          </c:tx>
          <c:marker>
            <c:symbol val="none"/>
          </c:marker>
          <c:val>
            <c:numRef>
              <c:f>'R. Results'!$I$930:$I$966</c:f>
              <c:numCache>
                <c:formatCode>"$"#,##0</c:formatCode>
                <c:ptCount val="37"/>
                <c:pt idx="0">
                  <c:v>86000</c:v>
                </c:pt>
                <c:pt idx="1">
                  <c:v>113178.68</c:v>
                </c:pt>
                <c:pt idx="2">
                  <c:v>113254.16</c:v>
                </c:pt>
                <c:pt idx="3">
                  <c:v>149834.62399999998</c:v>
                </c:pt>
                <c:pt idx="4">
                  <c:v>154174.96471999999</c:v>
                </c:pt>
                <c:pt idx="5">
                  <c:v>117783.5955008</c:v>
                </c:pt>
                <c:pt idx="6">
                  <c:v>119859.26741081601</c:v>
                </c:pt>
                <c:pt idx="7">
                  <c:v>82921.140058956778</c:v>
                </c:pt>
                <c:pt idx="8">
                  <c:v>86057.051931639318</c:v>
                </c:pt>
                <c:pt idx="9">
                  <c:v>92876.109529072506</c:v>
                </c:pt>
                <c:pt idx="10">
                  <c:v>103961.78819561307</c:v>
                </c:pt>
                <c:pt idx="11">
                  <c:v>127520.07435643172</c:v>
                </c:pt>
                <c:pt idx="12">
                  <c:v>101255.03546590311</c:v>
                </c:pt>
                <c:pt idx="13">
                  <c:v>83596.036718414223</c:v>
                </c:pt>
                <c:pt idx="14">
                  <c:v>86967.17559737683</c:v>
                </c:pt>
                <c:pt idx="15">
                  <c:v>288287.96735045756</c:v>
                </c:pt>
                <c:pt idx="16">
                  <c:v>75915.049491510843</c:v>
                </c:pt>
                <c:pt idx="17">
                  <c:v>75332.988352552435</c:v>
                </c:pt>
                <c:pt idx="18">
                  <c:v>76839.648119603473</c:v>
                </c:pt>
                <c:pt idx="19">
                  <c:v>123974.63078211562</c:v>
                </c:pt>
                <c:pt idx="20">
                  <c:v>79943.969903635458</c:v>
                </c:pt>
                <c:pt idx="21">
                  <c:v>81542.849301708164</c:v>
                </c:pt>
                <c:pt idx="22">
                  <c:v>83173.70628774233</c:v>
                </c:pt>
                <c:pt idx="23">
                  <c:v>84837.180413497161</c:v>
                </c:pt>
                <c:pt idx="24">
                  <c:v>86533.924021767103</c:v>
                </c:pt>
                <c:pt idx="25">
                  <c:v>88264.602502202441</c:v>
                </c:pt>
                <c:pt idx="26">
                  <c:v>60243.052116744875</c:v>
                </c:pt>
                <c:pt idx="27">
                  <c:v>61447.913159079762</c:v>
                </c:pt>
                <c:pt idx="28">
                  <c:v>62676.871422261371</c:v>
                </c:pt>
                <c:pt idx="29">
                  <c:v>63930.40885070659</c:v>
                </c:pt>
                <c:pt idx="30">
                  <c:v>65209.017027720722</c:v>
                </c:pt>
                <c:pt idx="31">
                  <c:v>66513.197368275127</c:v>
                </c:pt>
                <c:pt idx="32">
                  <c:v>67843.461315640641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721984"/>
        <c:axId val="207723520"/>
      </c:lineChart>
      <c:catAx>
        <c:axId val="207721984"/>
        <c:scaling>
          <c:orientation val="minMax"/>
        </c:scaling>
        <c:delete val="0"/>
        <c:axPos val="b"/>
        <c:majorTickMark val="out"/>
        <c:minorTickMark val="none"/>
        <c:tickLblPos val="nextTo"/>
        <c:crossAx val="207723520"/>
        <c:crosses val="autoZero"/>
        <c:auto val="1"/>
        <c:lblAlgn val="ctr"/>
        <c:lblOffset val="100"/>
        <c:noMultiLvlLbl val="0"/>
      </c:catAx>
      <c:valAx>
        <c:axId val="207723520"/>
        <c:scaling>
          <c:orientation val="minMax"/>
        </c:scaling>
        <c:delete val="0"/>
        <c:axPos val="l"/>
        <c:majorGridlines/>
        <c:numFmt formatCode="&quot;$&quot;#,##0" sourceLinked="1"/>
        <c:majorTickMark val="out"/>
        <c:minorTickMark val="none"/>
        <c:tickLblPos val="nextTo"/>
        <c:crossAx val="207721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6" l="0.70000000000000062" r="0.70000000000000062" t="0.750000000000006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R.7 Total S1 expenses FV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24094501582390263"/>
          <c:y val="0.26920281883227082"/>
          <c:w val="0.63680264023421063"/>
          <c:h val="0.5961092963920470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'R. Results'!$G$929</c:f>
              <c:strCache>
                <c:ptCount val="1"/>
                <c:pt idx="0">
                  <c:v>Total S1 expenses FV</c:v>
                </c:pt>
              </c:strCache>
            </c:strRef>
          </c:tx>
          <c:invertIfNegative val="0"/>
          <c:cat>
            <c:numRef>
              <c:f>'R. Results'!$A$930:$A$966</c:f>
              <c:numCache>
                <c:formatCode>General</c:formatCode>
                <c:ptCount val="37"/>
                <c:pt idx="0">
                  <c:v>60</c:v>
                </c:pt>
                <c:pt idx="1">
                  <c:v>61</c:v>
                </c:pt>
                <c:pt idx="2">
                  <c:v>62</c:v>
                </c:pt>
                <c:pt idx="3">
                  <c:v>63</c:v>
                </c:pt>
                <c:pt idx="4">
                  <c:v>64</c:v>
                </c:pt>
                <c:pt idx="5">
                  <c:v>65</c:v>
                </c:pt>
                <c:pt idx="6">
                  <c:v>66</c:v>
                </c:pt>
                <c:pt idx="7">
                  <c:v>67</c:v>
                </c:pt>
                <c:pt idx="8">
                  <c:v>68</c:v>
                </c:pt>
                <c:pt idx="9">
                  <c:v>69</c:v>
                </c:pt>
                <c:pt idx="10">
                  <c:v>70</c:v>
                </c:pt>
                <c:pt idx="11">
                  <c:v>71</c:v>
                </c:pt>
                <c:pt idx="12">
                  <c:v>72</c:v>
                </c:pt>
                <c:pt idx="13">
                  <c:v>73</c:v>
                </c:pt>
                <c:pt idx="14">
                  <c:v>74</c:v>
                </c:pt>
                <c:pt idx="15">
                  <c:v>75</c:v>
                </c:pt>
                <c:pt idx="16">
                  <c:v>76</c:v>
                </c:pt>
                <c:pt idx="17">
                  <c:v>77</c:v>
                </c:pt>
                <c:pt idx="18">
                  <c:v>78</c:v>
                </c:pt>
                <c:pt idx="19">
                  <c:v>79</c:v>
                </c:pt>
                <c:pt idx="20">
                  <c:v>80</c:v>
                </c:pt>
                <c:pt idx="21">
                  <c:v>81</c:v>
                </c:pt>
                <c:pt idx="22">
                  <c:v>82</c:v>
                </c:pt>
                <c:pt idx="23">
                  <c:v>83</c:v>
                </c:pt>
                <c:pt idx="24">
                  <c:v>84</c:v>
                </c:pt>
                <c:pt idx="25">
                  <c:v>85</c:v>
                </c:pt>
                <c:pt idx="26">
                  <c:v>86</c:v>
                </c:pt>
                <c:pt idx="27">
                  <c:v>87</c:v>
                </c:pt>
                <c:pt idx="28">
                  <c:v>88</c:v>
                </c:pt>
                <c:pt idx="29">
                  <c:v>89</c:v>
                </c:pt>
                <c:pt idx="30">
                  <c:v>90</c:v>
                </c:pt>
                <c:pt idx="31">
                  <c:v>91</c:v>
                </c:pt>
                <c:pt idx="32">
                  <c:v>92</c:v>
                </c:pt>
                <c:pt idx="33">
                  <c:v>93</c:v>
                </c:pt>
                <c:pt idx="34">
                  <c:v>94</c:v>
                </c:pt>
                <c:pt idx="35">
                  <c:v>95</c:v>
                </c:pt>
                <c:pt idx="36">
                  <c:v>96</c:v>
                </c:pt>
              </c:numCache>
            </c:numRef>
          </c:cat>
          <c:val>
            <c:numRef>
              <c:f>'R. Results'!$G$930:$G$966</c:f>
              <c:numCache>
                <c:formatCode>"$"#,##0</c:formatCode>
                <c:ptCount val="37"/>
                <c:pt idx="0">
                  <c:v>48500</c:v>
                </c:pt>
                <c:pt idx="1">
                  <c:v>57218.68</c:v>
                </c:pt>
                <c:pt idx="2">
                  <c:v>58395.76</c:v>
                </c:pt>
                <c:pt idx="3">
                  <c:v>75978.51999999999</c:v>
                </c:pt>
                <c:pt idx="4">
                  <c:v>77358.090400000001</c:v>
                </c:pt>
                <c:pt idx="5">
                  <c:v>59995.8785536</c:v>
                </c:pt>
                <c:pt idx="6">
                  <c:v>61055.796124672008</c:v>
                </c:pt>
                <c:pt idx="7">
                  <c:v>42609.255697127672</c:v>
                </c:pt>
                <c:pt idx="8">
                  <c:v>43321.440811070228</c:v>
                </c:pt>
                <c:pt idx="9">
                  <c:v>44047.869627291635</c:v>
                </c:pt>
                <c:pt idx="10">
                  <c:v>49421.005815817553</c:v>
                </c:pt>
                <c:pt idx="11">
                  <c:v>80110.409333605538</c:v>
                </c:pt>
                <c:pt idx="12">
                  <c:v>51134.814450776576</c:v>
                </c:pt>
                <c:pt idx="13">
                  <c:v>39081.444435254147</c:v>
                </c:pt>
                <c:pt idx="14">
                  <c:v>41702.291468553536</c:v>
                </c:pt>
                <c:pt idx="15">
                  <c:v>141317.66016474809</c:v>
                </c:pt>
                <c:pt idx="16">
                  <c:v>36104.264043883093</c:v>
                </c:pt>
                <c:pt idx="17">
                  <c:v>34725.987195972128</c:v>
                </c:pt>
                <c:pt idx="18">
                  <c:v>35420.506939891566</c:v>
                </c:pt>
                <c:pt idx="19">
                  <c:v>36128.917078689396</c:v>
                </c:pt>
                <c:pt idx="20">
                  <c:v>36851.495420263185</c:v>
                </c:pt>
                <c:pt idx="21">
                  <c:v>37588.525328668446</c:v>
                </c:pt>
                <c:pt idx="22">
                  <c:v>38340.295835241814</c:v>
                </c:pt>
                <c:pt idx="23">
                  <c:v>39107.101751946648</c:v>
                </c:pt>
                <c:pt idx="24">
                  <c:v>39889.243786985578</c:v>
                </c:pt>
                <c:pt idx="25">
                  <c:v>40687.028662725294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743616"/>
        <c:axId val="207815040"/>
      </c:barChart>
      <c:catAx>
        <c:axId val="207743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7815040"/>
        <c:crosses val="autoZero"/>
        <c:auto val="1"/>
        <c:lblAlgn val="ctr"/>
        <c:lblOffset val="100"/>
        <c:noMultiLvlLbl val="0"/>
      </c:catAx>
      <c:valAx>
        <c:axId val="207815040"/>
        <c:scaling>
          <c:orientation val="minMax"/>
        </c:scaling>
        <c:delete val="0"/>
        <c:axPos val="l"/>
        <c:majorGridlines/>
        <c:numFmt formatCode="&quot;$&quot;#,##0" sourceLinked="1"/>
        <c:majorTickMark val="out"/>
        <c:minorTickMark val="none"/>
        <c:tickLblPos val="nextTo"/>
        <c:crossAx val="207743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R.7 Total S2 expenses FV</a:t>
            </a:r>
          </a:p>
        </c:rich>
      </c:tx>
      <c:layout>
        <c:manualLayout>
          <c:xMode val="edge"/>
          <c:yMode val="edge"/>
          <c:x val="0.11679983874012803"/>
          <c:y val="4.2328042328042333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'R. Results'!$H$929</c:f>
              <c:strCache>
                <c:ptCount val="1"/>
                <c:pt idx="0">
                  <c:v>Total S2 expenses FV</c:v>
                </c:pt>
              </c:strCache>
            </c:strRef>
          </c:tx>
          <c:invertIfNegative val="0"/>
          <c:cat>
            <c:numRef>
              <c:f>'R. Results'!$B$930:$B$966</c:f>
              <c:numCache>
                <c:formatCode>General</c:formatCode>
                <c:ptCount val="37"/>
                <c:pt idx="0">
                  <c:v>55</c:v>
                </c:pt>
                <c:pt idx="1">
                  <c:v>56</c:v>
                </c:pt>
                <c:pt idx="2">
                  <c:v>57</c:v>
                </c:pt>
                <c:pt idx="3">
                  <c:v>58</c:v>
                </c:pt>
                <c:pt idx="4">
                  <c:v>59</c:v>
                </c:pt>
                <c:pt idx="5">
                  <c:v>60</c:v>
                </c:pt>
                <c:pt idx="6">
                  <c:v>61</c:v>
                </c:pt>
                <c:pt idx="7">
                  <c:v>62</c:v>
                </c:pt>
                <c:pt idx="8">
                  <c:v>63</c:v>
                </c:pt>
                <c:pt idx="9">
                  <c:v>64</c:v>
                </c:pt>
                <c:pt idx="10">
                  <c:v>65</c:v>
                </c:pt>
                <c:pt idx="11">
                  <c:v>66</c:v>
                </c:pt>
                <c:pt idx="12">
                  <c:v>67</c:v>
                </c:pt>
                <c:pt idx="13">
                  <c:v>68</c:v>
                </c:pt>
                <c:pt idx="14">
                  <c:v>69</c:v>
                </c:pt>
                <c:pt idx="15">
                  <c:v>70</c:v>
                </c:pt>
                <c:pt idx="16">
                  <c:v>71</c:v>
                </c:pt>
                <c:pt idx="17">
                  <c:v>72</c:v>
                </c:pt>
                <c:pt idx="18">
                  <c:v>73</c:v>
                </c:pt>
                <c:pt idx="19">
                  <c:v>74</c:v>
                </c:pt>
                <c:pt idx="20">
                  <c:v>75</c:v>
                </c:pt>
                <c:pt idx="21">
                  <c:v>76</c:v>
                </c:pt>
                <c:pt idx="22">
                  <c:v>77</c:v>
                </c:pt>
                <c:pt idx="23">
                  <c:v>78</c:v>
                </c:pt>
                <c:pt idx="24">
                  <c:v>79</c:v>
                </c:pt>
                <c:pt idx="25">
                  <c:v>80</c:v>
                </c:pt>
                <c:pt idx="26">
                  <c:v>81</c:v>
                </c:pt>
                <c:pt idx="27">
                  <c:v>82</c:v>
                </c:pt>
                <c:pt idx="28">
                  <c:v>83</c:v>
                </c:pt>
                <c:pt idx="29">
                  <c:v>84</c:v>
                </c:pt>
                <c:pt idx="30">
                  <c:v>85</c:v>
                </c:pt>
                <c:pt idx="31">
                  <c:v>86</c:v>
                </c:pt>
                <c:pt idx="32">
                  <c:v>87</c:v>
                </c:pt>
                <c:pt idx="33">
                  <c:v>88</c:v>
                </c:pt>
                <c:pt idx="34">
                  <c:v>89</c:v>
                </c:pt>
                <c:pt idx="35">
                  <c:v>90</c:v>
                </c:pt>
                <c:pt idx="36">
                  <c:v>91</c:v>
                </c:pt>
              </c:numCache>
            </c:numRef>
          </c:cat>
          <c:val>
            <c:numRef>
              <c:f>'R. Results'!$H$930:$H$966</c:f>
              <c:numCache>
                <c:formatCode>"$"#,##0</c:formatCode>
                <c:ptCount val="37"/>
                <c:pt idx="0">
                  <c:v>37500</c:v>
                </c:pt>
                <c:pt idx="1">
                  <c:v>55960</c:v>
                </c:pt>
                <c:pt idx="2">
                  <c:v>54858.399999999994</c:v>
                </c:pt>
                <c:pt idx="3">
                  <c:v>73856.103999999992</c:v>
                </c:pt>
                <c:pt idx="4">
                  <c:v>76816.874320000003</c:v>
                </c:pt>
                <c:pt idx="5">
                  <c:v>57787.716947199995</c:v>
                </c:pt>
                <c:pt idx="6">
                  <c:v>58803.471286144006</c:v>
                </c:pt>
                <c:pt idx="7">
                  <c:v>40311.884361829114</c:v>
                </c:pt>
                <c:pt idx="8">
                  <c:v>42735.611120569098</c:v>
                </c:pt>
                <c:pt idx="9">
                  <c:v>48828.239901780878</c:v>
                </c:pt>
                <c:pt idx="10">
                  <c:v>54540.782379795521</c:v>
                </c:pt>
                <c:pt idx="11">
                  <c:v>47409.665022826186</c:v>
                </c:pt>
                <c:pt idx="12">
                  <c:v>50120.221015126539</c:v>
                </c:pt>
                <c:pt idx="13">
                  <c:v>44514.592283160084</c:v>
                </c:pt>
                <c:pt idx="14">
                  <c:v>45264.884128823294</c:v>
                </c:pt>
                <c:pt idx="15">
                  <c:v>146970.30718570945</c:v>
                </c:pt>
                <c:pt idx="16">
                  <c:v>39810.78544762775</c:v>
                </c:pt>
                <c:pt idx="17">
                  <c:v>40607.001156580307</c:v>
                </c:pt>
                <c:pt idx="18">
                  <c:v>41419.141179711907</c:v>
                </c:pt>
                <c:pt idx="19">
                  <c:v>87845.713703426227</c:v>
                </c:pt>
                <c:pt idx="20">
                  <c:v>43092.474483372273</c:v>
                </c:pt>
                <c:pt idx="21">
                  <c:v>43954.323973039718</c:v>
                </c:pt>
                <c:pt idx="22">
                  <c:v>44833.41045250051</c:v>
                </c:pt>
                <c:pt idx="23">
                  <c:v>45730.078661550513</c:v>
                </c:pt>
                <c:pt idx="24">
                  <c:v>46644.680234781525</c:v>
                </c:pt>
                <c:pt idx="25">
                  <c:v>47577.573839477154</c:v>
                </c:pt>
                <c:pt idx="26">
                  <c:v>60243.052116744875</c:v>
                </c:pt>
                <c:pt idx="27">
                  <c:v>61447.913159079762</c:v>
                </c:pt>
                <c:pt idx="28">
                  <c:v>62676.871422261371</c:v>
                </c:pt>
                <c:pt idx="29">
                  <c:v>63930.40885070659</c:v>
                </c:pt>
                <c:pt idx="30">
                  <c:v>65209.017027720722</c:v>
                </c:pt>
                <c:pt idx="31">
                  <c:v>66513.197368275127</c:v>
                </c:pt>
                <c:pt idx="32">
                  <c:v>67843.461315640641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831040"/>
        <c:axId val="207832576"/>
      </c:barChart>
      <c:catAx>
        <c:axId val="207831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7832576"/>
        <c:crosses val="autoZero"/>
        <c:auto val="1"/>
        <c:lblAlgn val="ctr"/>
        <c:lblOffset val="100"/>
        <c:noMultiLvlLbl val="0"/>
      </c:catAx>
      <c:valAx>
        <c:axId val="207832576"/>
        <c:scaling>
          <c:orientation val="minMax"/>
        </c:scaling>
        <c:delete val="0"/>
        <c:axPos val="l"/>
        <c:majorGridlines/>
        <c:numFmt formatCode="&quot;$&quot;#,##0" sourceLinked="1"/>
        <c:majorTickMark val="out"/>
        <c:minorTickMark val="none"/>
        <c:tickLblPos val="nextTo"/>
        <c:crossAx val="2078310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R.7 Total S1+S2 expenses FV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'R. Results'!$I$929</c:f>
              <c:strCache>
                <c:ptCount val="1"/>
                <c:pt idx="0">
                  <c:v>Total S1+S2 expenses FV</c:v>
                </c:pt>
              </c:strCache>
            </c:strRef>
          </c:tx>
          <c:invertIfNegative val="0"/>
          <c:val>
            <c:numRef>
              <c:f>'R. Results'!$I$930:$I$966</c:f>
              <c:numCache>
                <c:formatCode>"$"#,##0</c:formatCode>
                <c:ptCount val="37"/>
                <c:pt idx="0">
                  <c:v>86000</c:v>
                </c:pt>
                <c:pt idx="1">
                  <c:v>113178.68</c:v>
                </c:pt>
                <c:pt idx="2">
                  <c:v>113254.16</c:v>
                </c:pt>
                <c:pt idx="3">
                  <c:v>149834.62399999998</c:v>
                </c:pt>
                <c:pt idx="4">
                  <c:v>154174.96471999999</c:v>
                </c:pt>
                <c:pt idx="5">
                  <c:v>117783.5955008</c:v>
                </c:pt>
                <c:pt idx="6">
                  <c:v>119859.26741081601</c:v>
                </c:pt>
                <c:pt idx="7">
                  <c:v>82921.140058956778</c:v>
                </c:pt>
                <c:pt idx="8">
                  <c:v>86057.051931639318</c:v>
                </c:pt>
                <c:pt idx="9">
                  <c:v>92876.109529072506</c:v>
                </c:pt>
                <c:pt idx="10">
                  <c:v>103961.78819561307</c:v>
                </c:pt>
                <c:pt idx="11">
                  <c:v>127520.07435643172</c:v>
                </c:pt>
                <c:pt idx="12">
                  <c:v>101255.03546590311</c:v>
                </c:pt>
                <c:pt idx="13">
                  <c:v>83596.036718414223</c:v>
                </c:pt>
                <c:pt idx="14">
                  <c:v>86967.17559737683</c:v>
                </c:pt>
                <c:pt idx="15">
                  <c:v>288287.96735045756</c:v>
                </c:pt>
                <c:pt idx="16">
                  <c:v>75915.049491510843</c:v>
                </c:pt>
                <c:pt idx="17">
                  <c:v>75332.988352552435</c:v>
                </c:pt>
                <c:pt idx="18">
                  <c:v>76839.648119603473</c:v>
                </c:pt>
                <c:pt idx="19">
                  <c:v>123974.63078211562</c:v>
                </c:pt>
                <c:pt idx="20">
                  <c:v>79943.969903635458</c:v>
                </c:pt>
                <c:pt idx="21">
                  <c:v>81542.849301708164</c:v>
                </c:pt>
                <c:pt idx="22">
                  <c:v>83173.70628774233</c:v>
                </c:pt>
                <c:pt idx="23">
                  <c:v>84837.180413497161</c:v>
                </c:pt>
                <c:pt idx="24">
                  <c:v>86533.924021767103</c:v>
                </c:pt>
                <c:pt idx="25">
                  <c:v>88264.602502202441</c:v>
                </c:pt>
                <c:pt idx="26">
                  <c:v>60243.052116744875</c:v>
                </c:pt>
                <c:pt idx="27">
                  <c:v>61447.913159079762</c:v>
                </c:pt>
                <c:pt idx="28">
                  <c:v>62676.871422261371</c:v>
                </c:pt>
                <c:pt idx="29">
                  <c:v>63930.40885070659</c:v>
                </c:pt>
                <c:pt idx="30">
                  <c:v>65209.017027720722</c:v>
                </c:pt>
                <c:pt idx="31">
                  <c:v>66513.197368275127</c:v>
                </c:pt>
                <c:pt idx="32">
                  <c:v>67843.461315640641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869056"/>
        <c:axId val="207870592"/>
      </c:barChart>
      <c:catAx>
        <c:axId val="207869056"/>
        <c:scaling>
          <c:orientation val="minMax"/>
        </c:scaling>
        <c:delete val="0"/>
        <c:axPos val="b"/>
        <c:majorTickMark val="out"/>
        <c:minorTickMark val="none"/>
        <c:tickLblPos val="nextTo"/>
        <c:crossAx val="207870592"/>
        <c:crosses val="autoZero"/>
        <c:auto val="1"/>
        <c:lblAlgn val="ctr"/>
        <c:lblOffset val="100"/>
        <c:noMultiLvlLbl val="0"/>
      </c:catAx>
      <c:valAx>
        <c:axId val="207870592"/>
        <c:scaling>
          <c:orientation val="minMax"/>
        </c:scaling>
        <c:delete val="0"/>
        <c:axPos val="l"/>
        <c:majorGridlines/>
        <c:numFmt formatCode="&quot;$&quot;#,##0" sourceLinked="1"/>
        <c:majorTickMark val="out"/>
        <c:minorTickMark val="none"/>
        <c:tickLblPos val="nextTo"/>
        <c:crossAx val="2078690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R.1</a:t>
            </a:r>
            <a:r>
              <a:rPr lang="en-US" baseline="0"/>
              <a:t> </a:t>
            </a:r>
            <a:r>
              <a:rPr lang="en-US"/>
              <a:t>Total S1 Net worth (IRA+Roth+Savings) FV vs. Age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'R. Results'!$C$90</c:f>
              <c:strCache>
                <c:ptCount val="1"/>
                <c:pt idx="0">
                  <c:v>Total S1 Net worth (IRA+Roth+Savings) FV</c:v>
                </c:pt>
              </c:strCache>
            </c:strRef>
          </c:tx>
          <c:invertIfNegative val="0"/>
          <c:cat>
            <c:numRef>
              <c:f>'R. Results'!$A$91:$A$127</c:f>
              <c:numCache>
                <c:formatCode>General</c:formatCode>
                <c:ptCount val="37"/>
                <c:pt idx="0">
                  <c:v>60</c:v>
                </c:pt>
                <c:pt idx="1">
                  <c:v>61</c:v>
                </c:pt>
                <c:pt idx="2">
                  <c:v>62</c:v>
                </c:pt>
                <c:pt idx="3">
                  <c:v>63</c:v>
                </c:pt>
                <c:pt idx="4">
                  <c:v>64</c:v>
                </c:pt>
                <c:pt idx="5">
                  <c:v>65</c:v>
                </c:pt>
                <c:pt idx="6">
                  <c:v>66</c:v>
                </c:pt>
                <c:pt idx="7">
                  <c:v>67</c:v>
                </c:pt>
                <c:pt idx="8">
                  <c:v>68</c:v>
                </c:pt>
                <c:pt idx="9">
                  <c:v>69</c:v>
                </c:pt>
                <c:pt idx="10">
                  <c:v>70</c:v>
                </c:pt>
                <c:pt idx="11">
                  <c:v>71</c:v>
                </c:pt>
                <c:pt idx="12">
                  <c:v>72</c:v>
                </c:pt>
                <c:pt idx="13">
                  <c:v>73</c:v>
                </c:pt>
                <c:pt idx="14">
                  <c:v>74</c:v>
                </c:pt>
                <c:pt idx="15">
                  <c:v>75</c:v>
                </c:pt>
                <c:pt idx="16">
                  <c:v>76</c:v>
                </c:pt>
                <c:pt idx="17">
                  <c:v>77</c:v>
                </c:pt>
                <c:pt idx="18">
                  <c:v>78</c:v>
                </c:pt>
                <c:pt idx="19">
                  <c:v>79</c:v>
                </c:pt>
                <c:pt idx="20">
                  <c:v>80</c:v>
                </c:pt>
                <c:pt idx="21">
                  <c:v>81</c:v>
                </c:pt>
                <c:pt idx="22">
                  <c:v>82</c:v>
                </c:pt>
                <c:pt idx="23">
                  <c:v>83</c:v>
                </c:pt>
                <c:pt idx="24">
                  <c:v>84</c:v>
                </c:pt>
                <c:pt idx="25">
                  <c:v>85</c:v>
                </c:pt>
                <c:pt idx="26">
                  <c:v>86</c:v>
                </c:pt>
                <c:pt idx="27">
                  <c:v>87</c:v>
                </c:pt>
                <c:pt idx="28">
                  <c:v>88</c:v>
                </c:pt>
                <c:pt idx="29">
                  <c:v>89</c:v>
                </c:pt>
                <c:pt idx="30">
                  <c:v>90</c:v>
                </c:pt>
                <c:pt idx="31">
                  <c:v>91</c:v>
                </c:pt>
                <c:pt idx="32">
                  <c:v>92</c:v>
                </c:pt>
                <c:pt idx="33">
                  <c:v>93</c:v>
                </c:pt>
                <c:pt idx="34">
                  <c:v>94</c:v>
                </c:pt>
                <c:pt idx="35">
                  <c:v>95</c:v>
                </c:pt>
                <c:pt idx="36">
                  <c:v>96</c:v>
                </c:pt>
              </c:numCache>
            </c:numRef>
          </c:cat>
          <c:val>
            <c:numRef>
              <c:f>'R. Results'!$C$91:$C$127</c:f>
              <c:numCache>
                <c:formatCode>"$"#,##0_);[Red]\("$"#,##0\)</c:formatCode>
                <c:ptCount val="37"/>
                <c:pt idx="0">
                  <c:v>358000</c:v>
                </c:pt>
                <c:pt idx="1">
                  <c:v>362334.56284580269</c:v>
                </c:pt>
                <c:pt idx="2">
                  <c:v>365330.81442143355</c:v>
                </c:pt>
                <c:pt idx="3">
                  <c:v>366967.83813947527</c:v>
                </c:pt>
                <c:pt idx="4">
                  <c:v>354239.47249093984</c:v>
                </c:pt>
                <c:pt idx="5">
                  <c:v>344946.79717580188</c:v>
                </c:pt>
                <c:pt idx="6">
                  <c:v>337913.84072304657</c:v>
                </c:pt>
                <c:pt idx="7">
                  <c:v>373176.21068626817</c:v>
                </c:pt>
                <c:pt idx="8">
                  <c:v>413626.81183868792</c:v>
                </c:pt>
                <c:pt idx="9">
                  <c:v>433322.86713514052</c:v>
                </c:pt>
                <c:pt idx="10">
                  <c:v>474567.25451056944</c:v>
                </c:pt>
                <c:pt idx="11">
                  <c:v>537109.84714379127</c:v>
                </c:pt>
                <c:pt idx="12">
                  <c:v>600683.52003984246</c:v>
                </c:pt>
                <c:pt idx="13">
                  <c:v>624860.894572458</c:v>
                </c:pt>
                <c:pt idx="14">
                  <c:v>650090.96513297432</c:v>
                </c:pt>
                <c:pt idx="15">
                  <c:v>675838.57488531584</c:v>
                </c:pt>
                <c:pt idx="16">
                  <c:v>607913.38112914702</c:v>
                </c:pt>
                <c:pt idx="17">
                  <c:v>632693.39213747368</c:v>
                </c:pt>
                <c:pt idx="18">
                  <c:v>660677.77332867589</c:v>
                </c:pt>
                <c:pt idx="19">
                  <c:v>689894.15841429634</c:v>
                </c:pt>
                <c:pt idx="20">
                  <c:v>714593.26028649719</c:v>
                </c:pt>
                <c:pt idx="21">
                  <c:v>740365.02780975867</c:v>
                </c:pt>
                <c:pt idx="22">
                  <c:v>767236.61793572269</c:v>
                </c:pt>
                <c:pt idx="23">
                  <c:v>795244.56285988656</c:v>
                </c:pt>
                <c:pt idx="24">
                  <c:v>824423.38719101658</c:v>
                </c:pt>
                <c:pt idx="25">
                  <c:v>854819.10663227935</c:v>
                </c:pt>
                <c:pt idx="26">
                  <c:v>159765.13558980622</c:v>
                </c:pt>
                <c:pt idx="27">
                  <c:v>154703.47266604303</c:v>
                </c:pt>
                <c:pt idx="28">
                  <c:v>149829.0952575547</c:v>
                </c:pt>
                <c:pt idx="29">
                  <c:v>145147.93998113007</c:v>
                </c:pt>
                <c:pt idx="30">
                  <c:v>140682.43612532126</c:v>
                </c:pt>
                <c:pt idx="31">
                  <c:v>136480.39542733747</c:v>
                </c:pt>
                <c:pt idx="32">
                  <c:v>132548.68437582176</c:v>
                </c:pt>
                <c:pt idx="33">
                  <c:v>128893.43316241658</c:v>
                </c:pt>
                <c:pt idx="34">
                  <c:v>125544.67962726331</c:v>
                </c:pt>
                <c:pt idx="35">
                  <c:v>122546.84569490698</c:v>
                </c:pt>
                <c:pt idx="36">
                  <c:v>119904.35138700361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083200"/>
        <c:axId val="208101376"/>
      </c:barChart>
      <c:catAx>
        <c:axId val="208083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8101376"/>
        <c:crosses val="autoZero"/>
        <c:auto val="1"/>
        <c:lblAlgn val="ctr"/>
        <c:lblOffset val="100"/>
        <c:noMultiLvlLbl val="0"/>
      </c:catAx>
      <c:valAx>
        <c:axId val="208101376"/>
        <c:scaling>
          <c:orientation val="minMax"/>
        </c:scaling>
        <c:delete val="0"/>
        <c:axPos val="l"/>
        <c:majorGridlines/>
        <c:numFmt formatCode="&quot;$&quot;#,##0_);[Red]\(&quot;$&quot;#,##0\)" sourceLinked="1"/>
        <c:majorTickMark val="out"/>
        <c:minorTickMark val="none"/>
        <c:tickLblPos val="nextTo"/>
        <c:crossAx val="2080832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26225886732579"/>
          <c:y val="4.8433183185271962E-2"/>
          <c:w val="0.47008612402917482"/>
          <c:h val="0.87179729733491396"/>
        </c:manualLayout>
      </c:layout>
      <c:lineChart>
        <c:grouping val="standard"/>
        <c:varyColors val="0"/>
        <c:ser>
          <c:idx val="2"/>
          <c:order val="0"/>
          <c:tx>
            <c:strRef>
              <c:f>'R. Results'!$C$135</c:f>
              <c:strCache>
                <c:ptCount val="1"/>
                <c:pt idx="0">
                  <c:v>Total S1+S2 Income (P+SS+W+A) FV</c:v>
                </c:pt>
              </c:strCache>
            </c:strRef>
          </c:tx>
          <c:marker>
            <c:symbol val="none"/>
          </c:marker>
          <c:val>
            <c:numRef>
              <c:f>'R. Results'!$C$136:$C$172</c:f>
              <c:numCache>
                <c:formatCode>"$"#,##0</c:formatCode>
                <c:ptCount val="37"/>
                <c:pt idx="0">
                  <c:v>101000</c:v>
                </c:pt>
                <c:pt idx="1">
                  <c:v>102820</c:v>
                </c:pt>
                <c:pt idx="2">
                  <c:v>104673.39999999998</c:v>
                </c:pt>
                <c:pt idx="3">
                  <c:v>67961.46862499998</c:v>
                </c:pt>
                <c:pt idx="4">
                  <c:v>68633.227044374973</c:v>
                </c:pt>
                <c:pt idx="5">
                  <c:v>69314.199018590574</c:v>
                </c:pt>
                <c:pt idx="6">
                  <c:v>128584.93075466579</c:v>
                </c:pt>
                <c:pt idx="7">
                  <c:v>130456.39461932714</c:v>
                </c:pt>
                <c:pt idx="8">
                  <c:v>132360.96650508163</c:v>
                </c:pt>
                <c:pt idx="9">
                  <c:v>155122.56758050848</c:v>
                </c:pt>
                <c:pt idx="10">
                  <c:v>161011.71833647703</c:v>
                </c:pt>
                <c:pt idx="11">
                  <c:v>163444.22806210519</c:v>
                </c:pt>
                <c:pt idx="12">
                  <c:v>147986.65638149867</c:v>
                </c:pt>
                <c:pt idx="13">
                  <c:v>150239.38282200991</c:v>
                </c:pt>
                <c:pt idx="14">
                  <c:v>152533.97875789582</c:v>
                </c:pt>
                <c:pt idx="15">
                  <c:v>111763.95615037341</c:v>
                </c:pt>
                <c:pt idx="16">
                  <c:v>113929.23527338088</c:v>
                </c:pt>
                <c:pt idx="17">
                  <c:v>116137.81997884852</c:v>
                </c:pt>
                <c:pt idx="18">
                  <c:v>118390.57637842548</c:v>
                </c:pt>
                <c:pt idx="19">
                  <c:v>107295.43039476963</c:v>
                </c:pt>
                <c:pt idx="20">
                  <c:v>109371.33900266502</c:v>
                </c:pt>
                <c:pt idx="21">
                  <c:v>111488.76578271831</c:v>
                </c:pt>
                <c:pt idx="22">
                  <c:v>113648.54109837268</c:v>
                </c:pt>
                <c:pt idx="23">
                  <c:v>115851.51192034013</c:v>
                </c:pt>
                <c:pt idx="24">
                  <c:v>118098.54215874693</c:v>
                </c:pt>
                <c:pt idx="25">
                  <c:v>48499.975346262654</c:v>
                </c:pt>
                <c:pt idx="26">
                  <c:v>44942.132665252837</c:v>
                </c:pt>
                <c:pt idx="27">
                  <c:v>45770.975318557888</c:v>
                </c:pt>
                <c:pt idx="28">
                  <c:v>46616.394824929062</c:v>
                </c:pt>
                <c:pt idx="29">
                  <c:v>47478.722721427635</c:v>
                </c:pt>
                <c:pt idx="30">
                  <c:v>48358.297175856191</c:v>
                </c:pt>
                <c:pt idx="31">
                  <c:v>49255.463119373308</c:v>
                </c:pt>
                <c:pt idx="32">
                  <c:v>3500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'R. Results'!$E$135</c:f>
              <c:strCache>
                <c:ptCount val="1"/>
                <c:pt idx="0">
                  <c:v>Total S1+S2 Expenses FV</c:v>
                </c:pt>
              </c:strCache>
            </c:strRef>
          </c:tx>
          <c:marker>
            <c:symbol val="none"/>
          </c:marker>
          <c:val>
            <c:numRef>
              <c:f>'R. Results'!$E$136:$E$172</c:f>
              <c:numCache>
                <c:formatCode>"$"#,##0</c:formatCode>
                <c:ptCount val="37"/>
                <c:pt idx="0">
                  <c:v>86000</c:v>
                </c:pt>
                <c:pt idx="1">
                  <c:v>113178.68</c:v>
                </c:pt>
                <c:pt idx="2">
                  <c:v>113254.16</c:v>
                </c:pt>
                <c:pt idx="3">
                  <c:v>149834.62399999998</c:v>
                </c:pt>
                <c:pt idx="4">
                  <c:v>154174.96471999999</c:v>
                </c:pt>
                <c:pt idx="5">
                  <c:v>117783.5955008</c:v>
                </c:pt>
                <c:pt idx="6">
                  <c:v>119859.26741081601</c:v>
                </c:pt>
                <c:pt idx="7">
                  <c:v>82921.140058956778</c:v>
                </c:pt>
                <c:pt idx="8">
                  <c:v>86057.051931639318</c:v>
                </c:pt>
                <c:pt idx="9">
                  <c:v>92876.109529072506</c:v>
                </c:pt>
                <c:pt idx="10">
                  <c:v>103961.78819561307</c:v>
                </c:pt>
                <c:pt idx="11">
                  <c:v>127520.07435643172</c:v>
                </c:pt>
                <c:pt idx="12">
                  <c:v>101255.03546590311</c:v>
                </c:pt>
                <c:pt idx="13">
                  <c:v>83596.036718414223</c:v>
                </c:pt>
                <c:pt idx="14">
                  <c:v>86967.17559737683</c:v>
                </c:pt>
                <c:pt idx="15">
                  <c:v>288287.96735045756</c:v>
                </c:pt>
                <c:pt idx="16">
                  <c:v>75915.049491510843</c:v>
                </c:pt>
                <c:pt idx="17">
                  <c:v>75332.988352552435</c:v>
                </c:pt>
                <c:pt idx="18">
                  <c:v>76839.648119603473</c:v>
                </c:pt>
                <c:pt idx="19">
                  <c:v>123974.63078211562</c:v>
                </c:pt>
                <c:pt idx="20">
                  <c:v>79943.969903635458</c:v>
                </c:pt>
                <c:pt idx="21">
                  <c:v>81542.849301708164</c:v>
                </c:pt>
                <c:pt idx="22">
                  <c:v>83173.70628774233</c:v>
                </c:pt>
                <c:pt idx="23">
                  <c:v>84837.180413497161</c:v>
                </c:pt>
                <c:pt idx="24">
                  <c:v>86533.924021767103</c:v>
                </c:pt>
                <c:pt idx="25">
                  <c:v>88264.602502202441</c:v>
                </c:pt>
                <c:pt idx="26">
                  <c:v>60243.052116744875</c:v>
                </c:pt>
                <c:pt idx="27">
                  <c:v>61447.913159079762</c:v>
                </c:pt>
                <c:pt idx="28">
                  <c:v>62676.871422261371</c:v>
                </c:pt>
                <c:pt idx="29">
                  <c:v>63930.40885070659</c:v>
                </c:pt>
                <c:pt idx="30">
                  <c:v>65209.017027720722</c:v>
                </c:pt>
                <c:pt idx="31">
                  <c:v>66513.197368275127</c:v>
                </c:pt>
                <c:pt idx="32">
                  <c:v>67843.461315640641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'R. Results'!$F$135</c:f>
              <c:strCache>
                <c:ptCount val="1"/>
                <c:pt idx="0">
                  <c:v>Estimated (Fed+State)  tax rate (includes LTCG+Fed surtaxes) PV</c:v>
                </c:pt>
              </c:strCache>
            </c:strRef>
          </c:tx>
          <c:marker>
            <c:symbol val="none"/>
          </c:marker>
          <c:val>
            <c:numRef>
              <c:f>'R. Results'!$F$136:$F$172</c:f>
              <c:numCache>
                <c:formatCode>"$"#,##0</c:formatCode>
                <c:ptCount val="37"/>
                <c:pt idx="0">
                  <c:v>19446.5</c:v>
                </c:pt>
                <c:pt idx="1">
                  <c:v>19344.921117647056</c:v>
                </c:pt>
                <c:pt idx="2">
                  <c:v>19228.962965553095</c:v>
                </c:pt>
                <c:pt idx="3">
                  <c:v>10268.001241932736</c:v>
                </c:pt>
                <c:pt idx="4">
                  <c:v>9936.8637041482871</c:v>
                </c:pt>
                <c:pt idx="5">
                  <c:v>9617.107593361281</c:v>
                </c:pt>
                <c:pt idx="6">
                  <c:v>22440.293504947102</c:v>
                </c:pt>
                <c:pt idx="7">
                  <c:v>22460.234817640201</c:v>
                </c:pt>
                <c:pt idx="8">
                  <c:v>22476.304650928778</c:v>
                </c:pt>
                <c:pt idx="9">
                  <c:v>27695.013285824993</c:v>
                </c:pt>
                <c:pt idx="10">
                  <c:v>28599.313363158064</c:v>
                </c:pt>
                <c:pt idx="11">
                  <c:v>28736.79853224328</c:v>
                </c:pt>
                <c:pt idx="12">
                  <c:v>24735.239518841794</c:v>
                </c:pt>
                <c:pt idx="13">
                  <c:v>24891.121377444098</c:v>
                </c:pt>
                <c:pt idx="14">
                  <c:v>25053.105914363034</c:v>
                </c:pt>
                <c:pt idx="15">
                  <c:v>15596.365835653665</c:v>
                </c:pt>
                <c:pt idx="16">
                  <c:v>14689.756769040181</c:v>
                </c:pt>
                <c:pt idx="17">
                  <c:v>14817.462853087049</c:v>
                </c:pt>
                <c:pt idx="18">
                  <c:v>14962.36433885419</c:v>
                </c:pt>
                <c:pt idx="19">
                  <c:v>13270.521945003076</c:v>
                </c:pt>
                <c:pt idx="20">
                  <c:v>13353.891003922465</c:v>
                </c:pt>
                <c:pt idx="21">
                  <c:v>13448.08349886392</c:v>
                </c:pt>
                <c:pt idx="22">
                  <c:v>13536.493235489013</c:v>
                </c:pt>
                <c:pt idx="23">
                  <c:v>13625.752266605894</c:v>
                </c:pt>
                <c:pt idx="24">
                  <c:v>13716.057300992177</c:v>
                </c:pt>
                <c:pt idx="25">
                  <c:v>5043.4354253620868</c:v>
                </c:pt>
                <c:pt idx="26">
                  <c:v>2462.1442690338954</c:v>
                </c:pt>
                <c:pt idx="27">
                  <c:v>2396.0942375804816</c:v>
                </c:pt>
                <c:pt idx="28">
                  <c:v>2328.3980984628733</c:v>
                </c:pt>
                <c:pt idx="29">
                  <c:v>2259.0335953460071</c:v>
                </c:pt>
                <c:pt idx="30">
                  <c:v>2187.9787607995863</c:v>
                </c:pt>
                <c:pt idx="31">
                  <c:v>850.64518588932276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5"/>
          <c:order val="3"/>
          <c:tx>
            <c:strRef>
              <c:f>'R. Results'!$G$135</c:f>
              <c:strCache>
                <c:ptCount val="1"/>
                <c:pt idx="0">
                  <c:v>Estimated (Fed+State) Marginal tax rate</c:v>
                </c:pt>
              </c:strCache>
            </c:strRef>
          </c:tx>
          <c:marker>
            <c:symbol val="none"/>
          </c:marker>
          <c:val>
            <c:numRef>
              <c:f>'R. Results'!$G$136:$G$172</c:f>
              <c:numCache>
                <c:formatCode>0%</c:formatCode>
                <c:ptCount val="37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0.3</c:v>
                </c:pt>
                <c:pt idx="7">
                  <c:v>0.3</c:v>
                </c:pt>
                <c:pt idx="8">
                  <c:v>0.3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  <c:pt idx="24">
                  <c:v>0.2</c:v>
                </c:pt>
                <c:pt idx="25">
                  <c:v>0.2</c:v>
                </c:pt>
                <c:pt idx="26">
                  <c:v>0.2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0.2</c:v>
                </c:pt>
                <c:pt idx="31">
                  <c:v>0.2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6"/>
          <c:order val="4"/>
          <c:tx>
            <c:strRef>
              <c:f>'R. Results'!$H$135</c:f>
              <c:strCache>
                <c:ptCount val="1"/>
                <c:pt idx="0">
                  <c:v>Average Est. Fed+State  tax rate</c:v>
                </c:pt>
              </c:strCache>
            </c:strRef>
          </c:tx>
          <c:marker>
            <c:symbol val="none"/>
          </c:marker>
          <c:val>
            <c:numRef>
              <c:f>'R. Results'!$H$136:$H$172</c:f>
              <c:numCache>
                <c:formatCode>0.0%</c:formatCode>
                <c:ptCount val="37"/>
                <c:pt idx="0">
                  <c:v>0.18421351773788661</c:v>
                </c:pt>
                <c:pt idx="1">
                  <c:v>0.17983967348723356</c:v>
                </c:pt>
                <c:pt idx="2">
                  <c:v>0.17549353734027417</c:v>
                </c:pt>
                <c:pt idx="3">
                  <c:v>0.14074624618924303</c:v>
                </c:pt>
                <c:pt idx="4">
                  <c:v>0.13592789370855315</c:v>
                </c:pt>
                <c:pt idx="5">
                  <c:v>0.13121760758265827</c:v>
                </c:pt>
                <c:pt idx="6">
                  <c:v>0.16968617526395918</c:v>
                </c:pt>
                <c:pt idx="7">
                  <c:v>0.16628215532101165</c:v>
                </c:pt>
                <c:pt idx="8">
                  <c:v>0.16293627347074482</c:v>
                </c:pt>
                <c:pt idx="9">
                  <c:v>0.17133364926030151</c:v>
                </c:pt>
                <c:pt idx="10">
                  <c:v>0.16958416536767038</c:v>
                </c:pt>
                <c:pt idx="11">
                  <c:v>0.16651507837629934</c:v>
                </c:pt>
                <c:pt idx="12">
                  <c:v>0.15555485170826217</c:v>
                </c:pt>
                <c:pt idx="13">
                  <c:v>0.15281747446762214</c:v>
                </c:pt>
                <c:pt idx="14">
                  <c:v>0.15014549650851494</c:v>
                </c:pt>
                <c:pt idx="15">
                  <c:v>0.12205280221315938</c:v>
                </c:pt>
                <c:pt idx="16">
                  <c:v>0.11575404866225077</c:v>
                </c:pt>
                <c:pt idx="17">
                  <c:v>0.11369794274563437</c:v>
                </c:pt>
                <c:pt idx="18">
                  <c:v>0.11173765007195739</c:v>
                </c:pt>
                <c:pt idx="19">
                  <c:v>0.10685626311058259</c:v>
                </c:pt>
                <c:pt idx="20">
                  <c:v>0.10485140512656678</c:v>
                </c:pt>
                <c:pt idx="21">
                  <c:v>0.10292316482054258</c:v>
                </c:pt>
                <c:pt idx="22">
                  <c:v>0.10101275987707033</c:v>
                </c:pt>
                <c:pt idx="23">
                  <c:v>9.91425038538742E-2</c:v>
                </c:pt>
                <c:pt idx="24">
                  <c:v>9.7312161593629237E-2</c:v>
                </c:pt>
                <c:pt idx="25">
                  <c:v>6.9413644676466296E-2</c:v>
                </c:pt>
                <c:pt idx="26">
                  <c:v>4.1596138267302463E-2</c:v>
                </c:pt>
                <c:pt idx="27">
                  <c:v>3.9746610909133867E-2</c:v>
                </c:pt>
                <c:pt idx="28">
                  <c:v>3.7925431868627402E-2</c:v>
                </c:pt>
                <c:pt idx="29">
                  <c:v>3.6132072715827489E-2</c:v>
                </c:pt>
                <c:pt idx="30">
                  <c:v>3.4366027187795009E-2</c:v>
                </c:pt>
                <c:pt idx="31">
                  <c:v>1.7270067765432183E-2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7"/>
          <c:order val="5"/>
          <c:tx>
            <c:strRef>
              <c:f>'R. Results'!$I$135</c:f>
              <c:strCache>
                <c:ptCount val="1"/>
                <c:pt idx="0">
                  <c:v>S1+S2 cash flow (income + withdrawals - contributions - expenses - taxes) FV</c:v>
                </c:pt>
              </c:strCache>
            </c:strRef>
          </c:tx>
          <c:marker>
            <c:symbol val="none"/>
          </c:marker>
          <c:val>
            <c:numRef>
              <c:f>'R. Results'!$I$136:$I$172</c:f>
              <c:numCache>
                <c:formatCode>"$"#,##0_);[Red]\("$"#,##0\)</c:formatCode>
                <c:ptCount val="37"/>
                <c:pt idx="0">
                  <c:v>2030.5</c:v>
                </c:pt>
                <c:pt idx="1">
                  <c:v>500.48388235292805</c:v>
                </c:pt>
                <c:pt idx="2">
                  <c:v>-1886.6126655531116</c:v>
                </c:pt>
                <c:pt idx="3">
                  <c:v>-28518.193452755251</c:v>
                </c:pt>
                <c:pt idx="4">
                  <c:v>-25933.075763868241</c:v>
                </c:pt>
                <c:pt idx="5">
                  <c:v>-17441.60079352012</c:v>
                </c:pt>
                <c:pt idx="6">
                  <c:v>38117.600181043381</c:v>
                </c:pt>
                <c:pt idx="7">
                  <c:v>39714.649824285225</c:v>
                </c:pt>
                <c:pt idx="8">
                  <c:v>33775.310921474826</c:v>
                </c:pt>
                <c:pt idx="9">
                  <c:v>44380.763554987992</c:v>
                </c:pt>
                <c:pt idx="10">
                  <c:v>61663.065971106189</c:v>
                </c:pt>
                <c:pt idx="11">
                  <c:v>76496.463112016732</c:v>
                </c:pt>
                <c:pt idx="12">
                  <c:v>58557.230050259415</c:v>
                </c:pt>
                <c:pt idx="13">
                  <c:v>60321.185451828547</c:v>
                </c:pt>
                <c:pt idx="14">
                  <c:v>61139.617101059383</c:v>
                </c:pt>
                <c:pt idx="15">
                  <c:v>-133315.72262339678</c:v>
                </c:pt>
                <c:pt idx="16">
                  <c:v>43351.891047956567</c:v>
                </c:pt>
                <c:pt idx="17">
                  <c:v>47722.990103866592</c:v>
                </c:pt>
                <c:pt idx="18">
                  <c:v>48984.631697891753</c:v>
                </c:pt>
                <c:pt idx="19">
                  <c:v>36793.929986987139</c:v>
                </c:pt>
                <c:pt idx="20">
                  <c:v>39646.768062872521</c:v>
                </c:pt>
                <c:pt idx="21">
                  <c:v>39279.587495853215</c:v>
                </c:pt>
                <c:pt idx="22">
                  <c:v>40226.381624264563</c:v>
                </c:pt>
                <c:pt idx="23">
                  <c:v>41229.36088801967</c:v>
                </c:pt>
                <c:pt idx="24">
                  <c:v>42234.638900549209</c:v>
                </c:pt>
                <c:pt idx="25">
                  <c:v>-19910.730388163753</c:v>
                </c:pt>
                <c:pt idx="26">
                  <c:v>1045.5114746203581</c:v>
                </c:pt>
                <c:pt idx="27">
                  <c:v>761.25171101500018</c:v>
                </c:pt>
                <c:pt idx="28">
                  <c:v>473.76631152354094</c:v>
                </c:pt>
                <c:pt idx="29">
                  <c:v>183.61465745324313</c:v>
                </c:pt>
                <c:pt idx="30">
                  <c:v>-214.21464408125757</c:v>
                </c:pt>
                <c:pt idx="31">
                  <c:v>649.91300853846769</c:v>
                </c:pt>
                <c:pt idx="32">
                  <c:v>-45641.77936295118</c:v>
                </c:pt>
                <c:pt idx="33">
                  <c:v>12782.109979255671</c:v>
                </c:pt>
                <c:pt idx="34">
                  <c:v>12556.902161270484</c:v>
                </c:pt>
                <c:pt idx="35">
                  <c:v>12294.198126815643</c:v>
                </c:pt>
                <c:pt idx="36">
                  <c:v>12042.348738792227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160640"/>
        <c:axId val="122162176"/>
      </c:lineChart>
      <c:catAx>
        <c:axId val="122160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2162176"/>
        <c:crosses val="autoZero"/>
        <c:auto val="1"/>
        <c:lblAlgn val="ctr"/>
        <c:lblOffset val="100"/>
        <c:noMultiLvlLbl val="0"/>
      </c:catAx>
      <c:valAx>
        <c:axId val="122162176"/>
        <c:scaling>
          <c:orientation val="minMax"/>
        </c:scaling>
        <c:delete val="0"/>
        <c:axPos val="l"/>
        <c:majorGridlines/>
        <c:numFmt formatCode="&quot;$&quot;#,##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216064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6335218661048811"/>
          <c:y val="1.4245014245014283E-2"/>
          <c:w val="0.27698865106650788"/>
          <c:h val="0.96011665208515662"/>
        </c:manualLayout>
      </c:layout>
      <c:overlay val="0"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1088" l="0.70000000000000062" r="0.70000000000000062" t="0.75000000000001088" header="0.30000000000000032" footer="0.30000000000000032"/>
    <c:pageSetup orientation="portrait" horizontalDpi="0" verticalDpi="0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R.1 Total S2 Net worth (IRA+Roth+Savings) FV vs. Age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'R. Results'!$D$90</c:f>
              <c:strCache>
                <c:ptCount val="1"/>
                <c:pt idx="0">
                  <c:v>Total S2 Net worth (IRA+Roth+Savings) FV</c:v>
                </c:pt>
              </c:strCache>
            </c:strRef>
          </c:tx>
          <c:invertIfNegative val="0"/>
          <c:cat>
            <c:numRef>
              <c:f>'R. Results'!$B$91:$B$127</c:f>
              <c:numCache>
                <c:formatCode>General</c:formatCode>
                <c:ptCount val="37"/>
                <c:pt idx="0">
                  <c:v>55</c:v>
                </c:pt>
                <c:pt idx="1">
                  <c:v>56</c:v>
                </c:pt>
                <c:pt idx="2">
                  <c:v>57</c:v>
                </c:pt>
                <c:pt idx="3">
                  <c:v>58</c:v>
                </c:pt>
                <c:pt idx="4">
                  <c:v>59</c:v>
                </c:pt>
                <c:pt idx="5">
                  <c:v>60</c:v>
                </c:pt>
                <c:pt idx="6">
                  <c:v>61</c:v>
                </c:pt>
                <c:pt idx="7">
                  <c:v>62</c:v>
                </c:pt>
                <c:pt idx="8">
                  <c:v>63</c:v>
                </c:pt>
                <c:pt idx="9">
                  <c:v>64</c:v>
                </c:pt>
                <c:pt idx="10">
                  <c:v>65</c:v>
                </c:pt>
                <c:pt idx="11">
                  <c:v>66</c:v>
                </c:pt>
                <c:pt idx="12">
                  <c:v>67</c:v>
                </c:pt>
                <c:pt idx="13">
                  <c:v>68</c:v>
                </c:pt>
                <c:pt idx="14">
                  <c:v>69</c:v>
                </c:pt>
                <c:pt idx="15">
                  <c:v>70</c:v>
                </c:pt>
                <c:pt idx="16">
                  <c:v>71</c:v>
                </c:pt>
                <c:pt idx="17">
                  <c:v>72</c:v>
                </c:pt>
                <c:pt idx="18">
                  <c:v>73</c:v>
                </c:pt>
                <c:pt idx="19">
                  <c:v>74</c:v>
                </c:pt>
                <c:pt idx="20">
                  <c:v>75</c:v>
                </c:pt>
                <c:pt idx="21">
                  <c:v>76</c:v>
                </c:pt>
                <c:pt idx="22">
                  <c:v>77</c:v>
                </c:pt>
                <c:pt idx="23">
                  <c:v>78</c:v>
                </c:pt>
                <c:pt idx="24">
                  <c:v>79</c:v>
                </c:pt>
                <c:pt idx="25">
                  <c:v>80</c:v>
                </c:pt>
                <c:pt idx="26">
                  <c:v>81</c:v>
                </c:pt>
                <c:pt idx="27">
                  <c:v>82</c:v>
                </c:pt>
                <c:pt idx="28">
                  <c:v>83</c:v>
                </c:pt>
                <c:pt idx="29">
                  <c:v>84</c:v>
                </c:pt>
                <c:pt idx="30">
                  <c:v>85</c:v>
                </c:pt>
                <c:pt idx="31">
                  <c:v>86</c:v>
                </c:pt>
                <c:pt idx="32">
                  <c:v>87</c:v>
                </c:pt>
                <c:pt idx="33">
                  <c:v>88</c:v>
                </c:pt>
                <c:pt idx="34">
                  <c:v>89</c:v>
                </c:pt>
                <c:pt idx="35">
                  <c:v>90</c:v>
                </c:pt>
                <c:pt idx="36">
                  <c:v>91</c:v>
                </c:pt>
              </c:numCache>
            </c:numRef>
          </c:cat>
          <c:val>
            <c:numRef>
              <c:f>'R. Results'!$D$91:$D$127</c:f>
              <c:numCache>
                <c:formatCode>"$"#,##0_);[Red]\("$"#,##0\)</c:formatCode>
                <c:ptCount val="37"/>
                <c:pt idx="0">
                  <c:v>196000</c:v>
                </c:pt>
                <c:pt idx="1">
                  <c:v>199942.97068057093</c:v>
                </c:pt>
                <c:pt idx="2">
                  <c:v>206466.59152301872</c:v>
                </c:pt>
                <c:pt idx="3">
                  <c:v>218589.12041703158</c:v>
                </c:pt>
                <c:pt idx="4">
                  <c:v>220486.53317201108</c:v>
                </c:pt>
                <c:pt idx="5">
                  <c:v>212013.11394746316</c:v>
                </c:pt>
                <c:pt idx="6">
                  <c:v>211335.46917797864</c:v>
                </c:pt>
                <c:pt idx="7">
                  <c:v>225051.82719447551</c:v>
                </c:pt>
                <c:pt idx="8">
                  <c:v>233794.24519154039</c:v>
                </c:pt>
                <c:pt idx="9">
                  <c:v>256898.69798077442</c:v>
                </c:pt>
                <c:pt idx="10">
                  <c:v>269138.09445502621</c:v>
                </c:pt>
                <c:pt idx="11">
                  <c:v>279822.91170365282</c:v>
                </c:pt>
                <c:pt idx="12">
                  <c:v>299663.07215264149</c:v>
                </c:pt>
                <c:pt idx="13">
                  <c:v>333923.78909597057</c:v>
                </c:pt>
                <c:pt idx="14">
                  <c:v>369692.96067066735</c:v>
                </c:pt>
                <c:pt idx="15">
                  <c:v>404040.31570143683</c:v>
                </c:pt>
                <c:pt idx="16">
                  <c:v>338215.25251450436</c:v>
                </c:pt>
                <c:pt idx="17">
                  <c:v>354744.7485151029</c:v>
                </c:pt>
                <c:pt idx="18">
                  <c:v>373259.81156462175</c:v>
                </c:pt>
                <c:pt idx="19">
                  <c:v>392669.95460486109</c:v>
                </c:pt>
                <c:pt idx="20">
                  <c:v>405336.00412491499</c:v>
                </c:pt>
                <c:pt idx="21">
                  <c:v>420543.55726971646</c:v>
                </c:pt>
                <c:pt idx="22">
                  <c:v>435111.67743007548</c:v>
                </c:pt>
                <c:pt idx="23">
                  <c:v>450329.69282673491</c:v>
                </c:pt>
                <c:pt idx="24">
                  <c:v>466238.74960698327</c:v>
                </c:pt>
                <c:pt idx="25">
                  <c:v>482850.58970117604</c:v>
                </c:pt>
                <c:pt idx="26">
                  <c:v>658990.32144247298</c:v>
                </c:pt>
                <c:pt idx="27">
                  <c:v>665767.22177955182</c:v>
                </c:pt>
                <c:pt idx="28">
                  <c:v>672626.43813208851</c:v>
                </c:pt>
                <c:pt idx="29">
                  <c:v>679568.66157182527</c:v>
                </c:pt>
                <c:pt idx="30">
                  <c:v>686608.89379911555</c:v>
                </c:pt>
                <c:pt idx="31">
                  <c:v>693715.65023730334</c:v>
                </c:pt>
                <c:pt idx="32">
                  <c:v>701523.27046108129</c:v>
                </c:pt>
                <c:pt idx="33">
                  <c:v>122652.47278151265</c:v>
                </c:pt>
                <c:pt idx="34">
                  <c:v>120436.74709033642</c:v>
                </c:pt>
                <c:pt idx="35">
                  <c:v>118354.45584170551</c:v>
                </c:pt>
                <c:pt idx="36">
                  <c:v>116429.99083098711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133504"/>
        <c:axId val="205657216"/>
      </c:barChart>
      <c:catAx>
        <c:axId val="208133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5657216"/>
        <c:crosses val="autoZero"/>
        <c:auto val="1"/>
        <c:lblAlgn val="ctr"/>
        <c:lblOffset val="100"/>
        <c:noMultiLvlLbl val="0"/>
      </c:catAx>
      <c:valAx>
        <c:axId val="205657216"/>
        <c:scaling>
          <c:orientation val="minMax"/>
        </c:scaling>
        <c:delete val="0"/>
        <c:axPos val="l"/>
        <c:majorGridlines/>
        <c:numFmt formatCode="&quot;$&quot;#,##0_);[Red]\(&quot;$&quot;#,##0\)" sourceLinked="1"/>
        <c:majorTickMark val="out"/>
        <c:minorTickMark val="none"/>
        <c:tickLblPos val="nextTo"/>
        <c:crossAx val="2081335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R.1</a:t>
            </a:r>
            <a:r>
              <a:rPr lang="en-US" baseline="0"/>
              <a:t> </a:t>
            </a:r>
            <a:r>
              <a:rPr lang="en-US"/>
              <a:t>Total </a:t>
            </a:r>
            <a:r>
              <a:rPr lang="en-US" sz="1800" b="1" i="0" u="none" strike="noStrike" baseline="0">
                <a:effectLst/>
              </a:rPr>
              <a:t> S1+S2 Net worth (IRA+Roth+Savings) FV </a:t>
            </a:r>
            <a:r>
              <a:rPr lang="en-US"/>
              <a:t>vs. Years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'R. Results'!$E$90</c:f>
              <c:strCache>
                <c:ptCount val="1"/>
                <c:pt idx="0">
                  <c:v>Total S1+S2 Net worth (IRA+Roth+Savings) FV</c:v>
                </c:pt>
              </c:strCache>
            </c:strRef>
          </c:tx>
          <c:invertIfNegative val="0"/>
          <c:val>
            <c:numRef>
              <c:f>'R. Results'!$E$91:$E$127</c:f>
              <c:numCache>
                <c:formatCode>"$"#,##0_);[Red]\("$"#,##0\)</c:formatCode>
                <c:ptCount val="37"/>
                <c:pt idx="0">
                  <c:v>554000</c:v>
                </c:pt>
                <c:pt idx="1">
                  <c:v>562277.53352637356</c:v>
                </c:pt>
                <c:pt idx="2">
                  <c:v>571797.40594445227</c:v>
                </c:pt>
                <c:pt idx="3">
                  <c:v>585556.95855650678</c:v>
                </c:pt>
                <c:pt idx="4">
                  <c:v>574726.00566295092</c:v>
                </c:pt>
                <c:pt idx="5">
                  <c:v>556959.91112326505</c:v>
                </c:pt>
                <c:pt idx="6">
                  <c:v>549249.30990102515</c:v>
                </c:pt>
                <c:pt idx="7">
                  <c:v>598228.03788074362</c:v>
                </c:pt>
                <c:pt idx="8">
                  <c:v>647421.05703022832</c:v>
                </c:pt>
                <c:pt idx="9">
                  <c:v>690221.56511591491</c:v>
                </c:pt>
                <c:pt idx="10">
                  <c:v>743705.34896559571</c:v>
                </c:pt>
                <c:pt idx="11">
                  <c:v>816932.75884744409</c:v>
                </c:pt>
                <c:pt idx="12">
                  <c:v>900346.59219248395</c:v>
                </c:pt>
                <c:pt idx="13">
                  <c:v>958784.68366842857</c:v>
                </c:pt>
                <c:pt idx="14">
                  <c:v>1019783.9258036417</c:v>
                </c:pt>
                <c:pt idx="15">
                  <c:v>1079878.8905867527</c:v>
                </c:pt>
                <c:pt idx="16">
                  <c:v>946128.63364365138</c:v>
                </c:pt>
                <c:pt idx="17">
                  <c:v>987438.14065257658</c:v>
                </c:pt>
                <c:pt idx="18">
                  <c:v>1033937.5848932976</c:v>
                </c:pt>
                <c:pt idx="19">
                  <c:v>1082564.1130191574</c:v>
                </c:pt>
                <c:pt idx="20">
                  <c:v>1119929.2644114122</c:v>
                </c:pt>
                <c:pt idx="21">
                  <c:v>1160908.5850794751</c:v>
                </c:pt>
                <c:pt idx="22">
                  <c:v>1202348.2953657983</c:v>
                </c:pt>
                <c:pt idx="23">
                  <c:v>1245574.2556866214</c:v>
                </c:pt>
                <c:pt idx="24">
                  <c:v>1290662.136798</c:v>
                </c:pt>
                <c:pt idx="25">
                  <c:v>1337669.6963334554</c:v>
                </c:pt>
                <c:pt idx="26">
                  <c:v>818755.45703227923</c:v>
                </c:pt>
                <c:pt idx="27">
                  <c:v>820470.69444559491</c:v>
                </c:pt>
                <c:pt idx="28">
                  <c:v>822455.53338964318</c:v>
                </c:pt>
                <c:pt idx="29">
                  <c:v>824716.60155295534</c:v>
                </c:pt>
                <c:pt idx="30">
                  <c:v>827291.32992443675</c:v>
                </c:pt>
                <c:pt idx="31">
                  <c:v>830196.04566464084</c:v>
                </c:pt>
                <c:pt idx="32">
                  <c:v>834071.95483690302</c:v>
                </c:pt>
                <c:pt idx="33">
                  <c:v>251545.90594392922</c:v>
                </c:pt>
                <c:pt idx="34">
                  <c:v>245981.42671759974</c:v>
                </c:pt>
                <c:pt idx="35">
                  <c:v>240901.3015366125</c:v>
                </c:pt>
                <c:pt idx="36">
                  <c:v>236334.34221799072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5677696"/>
        <c:axId val="205679232"/>
      </c:barChart>
      <c:catAx>
        <c:axId val="205677696"/>
        <c:scaling>
          <c:orientation val="minMax"/>
        </c:scaling>
        <c:delete val="0"/>
        <c:axPos val="b"/>
        <c:majorTickMark val="out"/>
        <c:minorTickMark val="none"/>
        <c:tickLblPos val="nextTo"/>
        <c:crossAx val="205679232"/>
        <c:crosses val="autoZero"/>
        <c:auto val="1"/>
        <c:lblAlgn val="ctr"/>
        <c:lblOffset val="100"/>
        <c:noMultiLvlLbl val="0"/>
      </c:catAx>
      <c:valAx>
        <c:axId val="205679232"/>
        <c:scaling>
          <c:orientation val="minMax"/>
        </c:scaling>
        <c:delete val="0"/>
        <c:axPos val="l"/>
        <c:majorGridlines/>
        <c:numFmt formatCode="&quot;$&quot;#,##0_);[Red]\(&quot;$&quot;#,##0\)" sourceLinked="1"/>
        <c:majorTickMark val="out"/>
        <c:minorTickMark val="none"/>
        <c:tickLblPos val="nextTo"/>
        <c:crossAx val="2056776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R.5.2 S1 withdrawal rate for all investment accounts FV</a:t>
            </a:r>
          </a:p>
        </c:rich>
      </c:tx>
      <c:layout>
        <c:manualLayout>
          <c:xMode val="edge"/>
          <c:yMode val="edge"/>
          <c:x val="0.11170822397200372"/>
          <c:y val="2.7777777777778019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'R. Results'!$L$723</c:f>
              <c:strCache>
                <c:ptCount val="1"/>
                <c:pt idx="0">
                  <c:v>S1 withdrawal rate for all investment accounts FV</c:v>
                </c:pt>
              </c:strCache>
            </c:strRef>
          </c:tx>
          <c:invertIfNegative val="0"/>
          <c:cat>
            <c:numRef>
              <c:f>'R. Results'!$A$724:$A$760</c:f>
              <c:numCache>
                <c:formatCode>General</c:formatCode>
                <c:ptCount val="37"/>
                <c:pt idx="0">
                  <c:v>60</c:v>
                </c:pt>
                <c:pt idx="1">
                  <c:v>61</c:v>
                </c:pt>
                <c:pt idx="2">
                  <c:v>62</c:v>
                </c:pt>
                <c:pt idx="3">
                  <c:v>63</c:v>
                </c:pt>
                <c:pt idx="4">
                  <c:v>64</c:v>
                </c:pt>
                <c:pt idx="5">
                  <c:v>65</c:v>
                </c:pt>
                <c:pt idx="6">
                  <c:v>66</c:v>
                </c:pt>
                <c:pt idx="7">
                  <c:v>67</c:v>
                </c:pt>
                <c:pt idx="8">
                  <c:v>68</c:v>
                </c:pt>
                <c:pt idx="9">
                  <c:v>69</c:v>
                </c:pt>
                <c:pt idx="10">
                  <c:v>70</c:v>
                </c:pt>
                <c:pt idx="11">
                  <c:v>71</c:v>
                </c:pt>
                <c:pt idx="12">
                  <c:v>72</c:v>
                </c:pt>
                <c:pt idx="13">
                  <c:v>73</c:v>
                </c:pt>
                <c:pt idx="14">
                  <c:v>74</c:v>
                </c:pt>
                <c:pt idx="15">
                  <c:v>75</c:v>
                </c:pt>
                <c:pt idx="16">
                  <c:v>76</c:v>
                </c:pt>
                <c:pt idx="17">
                  <c:v>77</c:v>
                </c:pt>
                <c:pt idx="18">
                  <c:v>78</c:v>
                </c:pt>
                <c:pt idx="19">
                  <c:v>79</c:v>
                </c:pt>
                <c:pt idx="20">
                  <c:v>80</c:v>
                </c:pt>
                <c:pt idx="21">
                  <c:v>81</c:v>
                </c:pt>
                <c:pt idx="22">
                  <c:v>82</c:v>
                </c:pt>
                <c:pt idx="23">
                  <c:v>83</c:v>
                </c:pt>
                <c:pt idx="24">
                  <c:v>84</c:v>
                </c:pt>
                <c:pt idx="25">
                  <c:v>85</c:v>
                </c:pt>
                <c:pt idx="26">
                  <c:v>86</c:v>
                </c:pt>
                <c:pt idx="27">
                  <c:v>87</c:v>
                </c:pt>
                <c:pt idx="28">
                  <c:v>88</c:v>
                </c:pt>
                <c:pt idx="29">
                  <c:v>89</c:v>
                </c:pt>
                <c:pt idx="30">
                  <c:v>90</c:v>
                </c:pt>
                <c:pt idx="31">
                  <c:v>91</c:v>
                </c:pt>
                <c:pt idx="32">
                  <c:v>92</c:v>
                </c:pt>
                <c:pt idx="33">
                  <c:v>93</c:v>
                </c:pt>
                <c:pt idx="34">
                  <c:v>94</c:v>
                </c:pt>
                <c:pt idx="35">
                  <c:v>95</c:v>
                </c:pt>
                <c:pt idx="36">
                  <c:v>96</c:v>
                </c:pt>
              </c:numCache>
            </c:numRef>
          </c:cat>
          <c:val>
            <c:numRef>
              <c:f>'R. Results'!$L$724:$L$760</c:f>
              <c:numCache>
                <c:formatCode>0.00%</c:formatCode>
                <c:ptCount val="37"/>
                <c:pt idx="0">
                  <c:v>2.23463687150838E-2</c:v>
                </c:pt>
                <c:pt idx="1">
                  <c:v>1.3726256734981034E-2</c:v>
                </c:pt>
                <c:pt idx="2">
                  <c:v>1.8419857909543595E-2</c:v>
                </c:pt>
                <c:pt idx="3">
                  <c:v>9.965405356843135E-3</c:v>
                </c:pt>
                <c:pt idx="4">
                  <c:v>1.139795344257028E-2</c:v>
                </c:pt>
                <c:pt idx="5">
                  <c:v>5.3834388816011566E-3</c:v>
                </c:pt>
                <c:pt idx="6">
                  <c:v>1.0564823247136432E-3</c:v>
                </c:pt>
                <c:pt idx="7">
                  <c:v>2.0714737490464444E-2</c:v>
                </c:pt>
                <c:pt idx="8">
                  <c:v>9.5063186821389811E-2</c:v>
                </c:pt>
                <c:pt idx="9">
                  <c:v>7.9989510608068602E-3</c:v>
                </c:pt>
                <c:pt idx="10">
                  <c:v>3.5473221073815273E-2</c:v>
                </c:pt>
                <c:pt idx="11">
                  <c:v>4.3696695628020678E-2</c:v>
                </c:pt>
                <c:pt idx="12">
                  <c:v>2.56118321813259E-2</c:v>
                </c:pt>
                <c:pt idx="13">
                  <c:v>2.9878911119523972E-2</c:v>
                </c:pt>
                <c:pt idx="14">
                  <c:v>2.597988964680939E-2</c:v>
                </c:pt>
                <c:pt idx="15">
                  <c:v>5.3132373661389266E-2</c:v>
                </c:pt>
                <c:pt idx="16">
                  <c:v>2.1333702532492411E-2</c:v>
                </c:pt>
                <c:pt idx="17">
                  <c:v>4.8379342820589262E-2</c:v>
                </c:pt>
                <c:pt idx="18">
                  <c:v>4.7420407755086935E-2</c:v>
                </c:pt>
                <c:pt idx="19">
                  <c:v>4.6424276945929099E-2</c:v>
                </c:pt>
                <c:pt idx="20">
                  <c:v>4.5743884768409959E-2</c:v>
                </c:pt>
                <c:pt idx="21">
                  <c:v>1.9716627557738127E-2</c:v>
                </c:pt>
                <c:pt idx="22">
                  <c:v>1.9445718160373059E-2</c:v>
                </c:pt>
                <c:pt idx="23">
                  <c:v>4.1866260050955652E-2</c:v>
                </c:pt>
                <c:pt idx="24">
                  <c:v>4.1242371086604043E-2</c:v>
                </c:pt>
                <c:pt idx="25">
                  <c:v>4.0562697854757988E-2</c:v>
                </c:pt>
                <c:pt idx="26">
                  <c:v>0.16998497543594829</c:v>
                </c:pt>
                <c:pt idx="27">
                  <c:v>5.1250275534833349E-2</c:v>
                </c:pt>
                <c:pt idx="28">
                  <c:v>5.2359571074520966E-2</c:v>
                </c:pt>
                <c:pt idx="29">
                  <c:v>7.4148670597879163E-2</c:v>
                </c:pt>
                <c:pt idx="30">
                  <c:v>7.5449443912876488E-2</c:v>
                </c:pt>
                <c:pt idx="31">
                  <c:v>7.6706949726024792E-2</c:v>
                </c:pt>
                <c:pt idx="32">
                  <c:v>7.7903692832485563E-2</c:v>
                </c:pt>
                <c:pt idx="33">
                  <c:v>7.9030216418403451E-2</c:v>
                </c:pt>
                <c:pt idx="34">
                  <c:v>7.9445489341505388E-2</c:v>
                </c:pt>
                <c:pt idx="35">
                  <c:v>7.9728254579522415E-2</c:v>
                </c:pt>
                <c:pt idx="36">
                  <c:v>7.985936177262172E-2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5703424"/>
        <c:axId val="205709312"/>
      </c:barChart>
      <c:catAx>
        <c:axId val="205703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5709312"/>
        <c:crosses val="autoZero"/>
        <c:auto val="1"/>
        <c:lblAlgn val="ctr"/>
        <c:lblOffset val="100"/>
        <c:noMultiLvlLbl val="0"/>
      </c:catAx>
      <c:valAx>
        <c:axId val="205709312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2057034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R.5.2 S2 withdrawal rate for all investment accounts FV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5970174773487891"/>
          <c:y val="0.30177865575990453"/>
          <c:w val="0.80628303562466397"/>
          <c:h val="0.5801923522810532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'R. Results'!$M$723</c:f>
              <c:strCache>
                <c:ptCount val="1"/>
                <c:pt idx="0">
                  <c:v>S2 withdrawal rate for all investment accounts FV</c:v>
                </c:pt>
              </c:strCache>
            </c:strRef>
          </c:tx>
          <c:invertIfNegative val="0"/>
          <c:cat>
            <c:numRef>
              <c:f>'R. Results'!$B$724:$B$760</c:f>
              <c:numCache>
                <c:formatCode>General</c:formatCode>
                <c:ptCount val="37"/>
                <c:pt idx="0">
                  <c:v>55</c:v>
                </c:pt>
                <c:pt idx="1">
                  <c:v>56</c:v>
                </c:pt>
                <c:pt idx="2">
                  <c:v>57</c:v>
                </c:pt>
                <c:pt idx="3">
                  <c:v>58</c:v>
                </c:pt>
                <c:pt idx="4">
                  <c:v>59</c:v>
                </c:pt>
                <c:pt idx="5">
                  <c:v>60</c:v>
                </c:pt>
                <c:pt idx="6">
                  <c:v>61</c:v>
                </c:pt>
                <c:pt idx="7">
                  <c:v>62</c:v>
                </c:pt>
                <c:pt idx="8">
                  <c:v>63</c:v>
                </c:pt>
                <c:pt idx="9">
                  <c:v>64</c:v>
                </c:pt>
                <c:pt idx="10">
                  <c:v>65</c:v>
                </c:pt>
                <c:pt idx="11">
                  <c:v>66</c:v>
                </c:pt>
                <c:pt idx="12">
                  <c:v>67</c:v>
                </c:pt>
                <c:pt idx="13">
                  <c:v>68</c:v>
                </c:pt>
                <c:pt idx="14">
                  <c:v>69</c:v>
                </c:pt>
                <c:pt idx="15">
                  <c:v>70</c:v>
                </c:pt>
                <c:pt idx="16">
                  <c:v>71</c:v>
                </c:pt>
                <c:pt idx="17">
                  <c:v>72</c:v>
                </c:pt>
                <c:pt idx="18">
                  <c:v>73</c:v>
                </c:pt>
                <c:pt idx="19">
                  <c:v>74</c:v>
                </c:pt>
                <c:pt idx="20">
                  <c:v>75</c:v>
                </c:pt>
                <c:pt idx="21">
                  <c:v>76</c:v>
                </c:pt>
                <c:pt idx="22">
                  <c:v>77</c:v>
                </c:pt>
                <c:pt idx="23">
                  <c:v>78</c:v>
                </c:pt>
                <c:pt idx="24">
                  <c:v>79</c:v>
                </c:pt>
                <c:pt idx="25">
                  <c:v>80</c:v>
                </c:pt>
                <c:pt idx="26">
                  <c:v>81</c:v>
                </c:pt>
                <c:pt idx="27">
                  <c:v>82</c:v>
                </c:pt>
                <c:pt idx="28">
                  <c:v>83</c:v>
                </c:pt>
                <c:pt idx="29">
                  <c:v>84</c:v>
                </c:pt>
                <c:pt idx="30">
                  <c:v>85</c:v>
                </c:pt>
                <c:pt idx="31">
                  <c:v>86</c:v>
                </c:pt>
                <c:pt idx="32">
                  <c:v>87</c:v>
                </c:pt>
                <c:pt idx="33">
                  <c:v>88</c:v>
                </c:pt>
                <c:pt idx="34">
                  <c:v>89</c:v>
                </c:pt>
                <c:pt idx="35">
                  <c:v>90</c:v>
                </c:pt>
                <c:pt idx="36">
                  <c:v>91</c:v>
                </c:pt>
              </c:numCache>
            </c:numRef>
          </c:cat>
          <c:val>
            <c:numRef>
              <c:f>'R. Results'!$M$724:$M$760</c:f>
              <c:numCache>
                <c:formatCode>0.00%</c:formatCode>
                <c:ptCount val="37"/>
                <c:pt idx="0">
                  <c:v>3.6584466386397271E-2</c:v>
                </c:pt>
                <c:pt idx="1">
                  <c:v>2.4874579069470121E-2</c:v>
                </c:pt>
                <c:pt idx="2">
                  <c:v>3.2592884117382252E-2</c:v>
                </c:pt>
                <c:pt idx="3">
                  <c:v>1.6555272744508614E-2</c:v>
                </c:pt>
                <c:pt idx="4">
                  <c:v>1.4596809853639392E-2</c:v>
                </c:pt>
                <c:pt idx="5">
                  <c:v>0.23647423541192306</c:v>
                </c:pt>
                <c:pt idx="6">
                  <c:v>3.3855459129583966E-2</c:v>
                </c:pt>
                <c:pt idx="7">
                  <c:v>3.2870125814847689E-2</c:v>
                </c:pt>
                <c:pt idx="8">
                  <c:v>3.7398990295488432E-2</c:v>
                </c:pt>
                <c:pt idx="9">
                  <c:v>1.3956149648920802E-2</c:v>
                </c:pt>
                <c:pt idx="10">
                  <c:v>7.493357121987454E-3</c:v>
                </c:pt>
                <c:pt idx="11">
                  <c:v>1.3572660150208284E-2</c:v>
                </c:pt>
                <c:pt idx="12">
                  <c:v>4.5805317814393513E-3</c:v>
                </c:pt>
                <c:pt idx="13">
                  <c:v>4.832766608380926E-3</c:v>
                </c:pt>
                <c:pt idx="14">
                  <c:v>2.1776435303839024E-2</c:v>
                </c:pt>
                <c:pt idx="15">
                  <c:v>4.8025610255761131E-2</c:v>
                </c:pt>
                <c:pt idx="16">
                  <c:v>2.0869605211826139E-2</c:v>
                </c:pt>
                <c:pt idx="17">
                  <c:v>7.2746195455007615E-2</c:v>
                </c:pt>
                <c:pt idx="18">
                  <c:v>7.0835534801146682E-2</c:v>
                </c:pt>
                <c:pt idx="19">
                  <c:v>6.8995733827308461E-2</c:v>
                </c:pt>
                <c:pt idx="20">
                  <c:v>6.8308049053557113E-2</c:v>
                </c:pt>
                <c:pt idx="21">
                  <c:v>1.9461130392157095E-2</c:v>
                </c:pt>
                <c:pt idx="22">
                  <c:v>1.9233161159578859E-2</c:v>
                </c:pt>
                <c:pt idx="23">
                  <c:v>5.9129873954874158E-2</c:v>
                </c:pt>
                <c:pt idx="24">
                  <c:v>5.8312605420447E-2</c:v>
                </c:pt>
                <c:pt idx="25">
                  <c:v>5.7496689351296454E-2</c:v>
                </c:pt>
                <c:pt idx="26">
                  <c:v>4.543378533364667E-2</c:v>
                </c:pt>
                <c:pt idx="27">
                  <c:v>1.6380632497401883E-2</c:v>
                </c:pt>
                <c:pt idx="28">
                  <c:v>1.6380048747037215E-2</c:v>
                </c:pt>
                <c:pt idx="29">
                  <c:v>1.6380695906001712E-2</c:v>
                </c:pt>
                <c:pt idx="30">
                  <c:v>1.6326721800225315E-2</c:v>
                </c:pt>
                <c:pt idx="31">
                  <c:v>1.6273667184580672E-2</c:v>
                </c:pt>
                <c:pt idx="32">
                  <c:v>1.6215641645427725E-2</c:v>
                </c:pt>
                <c:pt idx="33">
                  <c:v>4.5621860975332038E-2</c:v>
                </c:pt>
                <c:pt idx="34">
                  <c:v>4.6355815720200491E-2</c:v>
                </c:pt>
                <c:pt idx="35">
                  <c:v>4.6671263671918296E-2</c:v>
                </c:pt>
                <c:pt idx="36">
                  <c:v>4.6954085663390578E-2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5725056"/>
        <c:axId val="205747328"/>
      </c:barChart>
      <c:catAx>
        <c:axId val="205725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5747328"/>
        <c:crosses val="autoZero"/>
        <c:auto val="1"/>
        <c:lblAlgn val="ctr"/>
        <c:lblOffset val="100"/>
        <c:noMultiLvlLbl val="0"/>
      </c:catAx>
      <c:valAx>
        <c:axId val="205747328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2057250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R.5.2 S1+S2 withdrawal rate for all investment accounts FV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'R. Results'!$N$723</c:f>
              <c:strCache>
                <c:ptCount val="1"/>
                <c:pt idx="0">
                  <c:v>S1+S2  withdrawal rate for all investment accounts FV</c:v>
                </c:pt>
              </c:strCache>
            </c:strRef>
          </c:tx>
          <c:invertIfNegative val="0"/>
          <c:val>
            <c:numRef>
              <c:f>'R. Results'!$N$724:$N$760</c:f>
              <c:numCache>
                <c:formatCode>0.00%</c:formatCode>
                <c:ptCount val="37"/>
                <c:pt idx="0">
                  <c:v>2.738367402840048E-2</c:v>
                </c:pt>
                <c:pt idx="1">
                  <c:v>1.769054225726174E-2</c:v>
                </c:pt>
                <c:pt idx="2">
                  <c:v>2.3537503394250703E-2</c:v>
                </c:pt>
                <c:pt idx="3">
                  <c:v>1.2425410818114878E-2</c:v>
                </c:pt>
                <c:pt idx="4">
                  <c:v>1.2625155193042865E-2</c:v>
                </c:pt>
                <c:pt idx="5">
                  <c:v>9.3350774408825249E-2</c:v>
                </c:pt>
                <c:pt idx="6">
                  <c:v>1.3676593131705795E-2</c:v>
                </c:pt>
                <c:pt idx="7">
                  <c:v>2.5287562867141598E-2</c:v>
                </c:pt>
                <c:pt idx="8">
                  <c:v>7.4239710113371188E-2</c:v>
                </c:pt>
                <c:pt idx="9">
                  <c:v>1.0216205111167293E-2</c:v>
                </c:pt>
                <c:pt idx="10">
                  <c:v>2.5347642069200389E-2</c:v>
                </c:pt>
                <c:pt idx="11">
                  <c:v>3.3378349070884106E-2</c:v>
                </c:pt>
                <c:pt idx="12">
                  <c:v>1.8611967747066211E-2</c:v>
                </c:pt>
                <c:pt idx="13">
                  <c:v>2.1155885376761444E-2</c:v>
                </c:pt>
                <c:pt idx="14">
                  <c:v>2.4456049702115158E-2</c:v>
                </c:pt>
                <c:pt idx="15">
                  <c:v>5.1221660972578929E-2</c:v>
                </c:pt>
                <c:pt idx="16">
                  <c:v>2.1167800363464974E-2</c:v>
                </c:pt>
                <c:pt idx="17">
                  <c:v>5.71333220867625E-2</c:v>
                </c:pt>
                <c:pt idx="18">
                  <c:v>5.5873457568413817E-2</c:v>
                </c:pt>
                <c:pt idx="19">
                  <c:v>5.4611443731144682E-2</c:v>
                </c:pt>
                <c:pt idx="20">
                  <c:v>5.3910532858069848E-2</c:v>
                </c:pt>
                <c:pt idx="21">
                  <c:v>1.9624072736224407E-2</c:v>
                </c:pt>
                <c:pt idx="22">
                  <c:v>1.9368796994084104E-2</c:v>
                </c:pt>
                <c:pt idx="23">
                  <c:v>4.8107813222866225E-2</c:v>
                </c:pt>
                <c:pt idx="24">
                  <c:v>4.7408821999198499E-2</c:v>
                </c:pt>
                <c:pt idx="25">
                  <c:v>4.6675258976917128E-2</c:v>
                </c:pt>
                <c:pt idx="26">
                  <c:v>6.9737669483247444E-2</c:v>
                </c:pt>
                <c:pt idx="27">
                  <c:v>2.2955461927673095E-2</c:v>
                </c:pt>
                <c:pt idx="28">
                  <c:v>2.2934542040928114E-2</c:v>
                </c:pt>
                <c:pt idx="29">
                  <c:v>2.6547706619280863E-2</c:v>
                </c:pt>
                <c:pt idx="30">
                  <c:v>2.6380651143263247E-2</c:v>
                </c:pt>
                <c:pt idx="31">
                  <c:v>2.6208619707300929E-2</c:v>
                </c:pt>
                <c:pt idx="32">
                  <c:v>2.6018956550257197E-2</c:v>
                </c:pt>
                <c:pt idx="33">
                  <c:v>6.274047641536086E-2</c:v>
                </c:pt>
                <c:pt idx="34">
                  <c:v>6.3244214690772835E-2</c:v>
                </c:pt>
                <c:pt idx="35">
                  <c:v>6.3487403468806963E-2</c:v>
                </c:pt>
                <c:pt idx="36">
                  <c:v>6.3648594603815237E-2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5767040"/>
        <c:axId val="205768576"/>
      </c:barChart>
      <c:catAx>
        <c:axId val="205767040"/>
        <c:scaling>
          <c:orientation val="minMax"/>
        </c:scaling>
        <c:delete val="0"/>
        <c:axPos val="b"/>
        <c:majorTickMark val="out"/>
        <c:minorTickMark val="none"/>
        <c:tickLblPos val="nextTo"/>
        <c:crossAx val="205768576"/>
        <c:crosses val="autoZero"/>
        <c:auto val="1"/>
        <c:lblAlgn val="ctr"/>
        <c:lblOffset val="100"/>
        <c:noMultiLvlLbl val="0"/>
      </c:catAx>
      <c:valAx>
        <c:axId val="205768576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2057670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R.5.2 Total S1 investment withdrawals FV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'R. Results'!$I$723</c:f>
              <c:strCache>
                <c:ptCount val="1"/>
                <c:pt idx="0">
                  <c:v>Total S1 investment withdrawals FV</c:v>
                </c:pt>
              </c:strCache>
            </c:strRef>
          </c:tx>
          <c:invertIfNegative val="0"/>
          <c:cat>
            <c:numRef>
              <c:f>'R. Results'!$A$724:$A$760</c:f>
              <c:numCache>
                <c:formatCode>General</c:formatCode>
                <c:ptCount val="37"/>
                <c:pt idx="0">
                  <c:v>60</c:v>
                </c:pt>
                <c:pt idx="1">
                  <c:v>61</c:v>
                </c:pt>
                <c:pt idx="2">
                  <c:v>62</c:v>
                </c:pt>
                <c:pt idx="3">
                  <c:v>63</c:v>
                </c:pt>
                <c:pt idx="4">
                  <c:v>64</c:v>
                </c:pt>
                <c:pt idx="5">
                  <c:v>65</c:v>
                </c:pt>
                <c:pt idx="6">
                  <c:v>66</c:v>
                </c:pt>
                <c:pt idx="7">
                  <c:v>67</c:v>
                </c:pt>
                <c:pt idx="8">
                  <c:v>68</c:v>
                </c:pt>
                <c:pt idx="9">
                  <c:v>69</c:v>
                </c:pt>
                <c:pt idx="10">
                  <c:v>70</c:v>
                </c:pt>
                <c:pt idx="11">
                  <c:v>71</c:v>
                </c:pt>
                <c:pt idx="12">
                  <c:v>72</c:v>
                </c:pt>
                <c:pt idx="13">
                  <c:v>73</c:v>
                </c:pt>
                <c:pt idx="14">
                  <c:v>74</c:v>
                </c:pt>
                <c:pt idx="15">
                  <c:v>75</c:v>
                </c:pt>
                <c:pt idx="16">
                  <c:v>76</c:v>
                </c:pt>
                <c:pt idx="17">
                  <c:v>77</c:v>
                </c:pt>
                <c:pt idx="18">
                  <c:v>78</c:v>
                </c:pt>
                <c:pt idx="19">
                  <c:v>79</c:v>
                </c:pt>
                <c:pt idx="20">
                  <c:v>80</c:v>
                </c:pt>
                <c:pt idx="21">
                  <c:v>81</c:v>
                </c:pt>
                <c:pt idx="22">
                  <c:v>82</c:v>
                </c:pt>
                <c:pt idx="23">
                  <c:v>83</c:v>
                </c:pt>
                <c:pt idx="24">
                  <c:v>84</c:v>
                </c:pt>
                <c:pt idx="25">
                  <c:v>85</c:v>
                </c:pt>
                <c:pt idx="26">
                  <c:v>86</c:v>
                </c:pt>
                <c:pt idx="27">
                  <c:v>87</c:v>
                </c:pt>
                <c:pt idx="28">
                  <c:v>88</c:v>
                </c:pt>
                <c:pt idx="29">
                  <c:v>89</c:v>
                </c:pt>
                <c:pt idx="30">
                  <c:v>90</c:v>
                </c:pt>
                <c:pt idx="31">
                  <c:v>91</c:v>
                </c:pt>
                <c:pt idx="32">
                  <c:v>92</c:v>
                </c:pt>
                <c:pt idx="33">
                  <c:v>93</c:v>
                </c:pt>
                <c:pt idx="34">
                  <c:v>94</c:v>
                </c:pt>
                <c:pt idx="35">
                  <c:v>95</c:v>
                </c:pt>
                <c:pt idx="36">
                  <c:v>96</c:v>
                </c:pt>
              </c:numCache>
            </c:numRef>
          </c:cat>
          <c:val>
            <c:numRef>
              <c:f>'R. Results'!$I$724:$I$760</c:f>
              <c:numCache>
                <c:formatCode>"$"#,##0</c:formatCode>
                <c:ptCount val="37"/>
                <c:pt idx="0">
                  <c:v>8000</c:v>
                </c:pt>
                <c:pt idx="1">
                  <c:v>4973.4972335786078</c:v>
                </c:pt>
                <c:pt idx="2">
                  <c:v>6729.3416916206461</c:v>
                </c:pt>
                <c:pt idx="3">
                  <c:v>3656.9832599842712</c:v>
                </c:pt>
                <c:pt idx="4">
                  <c:v>4037.6050149723878</c:v>
                </c:pt>
                <c:pt idx="5">
                  <c:v>1857</c:v>
                </c:pt>
                <c:pt idx="6">
                  <c:v>357</c:v>
                </c:pt>
                <c:pt idx="7">
                  <c:v>7730.2472420522972</c:v>
                </c:pt>
                <c:pt idx="8">
                  <c:v>39320.68288815704</c:v>
                </c:pt>
                <c:pt idx="9">
                  <c:v>3466.1284077425021</c:v>
                </c:pt>
                <c:pt idx="10">
                  <c:v>16834.429133646987</c:v>
                </c:pt>
                <c:pt idx="11">
                  <c:v>23469.925509454959</c:v>
                </c:pt>
                <c:pt idx="12">
                  <c:v>15384.605509348559</c:v>
                </c:pt>
                <c:pt idx="13">
                  <c:v>18670.163130996712</c:v>
                </c:pt>
                <c:pt idx="14">
                  <c:v>16889.291534542484</c:v>
                </c:pt>
                <c:pt idx="15">
                  <c:v>35908.907695587412</c:v>
                </c:pt>
                <c:pt idx="16">
                  <c:v>12969.043238530909</c:v>
                </c:pt>
                <c:pt idx="17">
                  <c:v>30609.290518540354</c:v>
                </c:pt>
                <c:pt idx="18">
                  <c:v>31329.609405968709</c:v>
                </c:pt>
                <c:pt idx="19">
                  <c:v>32027.837473603977</c:v>
                </c:pt>
                <c:pt idx="20">
                  <c:v>32688.271754827911</c:v>
                </c:pt>
                <c:pt idx="21">
                  <c:v>14597.501510099442</c:v>
                </c:pt>
                <c:pt idx="22">
                  <c:v>14919.46703469589</c:v>
                </c:pt>
                <c:pt idx="23">
                  <c:v>33293.915672800562</c:v>
                </c:pt>
                <c:pt idx="24">
                  <c:v>34001.175267006955</c:v>
                </c:pt>
                <c:pt idx="25">
                  <c:v>34673.769142799298</c:v>
                </c:pt>
                <c:pt idx="26">
                  <c:v>27157.672648754156</c:v>
                </c:pt>
                <c:pt idx="27">
                  <c:v>7928.5956003302645</c:v>
                </c:pt>
                <c:pt idx="28">
                  <c:v>7844.9871621691073</c:v>
                </c:pt>
                <c:pt idx="29">
                  <c:v>10762.526789621548</c:v>
                </c:pt>
                <c:pt idx="30">
                  <c:v>10614.411573964255</c:v>
                </c:pt>
                <c:pt idx="31">
                  <c:v>10468.994830632759</c:v>
                </c:pt>
                <c:pt idx="32">
                  <c:v>10326.031992964097</c:v>
                </c:pt>
                <c:pt idx="33">
                  <c:v>10186.475917736803</c:v>
                </c:pt>
                <c:pt idx="34">
                  <c:v>9973.9585072104564</c:v>
                </c:pt>
                <c:pt idx="35">
                  <c:v>9770.4461114809947</c:v>
                </c:pt>
                <c:pt idx="36">
                  <c:v>9575.4849755262785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5792384"/>
        <c:axId val="205793920"/>
      </c:barChart>
      <c:catAx>
        <c:axId val="205792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5793920"/>
        <c:crosses val="autoZero"/>
        <c:auto val="1"/>
        <c:lblAlgn val="ctr"/>
        <c:lblOffset val="100"/>
        <c:noMultiLvlLbl val="0"/>
      </c:catAx>
      <c:valAx>
        <c:axId val="205793920"/>
        <c:scaling>
          <c:orientation val="minMax"/>
        </c:scaling>
        <c:delete val="0"/>
        <c:axPos val="l"/>
        <c:majorGridlines/>
        <c:numFmt formatCode="&quot;$&quot;#,##0" sourceLinked="1"/>
        <c:majorTickMark val="out"/>
        <c:minorTickMark val="none"/>
        <c:tickLblPos val="nextTo"/>
        <c:crossAx val="2057923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R.5.2 Total S2 investment withdrawals FV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'R. Results'!$J$723</c:f>
              <c:strCache>
                <c:ptCount val="1"/>
                <c:pt idx="0">
                  <c:v>Total S2 investment withdrawals FV</c:v>
                </c:pt>
              </c:strCache>
            </c:strRef>
          </c:tx>
          <c:invertIfNegative val="0"/>
          <c:cat>
            <c:numRef>
              <c:f>'R. Results'!$B$724:$B$760</c:f>
              <c:numCache>
                <c:formatCode>General</c:formatCode>
                <c:ptCount val="37"/>
                <c:pt idx="0">
                  <c:v>55</c:v>
                </c:pt>
                <c:pt idx="1">
                  <c:v>56</c:v>
                </c:pt>
                <c:pt idx="2">
                  <c:v>57</c:v>
                </c:pt>
                <c:pt idx="3">
                  <c:v>58</c:v>
                </c:pt>
                <c:pt idx="4">
                  <c:v>59</c:v>
                </c:pt>
                <c:pt idx="5">
                  <c:v>60</c:v>
                </c:pt>
                <c:pt idx="6">
                  <c:v>61</c:v>
                </c:pt>
                <c:pt idx="7">
                  <c:v>62</c:v>
                </c:pt>
                <c:pt idx="8">
                  <c:v>63</c:v>
                </c:pt>
                <c:pt idx="9">
                  <c:v>64</c:v>
                </c:pt>
                <c:pt idx="10">
                  <c:v>65</c:v>
                </c:pt>
                <c:pt idx="11">
                  <c:v>66</c:v>
                </c:pt>
                <c:pt idx="12">
                  <c:v>67</c:v>
                </c:pt>
                <c:pt idx="13">
                  <c:v>68</c:v>
                </c:pt>
                <c:pt idx="14">
                  <c:v>69</c:v>
                </c:pt>
                <c:pt idx="15">
                  <c:v>70</c:v>
                </c:pt>
                <c:pt idx="16">
                  <c:v>71</c:v>
                </c:pt>
                <c:pt idx="17">
                  <c:v>72</c:v>
                </c:pt>
                <c:pt idx="18">
                  <c:v>73</c:v>
                </c:pt>
                <c:pt idx="19">
                  <c:v>74</c:v>
                </c:pt>
                <c:pt idx="20">
                  <c:v>75</c:v>
                </c:pt>
                <c:pt idx="21">
                  <c:v>76</c:v>
                </c:pt>
                <c:pt idx="22">
                  <c:v>77</c:v>
                </c:pt>
                <c:pt idx="23">
                  <c:v>78</c:v>
                </c:pt>
                <c:pt idx="24">
                  <c:v>79</c:v>
                </c:pt>
                <c:pt idx="25">
                  <c:v>80</c:v>
                </c:pt>
                <c:pt idx="26">
                  <c:v>81</c:v>
                </c:pt>
                <c:pt idx="27">
                  <c:v>82</c:v>
                </c:pt>
                <c:pt idx="28">
                  <c:v>83</c:v>
                </c:pt>
                <c:pt idx="29">
                  <c:v>84</c:v>
                </c:pt>
                <c:pt idx="30">
                  <c:v>85</c:v>
                </c:pt>
                <c:pt idx="31">
                  <c:v>86</c:v>
                </c:pt>
                <c:pt idx="32">
                  <c:v>87</c:v>
                </c:pt>
                <c:pt idx="33">
                  <c:v>88</c:v>
                </c:pt>
                <c:pt idx="34">
                  <c:v>89</c:v>
                </c:pt>
                <c:pt idx="35">
                  <c:v>90</c:v>
                </c:pt>
                <c:pt idx="36">
                  <c:v>91</c:v>
                </c:pt>
              </c:numCache>
            </c:numRef>
          </c:cat>
          <c:val>
            <c:numRef>
              <c:f>'R. Results'!$J$724:$J$760</c:f>
              <c:numCache>
                <c:formatCode>"$"#,##0</c:formatCode>
                <c:ptCount val="37"/>
                <c:pt idx="0">
                  <c:v>7170.5554117338652</c:v>
                </c:pt>
                <c:pt idx="1">
                  <c:v>4973.4972335786078</c:v>
                </c:pt>
                <c:pt idx="2">
                  <c:v>6729.3416916206461</c:v>
                </c:pt>
                <c:pt idx="3">
                  <c:v>3618.8025074861939</c:v>
                </c:pt>
                <c:pt idx="4">
                  <c:v>3218.4</c:v>
                </c:pt>
                <c:pt idx="5">
                  <c:v>50135.639018027272</c:v>
                </c:pt>
                <c:pt idx="6">
                  <c:v>7154.8593393865076</c:v>
                </c:pt>
                <c:pt idx="7">
                  <c:v>7397.4818747437712</c:v>
                </c:pt>
                <c:pt idx="8">
                  <c:v>8743.6687070594617</c:v>
                </c:pt>
                <c:pt idx="9">
                  <c:v>3585.3166736325961</c:v>
                </c:pt>
                <c:pt idx="10">
                  <c:v>2016.7478568827028</c:v>
                </c:pt>
                <c:pt idx="11">
                  <c:v>3797.9412827954197</c:v>
                </c:pt>
                <c:pt idx="12">
                  <c:v>1372.6162257189278</c:v>
                </c:pt>
                <c:pt idx="13">
                  <c:v>1613.7757376870413</c:v>
                </c:pt>
                <c:pt idx="14">
                  <c:v>8050.5948403294924</c:v>
                </c:pt>
                <c:pt idx="15">
                  <c:v>19404.28272949189</c:v>
                </c:pt>
                <c:pt idx="16">
                  <c:v>7058.4187965957944</c:v>
                </c:pt>
                <c:pt idx="17">
                  <c:v>25806.330812117198</c:v>
                </c:pt>
                <c:pt idx="18">
                  <c:v>26440.058371955216</c:v>
                </c:pt>
                <c:pt idx="19">
                  <c:v>27092.55166989829</c:v>
                </c:pt>
                <c:pt idx="20">
                  <c:v>27687.71165293752</c:v>
                </c:pt>
                <c:pt idx="21">
                  <c:v>8184.2530036075368</c:v>
                </c:pt>
                <c:pt idx="22">
                  <c:v>8368.573014427333</c:v>
                </c:pt>
                <c:pt idx="23">
                  <c:v>26627.937974982033</c:v>
                </c:pt>
                <c:pt idx="24">
                  <c:v>27187.596237554604</c:v>
                </c:pt>
                <c:pt idx="25">
                  <c:v>27762.310359138821</c:v>
                </c:pt>
                <c:pt idx="26">
                  <c:v>29940.424801368135</c:v>
                </c:pt>
                <c:pt idx="27">
                  <c:v>10905.688188787093</c:v>
                </c:pt>
                <c:pt idx="28">
                  <c:v>11017.65384514962</c:v>
                </c:pt>
                <c:pt idx="29">
                  <c:v>11131.807592456662</c:v>
                </c:pt>
                <c:pt idx="30">
                  <c:v>11210.072394618608</c:v>
                </c:pt>
                <c:pt idx="31">
                  <c:v>11289.297612696848</c:v>
                </c:pt>
                <c:pt idx="32">
                  <c:v>11375.649959725366</c:v>
                </c:pt>
                <c:pt idx="33">
                  <c:v>5595.6340615188674</c:v>
                </c:pt>
                <c:pt idx="34">
                  <c:v>5582.9436540600273</c:v>
                </c:pt>
                <c:pt idx="35">
                  <c:v>5523.7520153346486</c:v>
                </c:pt>
                <c:pt idx="36">
                  <c:v>5466.8637632659484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5809920"/>
        <c:axId val="205836288"/>
      </c:barChart>
      <c:catAx>
        <c:axId val="205809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5836288"/>
        <c:crosses val="autoZero"/>
        <c:auto val="1"/>
        <c:lblAlgn val="ctr"/>
        <c:lblOffset val="100"/>
        <c:noMultiLvlLbl val="0"/>
      </c:catAx>
      <c:valAx>
        <c:axId val="205836288"/>
        <c:scaling>
          <c:orientation val="minMax"/>
        </c:scaling>
        <c:delete val="0"/>
        <c:axPos val="l"/>
        <c:majorGridlines/>
        <c:numFmt formatCode="&quot;$&quot;#,##0" sourceLinked="1"/>
        <c:majorTickMark val="out"/>
        <c:minorTickMark val="none"/>
        <c:tickLblPos val="nextTo"/>
        <c:crossAx val="2058099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R.5.2</a:t>
            </a:r>
            <a:r>
              <a:rPr lang="en-US" baseline="0"/>
              <a:t> </a:t>
            </a:r>
            <a:r>
              <a:rPr lang="en-US"/>
              <a:t>Total S1+S2 for all investment withdrawals FV</a:t>
            </a:r>
          </a:p>
        </c:rich>
      </c:tx>
      <c:layout>
        <c:manualLayout>
          <c:xMode val="edge"/>
          <c:yMode val="edge"/>
          <c:x val="0.16750698162729752"/>
          <c:y val="2.2959272948024537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'R. Results'!$K$723</c:f>
              <c:strCache>
                <c:ptCount val="1"/>
                <c:pt idx="0">
                  <c:v>Total S1+S2 for all investment withdrawals FV</c:v>
                </c:pt>
              </c:strCache>
            </c:strRef>
          </c:tx>
          <c:invertIfNegative val="0"/>
          <c:val>
            <c:numRef>
              <c:f>'R. Results'!$K$724:$K$760</c:f>
              <c:numCache>
                <c:formatCode>"$"#,##0</c:formatCode>
                <c:ptCount val="37"/>
                <c:pt idx="0">
                  <c:v>15170.555411733865</c:v>
                </c:pt>
                <c:pt idx="1">
                  <c:v>9946.9944671572157</c:v>
                </c:pt>
                <c:pt idx="2">
                  <c:v>13458.683383241292</c:v>
                </c:pt>
                <c:pt idx="3">
                  <c:v>7275.7857674704646</c:v>
                </c:pt>
                <c:pt idx="4">
                  <c:v>7256.0050149723884</c:v>
                </c:pt>
                <c:pt idx="5">
                  <c:v>51992.639018027272</c:v>
                </c:pt>
                <c:pt idx="6">
                  <c:v>7511.8593393865076</c:v>
                </c:pt>
                <c:pt idx="7">
                  <c:v>15127.729116796068</c:v>
                </c:pt>
                <c:pt idx="8">
                  <c:v>48064.351595216503</c:v>
                </c:pt>
                <c:pt idx="9">
                  <c:v>7051.4450813750982</c:v>
                </c:pt>
                <c:pt idx="10">
                  <c:v>18851.17699052969</c:v>
                </c:pt>
                <c:pt idx="11">
                  <c:v>27267.866792250377</c:v>
                </c:pt>
                <c:pt idx="12">
                  <c:v>16757.221735067487</c:v>
                </c:pt>
                <c:pt idx="13">
                  <c:v>20283.938868683756</c:v>
                </c:pt>
                <c:pt idx="14">
                  <c:v>24939.886374871978</c:v>
                </c:pt>
                <c:pt idx="15">
                  <c:v>55313.190425079301</c:v>
                </c:pt>
                <c:pt idx="16">
                  <c:v>20027.462035126704</c:v>
                </c:pt>
                <c:pt idx="17">
                  <c:v>56415.621330657552</c:v>
                </c:pt>
                <c:pt idx="18">
                  <c:v>57769.667777923925</c:v>
                </c:pt>
                <c:pt idx="19">
                  <c:v>59120.389143502267</c:v>
                </c:pt>
                <c:pt idx="20">
                  <c:v>60375.98340776543</c:v>
                </c:pt>
                <c:pt idx="21">
                  <c:v>22781.754513706979</c:v>
                </c:pt>
                <c:pt idx="22">
                  <c:v>23288.040049123221</c:v>
                </c:pt>
                <c:pt idx="23">
                  <c:v>59921.853647782598</c:v>
                </c:pt>
                <c:pt idx="24">
                  <c:v>61188.771504561562</c:v>
                </c:pt>
                <c:pt idx="25">
                  <c:v>62436.079501938118</c:v>
                </c:pt>
                <c:pt idx="26">
                  <c:v>57098.097450122295</c:v>
                </c:pt>
                <c:pt idx="27">
                  <c:v>18834.283789117359</c:v>
                </c:pt>
                <c:pt idx="28">
                  <c:v>18862.641007318729</c:v>
                </c:pt>
                <c:pt idx="29">
                  <c:v>21894.33438207821</c:v>
                </c:pt>
                <c:pt idx="30">
                  <c:v>21824.483968582863</c:v>
                </c:pt>
                <c:pt idx="31">
                  <c:v>21758.292443329607</c:v>
                </c:pt>
                <c:pt idx="32">
                  <c:v>21701.681952689461</c:v>
                </c:pt>
                <c:pt idx="33">
                  <c:v>15782.109979255671</c:v>
                </c:pt>
                <c:pt idx="34">
                  <c:v>15556.902161270484</c:v>
                </c:pt>
                <c:pt idx="35">
                  <c:v>15294.198126815643</c:v>
                </c:pt>
                <c:pt idx="36">
                  <c:v>15042.348738792227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5929856"/>
        <c:axId val="205935744"/>
      </c:barChart>
      <c:catAx>
        <c:axId val="205929856"/>
        <c:scaling>
          <c:orientation val="minMax"/>
        </c:scaling>
        <c:delete val="0"/>
        <c:axPos val="b"/>
        <c:majorTickMark val="out"/>
        <c:minorTickMark val="none"/>
        <c:tickLblPos val="nextTo"/>
        <c:crossAx val="205935744"/>
        <c:crosses val="autoZero"/>
        <c:auto val="1"/>
        <c:lblAlgn val="ctr"/>
        <c:lblOffset val="100"/>
        <c:noMultiLvlLbl val="0"/>
      </c:catAx>
      <c:valAx>
        <c:axId val="205935744"/>
        <c:scaling>
          <c:orientation val="minMax"/>
        </c:scaling>
        <c:delete val="0"/>
        <c:axPos val="l"/>
        <c:majorGridlines/>
        <c:numFmt formatCode="&quot;$&quot;#,##0" sourceLinked="1"/>
        <c:majorTickMark val="out"/>
        <c:minorTickMark val="none"/>
        <c:tickLblPos val="nextTo"/>
        <c:crossAx val="2059298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'R. Results'!$J$135</c:f>
              <c:strCache>
                <c:ptCount val="1"/>
                <c:pt idx="0">
                  <c:v>Total value of S1+S2 tax-deferred taxable IRA accounts FV</c:v>
                </c:pt>
              </c:strCache>
            </c:strRef>
          </c:tx>
          <c:marker>
            <c:symbol val="none"/>
          </c:marker>
          <c:val>
            <c:numRef>
              <c:f>'R. Results'!$J$136:$J$172</c:f>
              <c:numCache>
                <c:formatCode>"$"#,##0_);[Red]\("$"#,##0\)</c:formatCode>
                <c:ptCount val="37"/>
                <c:pt idx="0">
                  <c:v>305000</c:v>
                </c:pt>
                <c:pt idx="1">
                  <c:v>305826.8704039288</c:v>
                </c:pt>
                <c:pt idx="2">
                  <c:v>306916.6204039288</c:v>
                </c:pt>
                <c:pt idx="3">
                  <c:v>311771.86978038697</c:v>
                </c:pt>
                <c:pt idx="4">
                  <c:v>318355.95983446378</c:v>
                </c:pt>
                <c:pt idx="5">
                  <c:v>317407.38666209503</c:v>
                </c:pt>
                <c:pt idx="6">
                  <c:v>318231.74571361643</c:v>
                </c:pt>
                <c:pt idx="7">
                  <c:v>319282.0197534326</c:v>
                </c:pt>
                <c:pt idx="8">
                  <c:v>323807.11656722275</c:v>
                </c:pt>
                <c:pt idx="9">
                  <c:v>327319.91290678416</c:v>
                </c:pt>
                <c:pt idx="10">
                  <c:v>330954.78345576965</c:v>
                </c:pt>
                <c:pt idx="11">
                  <c:v>331896.50613642903</c:v>
                </c:pt>
                <c:pt idx="12">
                  <c:v>329185.29644476331</c:v>
                </c:pt>
                <c:pt idx="13">
                  <c:v>320301.83716124599</c:v>
                </c:pt>
                <c:pt idx="14">
                  <c:v>311265.08158629423</c:v>
                </c:pt>
                <c:pt idx="15">
                  <c:v>301471.88585431792</c:v>
                </c:pt>
                <c:pt idx="16">
                  <c:v>289791.9810289265</c:v>
                </c:pt>
                <c:pt idx="17">
                  <c:v>278223.45996908762</c:v>
                </c:pt>
                <c:pt idx="18">
                  <c:v>266708.75609936297</c:v>
                </c:pt>
                <c:pt idx="19">
                  <c:v>255214.85573260058</c:v>
                </c:pt>
                <c:pt idx="20">
                  <c:v>243779.00386397436</c:v>
                </c:pt>
                <c:pt idx="21">
                  <c:v>232402.56083520933</c:v>
                </c:pt>
                <c:pt idx="22">
                  <c:v>221090.26918659179</c:v>
                </c:pt>
                <c:pt idx="23">
                  <c:v>209859.67647904719</c:v>
                </c:pt>
                <c:pt idx="24">
                  <c:v>198697.53111112601</c:v>
                </c:pt>
                <c:pt idx="25">
                  <c:v>187628.93982262333</c:v>
                </c:pt>
                <c:pt idx="26">
                  <c:v>176702.59658686817</c:v>
                </c:pt>
                <c:pt idx="27">
                  <c:v>165922.79224531952</c:v>
                </c:pt>
                <c:pt idx="28">
                  <c:v>155294.31324623438</c:v>
                </c:pt>
                <c:pt idx="29">
                  <c:v>144822.52032743429</c:v>
                </c:pt>
                <c:pt idx="30">
                  <c:v>134521.91322932066</c:v>
                </c:pt>
                <c:pt idx="31">
                  <c:v>124475.84121034261</c:v>
                </c:pt>
                <c:pt idx="32">
                  <c:v>114690.6755034572</c:v>
                </c:pt>
                <c:pt idx="33">
                  <c:v>105173.47948339174</c:v>
                </c:pt>
                <c:pt idx="34">
                  <c:v>95935.69905874753</c:v>
                </c:pt>
                <c:pt idx="35">
                  <c:v>87047.580777070689</c:v>
                </c:pt>
                <c:pt idx="36">
                  <c:v>78542.039790656447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'R. Results'!$K$135</c:f>
              <c:strCache>
                <c:ptCount val="1"/>
                <c:pt idx="0">
                  <c:v>Total value of S1+S2 Roth IRA accounts FV</c:v>
                </c:pt>
              </c:strCache>
            </c:strRef>
          </c:tx>
          <c:marker>
            <c:symbol val="none"/>
          </c:marker>
          <c:val>
            <c:numRef>
              <c:f>'R. Results'!$K$136:$K$172</c:f>
              <c:numCache>
                <c:formatCode>"$"#,##0_);[Red]\("$"#,##0\)</c:formatCode>
                <c:ptCount val="37"/>
                <c:pt idx="0">
                  <c:v>59000</c:v>
                </c:pt>
                <c:pt idx="1">
                  <c:v>58855.163122444821</c:v>
                </c:pt>
                <c:pt idx="2">
                  <c:v>61027.206908170585</c:v>
                </c:pt>
                <c:pt idx="3">
                  <c:v>65900.647400827409</c:v>
                </c:pt>
                <c:pt idx="4">
                  <c:v>69780.968391113507</c:v>
                </c:pt>
                <c:pt idx="5">
                  <c:v>73225.816319656937</c:v>
                </c:pt>
                <c:pt idx="6">
                  <c:v>77623.809755471928</c:v>
                </c:pt>
                <c:pt idx="7">
                  <c:v>83178.670833524971</c:v>
                </c:pt>
                <c:pt idx="8">
                  <c:v>84272.979852540127</c:v>
                </c:pt>
                <c:pt idx="9">
                  <c:v>85394.386048297893</c:v>
                </c:pt>
                <c:pt idx="10">
                  <c:v>85916.427680836088</c:v>
                </c:pt>
                <c:pt idx="11">
                  <c:v>90975.336365741881</c:v>
                </c:pt>
                <c:pt idx="12">
                  <c:v>94210.99772079059</c:v>
                </c:pt>
                <c:pt idx="13">
                  <c:v>95518.504250878497</c:v>
                </c:pt>
                <c:pt idx="14">
                  <c:v>96820.96113065508</c:v>
                </c:pt>
                <c:pt idx="15">
                  <c:v>97361.605244972598</c:v>
                </c:pt>
                <c:pt idx="16">
                  <c:v>99397.627122263424</c:v>
                </c:pt>
                <c:pt idx="17">
                  <c:v>101517.48276913741</c:v>
                </c:pt>
                <c:pt idx="18">
                  <c:v>103700.38118794074</c:v>
                </c:pt>
                <c:pt idx="19">
                  <c:v>105955.83686120098</c:v>
                </c:pt>
                <c:pt idx="20">
                  <c:v>108281.87579353573</c:v>
                </c:pt>
                <c:pt idx="21">
                  <c:v>110680.74123250812</c:v>
                </c:pt>
                <c:pt idx="22">
                  <c:v>113158.78700284063</c:v>
                </c:pt>
                <c:pt idx="23">
                  <c:v>115710.73632280895</c:v>
                </c:pt>
                <c:pt idx="24">
                  <c:v>118346.92092510452</c:v>
                </c:pt>
                <c:pt idx="25">
                  <c:v>121074.09598794805</c:v>
                </c:pt>
                <c:pt idx="26">
                  <c:v>123888.40895133218</c:v>
                </c:pt>
                <c:pt idx="27">
                  <c:v>126792.81706773996</c:v>
                </c:pt>
                <c:pt idx="28">
                  <c:v>129789.79516554669</c:v>
                </c:pt>
                <c:pt idx="29">
                  <c:v>132881.77315478463</c:v>
                </c:pt>
                <c:pt idx="30">
                  <c:v>136092.58590441535</c:v>
                </c:pt>
                <c:pt idx="31">
                  <c:v>139408.63644680078</c:v>
                </c:pt>
                <c:pt idx="32">
                  <c:v>142834.30238154798</c:v>
                </c:pt>
                <c:pt idx="33">
                  <c:v>146372.42646053748</c:v>
                </c:pt>
                <c:pt idx="34">
                  <c:v>150045.72765885218</c:v>
                </c:pt>
                <c:pt idx="35">
                  <c:v>153853.72075954179</c:v>
                </c:pt>
                <c:pt idx="36">
                  <c:v>157792.30242733425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'R. Results'!$L$135</c:f>
              <c:strCache>
                <c:ptCount val="1"/>
                <c:pt idx="0">
                  <c:v>Total value of S1+S2 value of taxable savings accounts FV</c:v>
                </c:pt>
              </c:strCache>
            </c:strRef>
          </c:tx>
          <c:marker>
            <c:symbol val="none"/>
          </c:marker>
          <c:val>
            <c:numRef>
              <c:f>'R. Results'!$L$136:$L$172</c:f>
              <c:numCache>
                <c:formatCode>"$"#,##0_);[Red]\("$"#,##0\)</c:formatCode>
                <c:ptCount val="37"/>
                <c:pt idx="0">
                  <c:v>190000</c:v>
                </c:pt>
                <c:pt idx="1">
                  <c:v>197595.5</c:v>
                </c:pt>
                <c:pt idx="2">
                  <c:v>203853.57863235293</c:v>
                </c:pt>
                <c:pt idx="3">
                  <c:v>207884.44137529249</c:v>
                </c:pt>
                <c:pt idx="4">
                  <c:v>186589.07743737358</c:v>
                </c:pt>
                <c:pt idx="5">
                  <c:v>166326.70814151305</c:v>
                </c:pt>
                <c:pt idx="6">
                  <c:v>153393.75443193683</c:v>
                </c:pt>
                <c:pt idx="7">
                  <c:v>195767.34729378606</c:v>
                </c:pt>
                <c:pt idx="8">
                  <c:v>239340.96061046544</c:v>
                </c:pt>
                <c:pt idx="9">
                  <c:v>277507.26616083289</c:v>
                </c:pt>
                <c:pt idx="10">
                  <c:v>326834.13782898994</c:v>
                </c:pt>
                <c:pt idx="11">
                  <c:v>394060.91634527314</c:v>
                </c:pt>
                <c:pt idx="12">
                  <c:v>476950.29802693013</c:v>
                </c:pt>
                <c:pt idx="13">
                  <c:v>542964.34225630411</c:v>
                </c:pt>
                <c:pt idx="14">
                  <c:v>611697.88308669231</c:v>
                </c:pt>
                <c:pt idx="15">
                  <c:v>681045.39948746213</c:v>
                </c:pt>
                <c:pt idx="16">
                  <c:v>556939.02549246151</c:v>
                </c:pt>
                <c:pt idx="17">
                  <c:v>607697.19791435159</c:v>
                </c:pt>
                <c:pt idx="18">
                  <c:v>663528.44760599383</c:v>
                </c:pt>
                <c:pt idx="19">
                  <c:v>721393.4204253559</c:v>
                </c:pt>
                <c:pt idx="20">
                  <c:v>767868.38475390209</c:v>
                </c:pt>
                <c:pt idx="21">
                  <c:v>817825.28301175777</c:v>
                </c:pt>
                <c:pt idx="22">
                  <c:v>868099.23917636578</c:v>
                </c:pt>
                <c:pt idx="23">
                  <c:v>920003.84288476536</c:v>
                </c:pt>
                <c:pt idx="24">
                  <c:v>973617.68476176925</c:v>
                </c:pt>
                <c:pt idx="25">
                  <c:v>1028966.660522884</c:v>
                </c:pt>
                <c:pt idx="26">
                  <c:v>518164.45149407891</c:v>
                </c:pt>
                <c:pt idx="27">
                  <c:v>527755.08513253543</c:v>
                </c:pt>
                <c:pt idx="28">
                  <c:v>537371.42497786216</c:v>
                </c:pt>
                <c:pt idx="29">
                  <c:v>547012.30807073636</c:v>
                </c:pt>
                <c:pt idx="30">
                  <c:v>556676.83079070086</c:v>
                </c:pt>
                <c:pt idx="31">
                  <c:v>566311.56800749747</c:v>
                </c:pt>
                <c:pt idx="32">
                  <c:v>576546.97695189784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'R. Results'!$M$135</c:f>
              <c:strCache>
                <c:ptCount val="1"/>
                <c:pt idx="0">
                  <c:v>Total Net Worth of S1+S2 IRAs and taxable savings accounts FV</c:v>
                </c:pt>
              </c:strCache>
            </c:strRef>
          </c:tx>
          <c:marker>
            <c:symbol val="none"/>
          </c:marker>
          <c:val>
            <c:numRef>
              <c:f>'R. Results'!$M$136:$M$172</c:f>
              <c:numCache>
                <c:formatCode>"$"#,##0_);[Red]\("$"#,##0\)</c:formatCode>
                <c:ptCount val="37"/>
                <c:pt idx="0">
                  <c:v>554000</c:v>
                </c:pt>
                <c:pt idx="1">
                  <c:v>562277.53352637356</c:v>
                </c:pt>
                <c:pt idx="2">
                  <c:v>571797.40594445239</c:v>
                </c:pt>
                <c:pt idx="3">
                  <c:v>585556.9585565069</c:v>
                </c:pt>
                <c:pt idx="4">
                  <c:v>574726.00566295092</c:v>
                </c:pt>
                <c:pt idx="5">
                  <c:v>556959.91112326505</c:v>
                </c:pt>
                <c:pt idx="6">
                  <c:v>549249.30990102515</c:v>
                </c:pt>
                <c:pt idx="7">
                  <c:v>598228.03788074362</c:v>
                </c:pt>
                <c:pt idx="8">
                  <c:v>647421.05703022832</c:v>
                </c:pt>
                <c:pt idx="9">
                  <c:v>690221.56511591491</c:v>
                </c:pt>
                <c:pt idx="10">
                  <c:v>743705.34896559571</c:v>
                </c:pt>
                <c:pt idx="11">
                  <c:v>816932.75884744409</c:v>
                </c:pt>
                <c:pt idx="12">
                  <c:v>900346.59219248407</c:v>
                </c:pt>
                <c:pt idx="13">
                  <c:v>958784.68366842857</c:v>
                </c:pt>
                <c:pt idx="14">
                  <c:v>1019783.9258036416</c:v>
                </c:pt>
                <c:pt idx="15">
                  <c:v>1079878.8905867527</c:v>
                </c:pt>
                <c:pt idx="16">
                  <c:v>946128.63364365138</c:v>
                </c:pt>
                <c:pt idx="17">
                  <c:v>987438.14065257669</c:v>
                </c:pt>
                <c:pt idx="18">
                  <c:v>1033937.5848932975</c:v>
                </c:pt>
                <c:pt idx="19">
                  <c:v>1082564.1130191574</c:v>
                </c:pt>
                <c:pt idx="20">
                  <c:v>1119929.2644114122</c:v>
                </c:pt>
                <c:pt idx="21">
                  <c:v>1160908.5850794753</c:v>
                </c:pt>
                <c:pt idx="22">
                  <c:v>1202348.2953657983</c:v>
                </c:pt>
                <c:pt idx="23">
                  <c:v>1245574.2556866216</c:v>
                </c:pt>
                <c:pt idx="24">
                  <c:v>1290662.1367979997</c:v>
                </c:pt>
                <c:pt idx="25">
                  <c:v>1337669.6963334554</c:v>
                </c:pt>
                <c:pt idx="26">
                  <c:v>818755.45703227934</c:v>
                </c:pt>
                <c:pt idx="27">
                  <c:v>820470.69444559491</c:v>
                </c:pt>
                <c:pt idx="28">
                  <c:v>822455.5333896433</c:v>
                </c:pt>
                <c:pt idx="29">
                  <c:v>824716.60155295534</c:v>
                </c:pt>
                <c:pt idx="30">
                  <c:v>827291.32992443687</c:v>
                </c:pt>
                <c:pt idx="31">
                  <c:v>830196.04566464084</c:v>
                </c:pt>
                <c:pt idx="32">
                  <c:v>834071.95483690302</c:v>
                </c:pt>
                <c:pt idx="33">
                  <c:v>251545.90594392922</c:v>
                </c:pt>
                <c:pt idx="34">
                  <c:v>245981.42671759971</c:v>
                </c:pt>
                <c:pt idx="35">
                  <c:v>240901.30153661247</c:v>
                </c:pt>
                <c:pt idx="36">
                  <c:v>236334.34221799069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'R. Results'!$N$135</c:f>
              <c:strCache>
                <c:ptCount val="1"/>
                <c:pt idx="0">
                  <c:v>Total Net Worth of S1+S2 IRAs and taxable savings accounts PV</c:v>
                </c:pt>
              </c:strCache>
            </c:strRef>
          </c:tx>
          <c:marker>
            <c:symbol val="none"/>
          </c:marker>
          <c:val>
            <c:numRef>
              <c:f>'R. Results'!$N$136:$N$172</c:f>
              <c:numCache>
                <c:formatCode>"$"#,##0_);[Red]\("$"#,##0\)</c:formatCode>
                <c:ptCount val="37"/>
                <c:pt idx="0">
                  <c:v>554000</c:v>
                </c:pt>
                <c:pt idx="1">
                  <c:v>551252.48384938587</c:v>
                </c:pt>
                <c:pt idx="2">
                  <c:v>549593.81578667089</c:v>
                </c:pt>
                <c:pt idx="3">
                  <c:v>551783.40019723459</c:v>
                </c:pt>
                <c:pt idx="4">
                  <c:v>530957.99155020574</c:v>
                </c:pt>
                <c:pt idx="5">
                  <c:v>504455.75134447281</c:v>
                </c:pt>
                <c:pt idx="6">
                  <c:v>487717.66887762543</c:v>
                </c:pt>
                <c:pt idx="7">
                  <c:v>520793.50750931143</c:v>
                </c:pt>
                <c:pt idx="8">
                  <c:v>552567.63828102394</c:v>
                </c:pt>
                <c:pt idx="9">
                  <c:v>577546.52922960976</c:v>
                </c:pt>
                <c:pt idx="10">
                  <c:v>610097.41863198555</c:v>
                </c:pt>
                <c:pt idx="11">
                  <c:v>657028.82336551091</c:v>
                </c:pt>
                <c:pt idx="12">
                  <c:v>709917.14360197436</c:v>
                </c:pt>
                <c:pt idx="13">
                  <c:v>741171.74502428737</c:v>
                </c:pt>
                <c:pt idx="14">
                  <c:v>772868.76784317719</c:v>
                </c:pt>
                <c:pt idx="15">
                  <c:v>802365.92230961786</c:v>
                </c:pt>
                <c:pt idx="16">
                  <c:v>689203.44241288642</c:v>
                </c:pt>
                <c:pt idx="17">
                  <c:v>705191.35280405579</c:v>
                </c:pt>
                <c:pt idx="18">
                  <c:v>723921.09319235734</c:v>
                </c:pt>
                <c:pt idx="19">
                  <c:v>743105.3065997134</c:v>
                </c:pt>
                <c:pt idx="20">
                  <c:v>753680.29005767452</c:v>
                </c:pt>
                <c:pt idx="21">
                  <c:v>765939.40991914074</c:v>
                </c:pt>
                <c:pt idx="22">
                  <c:v>777725.81237266632</c:v>
                </c:pt>
                <c:pt idx="23">
                  <c:v>789888.28517548181</c:v>
                </c:pt>
                <c:pt idx="24">
                  <c:v>802432.38411638141</c:v>
                </c:pt>
                <c:pt idx="25">
                  <c:v>815350.97448543005</c:v>
                </c:pt>
                <c:pt idx="26">
                  <c:v>489271.3004653572</c:v>
                </c:pt>
                <c:pt idx="27">
                  <c:v>480682.63805110089</c:v>
                </c:pt>
                <c:pt idx="28">
                  <c:v>472397.52926644869</c:v>
                </c:pt>
                <c:pt idx="29">
                  <c:v>464408.06792334863</c:v>
                </c:pt>
                <c:pt idx="30">
                  <c:v>456723.45995675755</c:v>
                </c:pt>
                <c:pt idx="31">
                  <c:v>449340.26368400588</c:v>
                </c:pt>
                <c:pt idx="32">
                  <c:v>442586.35676664946</c:v>
                </c:pt>
                <c:pt idx="33">
                  <c:v>130861.40691902279</c:v>
                </c:pt>
                <c:pt idx="34">
                  <c:v>125457.45584696261</c:v>
                </c:pt>
                <c:pt idx="35">
                  <c:v>120457.30286250076</c:v>
                </c:pt>
                <c:pt idx="36">
                  <c:v>115856.5657785307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222464"/>
        <c:axId val="122224000"/>
      </c:lineChart>
      <c:catAx>
        <c:axId val="122222464"/>
        <c:scaling>
          <c:orientation val="minMax"/>
        </c:scaling>
        <c:delete val="0"/>
        <c:axPos val="b"/>
        <c:majorTickMark val="out"/>
        <c:minorTickMark val="none"/>
        <c:tickLblPos val="nextTo"/>
        <c:crossAx val="122224000"/>
        <c:crosses val="autoZero"/>
        <c:auto val="1"/>
        <c:lblAlgn val="ctr"/>
        <c:lblOffset val="100"/>
        <c:noMultiLvlLbl val="0"/>
      </c:catAx>
      <c:valAx>
        <c:axId val="122224000"/>
        <c:scaling>
          <c:orientation val="minMax"/>
        </c:scaling>
        <c:delete val="0"/>
        <c:axPos val="l"/>
        <c:majorGridlines/>
        <c:numFmt formatCode="&quot;$&quot;#,##0_);[Red]\(&quot;$&quot;#,##0\)" sourceLinked="1"/>
        <c:majorTickMark val="out"/>
        <c:minorTickMark val="none"/>
        <c:tickLblPos val="nextTo"/>
        <c:crossAx val="122222464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000000000000655" l="0.70000000000000062" r="0.70000000000000062" t="0.75000000000000655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6293963254593167E-2"/>
          <c:y val="7.4548702245552628E-2"/>
          <c:w val="0.52196194225721759"/>
          <c:h val="0.8326195683872849"/>
        </c:manualLayout>
      </c:layout>
      <c:lineChart>
        <c:grouping val="standard"/>
        <c:varyColors val="0"/>
        <c:ser>
          <c:idx val="0"/>
          <c:order val="0"/>
          <c:tx>
            <c:strRef>
              <c:f>'R. Results'!$G$135</c:f>
              <c:strCache>
                <c:ptCount val="1"/>
                <c:pt idx="0">
                  <c:v>Estimated (Fed+State) Marginal tax rate</c:v>
                </c:pt>
              </c:strCache>
            </c:strRef>
          </c:tx>
          <c:marker>
            <c:symbol val="none"/>
          </c:marker>
          <c:val>
            <c:numRef>
              <c:f>'R. Results'!$G$136:$G$172</c:f>
              <c:numCache>
                <c:formatCode>0%</c:formatCode>
                <c:ptCount val="37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0.3</c:v>
                </c:pt>
                <c:pt idx="7">
                  <c:v>0.3</c:v>
                </c:pt>
                <c:pt idx="8">
                  <c:v>0.3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  <c:pt idx="24">
                  <c:v>0.2</c:v>
                </c:pt>
                <c:pt idx="25">
                  <c:v>0.2</c:v>
                </c:pt>
                <c:pt idx="26">
                  <c:v>0.2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0.2</c:v>
                </c:pt>
                <c:pt idx="31">
                  <c:v>0.2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'R. Results'!$H$135</c:f>
              <c:strCache>
                <c:ptCount val="1"/>
                <c:pt idx="0">
                  <c:v>Average Est. Fed+State  tax rate</c:v>
                </c:pt>
              </c:strCache>
            </c:strRef>
          </c:tx>
          <c:marker>
            <c:symbol val="none"/>
          </c:marker>
          <c:val>
            <c:numRef>
              <c:f>'R. Results'!$H$136:$H$172</c:f>
              <c:numCache>
                <c:formatCode>0.0%</c:formatCode>
                <c:ptCount val="37"/>
                <c:pt idx="0">
                  <c:v>0.18421351773788661</c:v>
                </c:pt>
                <c:pt idx="1">
                  <c:v>0.17983967348723356</c:v>
                </c:pt>
                <c:pt idx="2">
                  <c:v>0.17549353734027417</c:v>
                </c:pt>
                <c:pt idx="3">
                  <c:v>0.14074624618924303</c:v>
                </c:pt>
                <c:pt idx="4">
                  <c:v>0.13592789370855315</c:v>
                </c:pt>
                <c:pt idx="5">
                  <c:v>0.13121760758265827</c:v>
                </c:pt>
                <c:pt idx="6">
                  <c:v>0.16968617526395918</c:v>
                </c:pt>
                <c:pt idx="7">
                  <c:v>0.16628215532101165</c:v>
                </c:pt>
                <c:pt idx="8">
                  <c:v>0.16293627347074482</c:v>
                </c:pt>
                <c:pt idx="9">
                  <c:v>0.17133364926030151</c:v>
                </c:pt>
                <c:pt idx="10">
                  <c:v>0.16958416536767038</c:v>
                </c:pt>
                <c:pt idx="11">
                  <c:v>0.16651507837629934</c:v>
                </c:pt>
                <c:pt idx="12">
                  <c:v>0.15555485170826217</c:v>
                </c:pt>
                <c:pt idx="13">
                  <c:v>0.15281747446762214</c:v>
                </c:pt>
                <c:pt idx="14">
                  <c:v>0.15014549650851494</c:v>
                </c:pt>
                <c:pt idx="15">
                  <c:v>0.12205280221315938</c:v>
                </c:pt>
                <c:pt idx="16">
                  <c:v>0.11575404866225077</c:v>
                </c:pt>
                <c:pt idx="17">
                  <c:v>0.11369794274563437</c:v>
                </c:pt>
                <c:pt idx="18">
                  <c:v>0.11173765007195739</c:v>
                </c:pt>
                <c:pt idx="19">
                  <c:v>0.10685626311058259</c:v>
                </c:pt>
                <c:pt idx="20">
                  <c:v>0.10485140512656678</c:v>
                </c:pt>
                <c:pt idx="21">
                  <c:v>0.10292316482054258</c:v>
                </c:pt>
                <c:pt idx="22">
                  <c:v>0.10101275987707033</c:v>
                </c:pt>
                <c:pt idx="23">
                  <c:v>9.91425038538742E-2</c:v>
                </c:pt>
                <c:pt idx="24">
                  <c:v>9.7312161593629237E-2</c:v>
                </c:pt>
                <c:pt idx="25">
                  <c:v>6.9413644676466296E-2</c:v>
                </c:pt>
                <c:pt idx="26">
                  <c:v>4.1596138267302463E-2</c:v>
                </c:pt>
                <c:pt idx="27">
                  <c:v>3.9746610909133867E-2</c:v>
                </c:pt>
                <c:pt idx="28">
                  <c:v>3.7925431868627402E-2</c:v>
                </c:pt>
                <c:pt idx="29">
                  <c:v>3.6132072715827489E-2</c:v>
                </c:pt>
                <c:pt idx="30">
                  <c:v>3.4366027187795009E-2</c:v>
                </c:pt>
                <c:pt idx="31">
                  <c:v>1.7270067765432183E-2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724352"/>
        <c:axId val="122725888"/>
      </c:lineChart>
      <c:catAx>
        <c:axId val="122724352"/>
        <c:scaling>
          <c:orientation val="minMax"/>
        </c:scaling>
        <c:delete val="0"/>
        <c:axPos val="b"/>
        <c:majorTickMark val="out"/>
        <c:minorTickMark val="none"/>
        <c:tickLblPos val="nextTo"/>
        <c:crossAx val="122725888"/>
        <c:crosses val="autoZero"/>
        <c:auto val="1"/>
        <c:lblAlgn val="ctr"/>
        <c:lblOffset val="100"/>
        <c:noMultiLvlLbl val="0"/>
      </c:catAx>
      <c:valAx>
        <c:axId val="12272588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22724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6" l="0.70000000000000062" r="0.70000000000000062" t="0.750000000000006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'R. Results'!$M$238</c:f>
              <c:strCache>
                <c:ptCount val="1"/>
                <c:pt idx="0">
                  <c:v>Total income from (S1+S2) pension + Soc. Sec. FV</c:v>
                </c:pt>
              </c:strCache>
            </c:strRef>
          </c:tx>
          <c:marker>
            <c:symbol val="none"/>
          </c:marker>
          <c:val>
            <c:numRef>
              <c:f>'R. Results'!$M$239:$M$275</c:f>
              <c:numCache>
                <c:formatCode>"$"#,##0</c:formatCode>
                <c:ptCount val="37"/>
                <c:pt idx="0">
                  <c:v>11000</c:v>
                </c:pt>
                <c:pt idx="1">
                  <c:v>11220</c:v>
                </c:pt>
                <c:pt idx="2">
                  <c:v>11444.4</c:v>
                </c:pt>
                <c:pt idx="3">
                  <c:v>11673.287999999999</c:v>
                </c:pt>
                <c:pt idx="4">
                  <c:v>11906.75376</c:v>
                </c:pt>
                <c:pt idx="5">
                  <c:v>12144.888835199999</c:v>
                </c:pt>
                <c:pt idx="6">
                  <c:v>67968.181419775618</c:v>
                </c:pt>
                <c:pt idx="7">
                  <c:v>69327.545048171116</c:v>
                </c:pt>
                <c:pt idx="8">
                  <c:v>70714.095949134557</c:v>
                </c:pt>
                <c:pt idx="9">
                  <c:v>92951.67078379239</c:v>
                </c:pt>
                <c:pt idx="10">
                  <c:v>94810.704199468251</c:v>
                </c:pt>
                <c:pt idx="11">
                  <c:v>96706.918283457591</c:v>
                </c:pt>
                <c:pt idx="12">
                  <c:v>98641.056649126753</c:v>
                </c:pt>
                <c:pt idx="13">
                  <c:v>100613.87778210928</c:v>
                </c:pt>
                <c:pt idx="14">
                  <c:v>102626.15533775146</c:v>
                </c:pt>
                <c:pt idx="15">
                  <c:v>104678.67844450647</c:v>
                </c:pt>
                <c:pt idx="16">
                  <c:v>106772.25201339663</c:v>
                </c:pt>
                <c:pt idx="17">
                  <c:v>108907.69705366457</c:v>
                </c:pt>
                <c:pt idx="18">
                  <c:v>111085.85099473785</c:v>
                </c:pt>
                <c:pt idx="19">
                  <c:v>99914.610503408243</c:v>
                </c:pt>
                <c:pt idx="20">
                  <c:v>101912.90271347642</c:v>
                </c:pt>
                <c:pt idx="21">
                  <c:v>103951.16076774593</c:v>
                </c:pt>
                <c:pt idx="22">
                  <c:v>106030.18398310084</c:v>
                </c:pt>
                <c:pt idx="23">
                  <c:v>108150.78766276286</c:v>
                </c:pt>
                <c:pt idx="24">
                  <c:v>110313.80341601811</c:v>
                </c:pt>
                <c:pt idx="25">
                  <c:v>40629.541828679256</c:v>
                </c:pt>
                <c:pt idx="26">
                  <c:v>41442.132665252844</c:v>
                </c:pt>
                <c:pt idx="27">
                  <c:v>42270.975318557888</c:v>
                </c:pt>
                <c:pt idx="28">
                  <c:v>43116.394824929062</c:v>
                </c:pt>
                <c:pt idx="29">
                  <c:v>43978.722721427635</c:v>
                </c:pt>
                <c:pt idx="30">
                  <c:v>44858.297175856191</c:v>
                </c:pt>
                <c:pt idx="31">
                  <c:v>45755.463119373308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'R. Results'!$N$238</c:f>
              <c:strCache>
                <c:ptCount val="1"/>
                <c:pt idx="0">
                  <c:v>Total Taxable  income from (S1+S2) pension + Soc. Sec.  FV</c:v>
                </c:pt>
              </c:strCache>
            </c:strRef>
          </c:tx>
          <c:marker>
            <c:symbol val="none"/>
          </c:marker>
          <c:val>
            <c:numRef>
              <c:f>'R. Results'!$N$239:$N$275</c:f>
              <c:numCache>
                <c:formatCode>"$"#,##0</c:formatCode>
                <c:ptCount val="37"/>
                <c:pt idx="0">
                  <c:v>11000</c:v>
                </c:pt>
                <c:pt idx="1">
                  <c:v>11220</c:v>
                </c:pt>
                <c:pt idx="2">
                  <c:v>11444.4</c:v>
                </c:pt>
                <c:pt idx="3">
                  <c:v>11673.287999999999</c:v>
                </c:pt>
                <c:pt idx="4">
                  <c:v>11906.75376</c:v>
                </c:pt>
                <c:pt idx="5">
                  <c:v>12144.888835199999</c:v>
                </c:pt>
                <c:pt idx="6">
                  <c:v>67968.181419775618</c:v>
                </c:pt>
                <c:pt idx="7">
                  <c:v>69327.545048171116</c:v>
                </c:pt>
                <c:pt idx="8">
                  <c:v>70714.095949134557</c:v>
                </c:pt>
                <c:pt idx="9">
                  <c:v>92951.67078379239</c:v>
                </c:pt>
                <c:pt idx="10">
                  <c:v>94810.704199468251</c:v>
                </c:pt>
                <c:pt idx="11">
                  <c:v>96706.918283457591</c:v>
                </c:pt>
                <c:pt idx="12">
                  <c:v>98641.056649126753</c:v>
                </c:pt>
                <c:pt idx="13">
                  <c:v>100613.87778210928</c:v>
                </c:pt>
                <c:pt idx="14">
                  <c:v>102626.15533775146</c:v>
                </c:pt>
                <c:pt idx="15">
                  <c:v>104678.67844450647</c:v>
                </c:pt>
                <c:pt idx="16">
                  <c:v>106772.25201339663</c:v>
                </c:pt>
                <c:pt idx="17">
                  <c:v>108907.69705366457</c:v>
                </c:pt>
                <c:pt idx="18">
                  <c:v>111085.85099473785</c:v>
                </c:pt>
                <c:pt idx="19">
                  <c:v>99914.610503408243</c:v>
                </c:pt>
                <c:pt idx="20">
                  <c:v>101912.90271347642</c:v>
                </c:pt>
                <c:pt idx="21">
                  <c:v>103951.16076774593</c:v>
                </c:pt>
                <c:pt idx="22">
                  <c:v>106030.18398310084</c:v>
                </c:pt>
                <c:pt idx="23">
                  <c:v>108150.78766276286</c:v>
                </c:pt>
                <c:pt idx="24">
                  <c:v>110313.80341601811</c:v>
                </c:pt>
                <c:pt idx="25">
                  <c:v>40629.541828679256</c:v>
                </c:pt>
                <c:pt idx="26">
                  <c:v>41442.132665252844</c:v>
                </c:pt>
                <c:pt idx="27">
                  <c:v>42270.975318557888</c:v>
                </c:pt>
                <c:pt idx="28">
                  <c:v>43116.394824929062</c:v>
                </c:pt>
                <c:pt idx="29">
                  <c:v>43978.722721427635</c:v>
                </c:pt>
                <c:pt idx="30">
                  <c:v>44858.297175856191</c:v>
                </c:pt>
                <c:pt idx="31">
                  <c:v>45755.463119373308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894208"/>
        <c:axId val="122895744"/>
      </c:lineChart>
      <c:catAx>
        <c:axId val="122894208"/>
        <c:scaling>
          <c:orientation val="minMax"/>
        </c:scaling>
        <c:delete val="0"/>
        <c:axPos val="b"/>
        <c:majorTickMark val="out"/>
        <c:minorTickMark val="none"/>
        <c:tickLblPos val="nextTo"/>
        <c:crossAx val="122895744"/>
        <c:crosses val="autoZero"/>
        <c:auto val="1"/>
        <c:lblAlgn val="ctr"/>
        <c:lblOffset val="100"/>
        <c:noMultiLvlLbl val="0"/>
      </c:catAx>
      <c:valAx>
        <c:axId val="122895744"/>
        <c:scaling>
          <c:orientation val="minMax"/>
        </c:scaling>
        <c:delete val="0"/>
        <c:axPos val="l"/>
        <c:majorGridlines/>
        <c:numFmt formatCode="&quot;$&quot;#,##0" sourceLinked="1"/>
        <c:majorTickMark val="out"/>
        <c:minorTickMark val="none"/>
        <c:tickLblPos val="nextTo"/>
        <c:crossAx val="122894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6" l="0.70000000000000062" r="0.70000000000000062" t="0.750000000000006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'R. Results'!$I$311</c:f>
              <c:strCache>
                <c:ptCount val="1"/>
                <c:pt idx="0">
                  <c:v>S1 Work + Annuity income FV</c:v>
                </c:pt>
              </c:strCache>
            </c:strRef>
          </c:tx>
          <c:marker>
            <c:symbol val="none"/>
          </c:marker>
          <c:val>
            <c:numRef>
              <c:f>'R. Results'!$I$312:$I$348</c:f>
              <c:numCache>
                <c:formatCode>"$"#,##0_);[Red]\("$"#,##0\)</c:formatCode>
                <c:ptCount val="37"/>
                <c:pt idx="0">
                  <c:v>50000</c:v>
                </c:pt>
                <c:pt idx="1">
                  <c:v>51000</c:v>
                </c:pt>
                <c:pt idx="2">
                  <c:v>52020</c:v>
                </c:pt>
                <c:pt idx="3">
                  <c:v>40603.004999999983</c:v>
                </c:pt>
                <c:pt idx="4">
                  <c:v>40806.020024999976</c:v>
                </c:pt>
                <c:pt idx="5">
                  <c:v>41010.050125124966</c:v>
                </c:pt>
                <c:pt idx="6">
                  <c:v>44215.100375750582</c:v>
                </c:pt>
                <c:pt idx="7">
                  <c:v>44481.175877629335</c:v>
                </c:pt>
                <c:pt idx="8">
                  <c:v>44749.481757017471</c:v>
                </c:pt>
                <c:pt idx="9">
                  <c:v>45020.047165802564</c:v>
                </c:pt>
                <c:pt idx="10">
                  <c:v>45292.901761631561</c:v>
                </c:pt>
                <c:pt idx="11">
                  <c:v>45568.075717639724</c:v>
                </c:pt>
                <c:pt idx="12">
                  <c:v>45845.599732371906</c:v>
                </c:pt>
                <c:pt idx="13">
                  <c:v>46125.505039900643</c:v>
                </c:pt>
                <c:pt idx="14">
                  <c:v>46407.823420144356</c:v>
                </c:pt>
                <c:pt idx="15">
                  <c:v>3585.2777058669335</c:v>
                </c:pt>
                <c:pt idx="16">
                  <c:v>3656.9832599842721</c:v>
                </c:pt>
                <c:pt idx="17">
                  <c:v>3730.1229251839577</c:v>
                </c:pt>
                <c:pt idx="18">
                  <c:v>3804.7253836876371</c:v>
                </c:pt>
                <c:pt idx="19">
                  <c:v>3880.8198913613901</c:v>
                </c:pt>
                <c:pt idx="20">
                  <c:v>3958.436289188618</c:v>
                </c:pt>
                <c:pt idx="21">
                  <c:v>4037.6050149723906</c:v>
                </c:pt>
                <c:pt idx="22">
                  <c:v>4118.3571152718387</c:v>
                </c:pt>
                <c:pt idx="23">
                  <c:v>4200.7242575772752</c:v>
                </c:pt>
                <c:pt idx="24">
                  <c:v>4284.7387427288204</c:v>
                </c:pt>
                <c:pt idx="25">
                  <c:v>4370.4335175833967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'R. Results'!$J$311</c:f>
              <c:strCache>
                <c:ptCount val="1"/>
                <c:pt idx="0">
                  <c:v>S2 Work + Annuity income FV</c:v>
                </c:pt>
              </c:strCache>
            </c:strRef>
          </c:tx>
          <c:marker>
            <c:symbol val="none"/>
          </c:marker>
          <c:val>
            <c:numRef>
              <c:f>'R. Results'!$J$312:$J$348</c:f>
              <c:numCache>
                <c:formatCode>"$"#,##0_);[Red]\("$"#,##0\)</c:formatCode>
                <c:ptCount val="37"/>
                <c:pt idx="0">
                  <c:v>40000</c:v>
                </c:pt>
                <c:pt idx="1">
                  <c:v>40599.999999999993</c:v>
                </c:pt>
                <c:pt idx="2">
                  <c:v>41208.999999999985</c:v>
                </c:pt>
                <c:pt idx="3">
                  <c:v>15685.175624999994</c:v>
                </c:pt>
                <c:pt idx="4">
                  <c:v>15920.453259374992</c:v>
                </c:pt>
                <c:pt idx="5">
                  <c:v>16159.260058265614</c:v>
                </c:pt>
                <c:pt idx="6">
                  <c:v>16401.648959139595</c:v>
                </c:pt>
                <c:pt idx="7">
                  <c:v>16647.673693526685</c:v>
                </c:pt>
                <c:pt idx="8">
                  <c:v>16897.388798929587</c:v>
                </c:pt>
                <c:pt idx="9">
                  <c:v>17150.849630913526</c:v>
                </c:pt>
                <c:pt idx="10">
                  <c:v>20908.11237537723</c:v>
                </c:pt>
                <c:pt idx="11">
                  <c:v>21169.234061007886</c:v>
                </c:pt>
                <c:pt idx="12">
                  <c:v>3500</c:v>
                </c:pt>
                <c:pt idx="13">
                  <c:v>3500</c:v>
                </c:pt>
                <c:pt idx="14">
                  <c:v>3500</c:v>
                </c:pt>
                <c:pt idx="15">
                  <c:v>3500</c:v>
                </c:pt>
                <c:pt idx="16">
                  <c:v>3500</c:v>
                </c:pt>
                <c:pt idx="17">
                  <c:v>3500</c:v>
                </c:pt>
                <c:pt idx="18">
                  <c:v>3500</c:v>
                </c:pt>
                <c:pt idx="19">
                  <c:v>3500</c:v>
                </c:pt>
                <c:pt idx="20">
                  <c:v>3500</c:v>
                </c:pt>
                <c:pt idx="21">
                  <c:v>3500</c:v>
                </c:pt>
                <c:pt idx="22">
                  <c:v>3500</c:v>
                </c:pt>
                <c:pt idx="23">
                  <c:v>3500</c:v>
                </c:pt>
                <c:pt idx="24">
                  <c:v>3500</c:v>
                </c:pt>
                <c:pt idx="25">
                  <c:v>3500</c:v>
                </c:pt>
                <c:pt idx="26">
                  <c:v>3500</c:v>
                </c:pt>
                <c:pt idx="27">
                  <c:v>3500</c:v>
                </c:pt>
                <c:pt idx="28">
                  <c:v>3500</c:v>
                </c:pt>
                <c:pt idx="29">
                  <c:v>3500</c:v>
                </c:pt>
                <c:pt idx="30">
                  <c:v>3500</c:v>
                </c:pt>
                <c:pt idx="31">
                  <c:v>3500</c:v>
                </c:pt>
                <c:pt idx="32">
                  <c:v>3500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'R. Results'!$K$311</c:f>
              <c:strCache>
                <c:ptCount val="1"/>
                <c:pt idx="0">
                  <c:v>Total S1 Work + Annuity income FV</c:v>
                </c:pt>
              </c:strCache>
            </c:strRef>
          </c:tx>
          <c:marker>
            <c:symbol val="none"/>
          </c:marker>
          <c:val>
            <c:numRef>
              <c:f>'R. Results'!$K$312:$K$348</c:f>
              <c:numCache>
                <c:formatCode>"$"#,##0_);[Red]\("$"#,##0\)</c:formatCode>
                <c:ptCount val="37"/>
                <c:pt idx="0">
                  <c:v>50000</c:v>
                </c:pt>
                <c:pt idx="1">
                  <c:v>51000</c:v>
                </c:pt>
                <c:pt idx="2">
                  <c:v>52020</c:v>
                </c:pt>
                <c:pt idx="3">
                  <c:v>40603.004999999983</c:v>
                </c:pt>
                <c:pt idx="4">
                  <c:v>40806.020024999976</c:v>
                </c:pt>
                <c:pt idx="5">
                  <c:v>41010.050125124966</c:v>
                </c:pt>
                <c:pt idx="6">
                  <c:v>44215.100375750582</c:v>
                </c:pt>
                <c:pt idx="7">
                  <c:v>44481.175877629335</c:v>
                </c:pt>
                <c:pt idx="8">
                  <c:v>44749.481757017471</c:v>
                </c:pt>
                <c:pt idx="9">
                  <c:v>45020.047165802564</c:v>
                </c:pt>
                <c:pt idx="10">
                  <c:v>45292.901761631561</c:v>
                </c:pt>
                <c:pt idx="11">
                  <c:v>45568.075717639724</c:v>
                </c:pt>
                <c:pt idx="12">
                  <c:v>45845.599732371906</c:v>
                </c:pt>
                <c:pt idx="13">
                  <c:v>46125.505039900643</c:v>
                </c:pt>
                <c:pt idx="14">
                  <c:v>46407.823420144356</c:v>
                </c:pt>
                <c:pt idx="15">
                  <c:v>3585.2777058669335</c:v>
                </c:pt>
                <c:pt idx="16">
                  <c:v>3656.9832599842721</c:v>
                </c:pt>
                <c:pt idx="17">
                  <c:v>3730.1229251839577</c:v>
                </c:pt>
                <c:pt idx="18">
                  <c:v>3804.7253836876371</c:v>
                </c:pt>
                <c:pt idx="19">
                  <c:v>3880.8198913613901</c:v>
                </c:pt>
                <c:pt idx="20">
                  <c:v>3958.436289188618</c:v>
                </c:pt>
                <c:pt idx="21">
                  <c:v>4037.6050149723906</c:v>
                </c:pt>
                <c:pt idx="22">
                  <c:v>4118.3571152718387</c:v>
                </c:pt>
                <c:pt idx="23">
                  <c:v>4200.7242575772752</c:v>
                </c:pt>
                <c:pt idx="24">
                  <c:v>4284.7387427288204</c:v>
                </c:pt>
                <c:pt idx="25">
                  <c:v>4370.4335175833967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'R. Results'!$L$311</c:f>
              <c:strCache>
                <c:ptCount val="1"/>
                <c:pt idx="0">
                  <c:v>Total S2 Work + Annuity income FV</c:v>
                </c:pt>
              </c:strCache>
            </c:strRef>
          </c:tx>
          <c:marker>
            <c:symbol val="none"/>
          </c:marker>
          <c:val>
            <c:numRef>
              <c:f>'R. Results'!$L$312:$L$348</c:f>
              <c:numCache>
                <c:formatCode>"$"#,##0_);[Red]\("$"#,##0\)</c:formatCode>
                <c:ptCount val="37"/>
                <c:pt idx="0">
                  <c:v>40000</c:v>
                </c:pt>
                <c:pt idx="1">
                  <c:v>40599.999999999993</c:v>
                </c:pt>
                <c:pt idx="2">
                  <c:v>41208.999999999985</c:v>
                </c:pt>
                <c:pt idx="3">
                  <c:v>15685.175624999994</c:v>
                </c:pt>
                <c:pt idx="4">
                  <c:v>15920.453259374992</c:v>
                </c:pt>
                <c:pt idx="5">
                  <c:v>16159.260058265614</c:v>
                </c:pt>
                <c:pt idx="6">
                  <c:v>16401.648959139595</c:v>
                </c:pt>
                <c:pt idx="7">
                  <c:v>16647.673693526685</c:v>
                </c:pt>
                <c:pt idx="8">
                  <c:v>16897.388798929587</c:v>
                </c:pt>
                <c:pt idx="9">
                  <c:v>17150.849630913526</c:v>
                </c:pt>
                <c:pt idx="10">
                  <c:v>20908.11237537723</c:v>
                </c:pt>
                <c:pt idx="11">
                  <c:v>21169.234061007886</c:v>
                </c:pt>
                <c:pt idx="12">
                  <c:v>3500</c:v>
                </c:pt>
                <c:pt idx="13">
                  <c:v>3500</c:v>
                </c:pt>
                <c:pt idx="14">
                  <c:v>3500</c:v>
                </c:pt>
                <c:pt idx="15">
                  <c:v>3500</c:v>
                </c:pt>
                <c:pt idx="16">
                  <c:v>3500</c:v>
                </c:pt>
                <c:pt idx="17">
                  <c:v>3500</c:v>
                </c:pt>
                <c:pt idx="18">
                  <c:v>3500</c:v>
                </c:pt>
                <c:pt idx="19">
                  <c:v>3500</c:v>
                </c:pt>
                <c:pt idx="20">
                  <c:v>3500</c:v>
                </c:pt>
                <c:pt idx="21">
                  <c:v>3500</c:v>
                </c:pt>
                <c:pt idx="22">
                  <c:v>3500</c:v>
                </c:pt>
                <c:pt idx="23">
                  <c:v>3500</c:v>
                </c:pt>
                <c:pt idx="24">
                  <c:v>3500</c:v>
                </c:pt>
                <c:pt idx="25">
                  <c:v>3500</c:v>
                </c:pt>
                <c:pt idx="26">
                  <c:v>3500</c:v>
                </c:pt>
                <c:pt idx="27">
                  <c:v>3500</c:v>
                </c:pt>
                <c:pt idx="28">
                  <c:v>3500</c:v>
                </c:pt>
                <c:pt idx="29">
                  <c:v>3500</c:v>
                </c:pt>
                <c:pt idx="30">
                  <c:v>3500</c:v>
                </c:pt>
                <c:pt idx="31">
                  <c:v>3500</c:v>
                </c:pt>
                <c:pt idx="32">
                  <c:v>3500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'R. Results'!$M$311</c:f>
              <c:strCache>
                <c:ptCount val="1"/>
                <c:pt idx="0">
                  <c:v>Total S1+S2 Work, Annuity income FV</c:v>
                </c:pt>
              </c:strCache>
            </c:strRef>
          </c:tx>
          <c:marker>
            <c:symbol val="none"/>
          </c:marker>
          <c:val>
            <c:numRef>
              <c:f>'R. Results'!$M$312:$M$348</c:f>
              <c:numCache>
                <c:formatCode>"$"#,##0_);[Red]\("$"#,##0\)</c:formatCode>
                <c:ptCount val="37"/>
                <c:pt idx="0">
                  <c:v>90000</c:v>
                </c:pt>
                <c:pt idx="1">
                  <c:v>91600</c:v>
                </c:pt>
                <c:pt idx="2">
                  <c:v>93228.999999999985</c:v>
                </c:pt>
                <c:pt idx="3">
                  <c:v>56288.180624999979</c:v>
                </c:pt>
                <c:pt idx="4">
                  <c:v>56726.473284374966</c:v>
                </c:pt>
                <c:pt idx="5">
                  <c:v>57169.310183390582</c:v>
                </c:pt>
                <c:pt idx="6">
                  <c:v>60616.749334890177</c:v>
                </c:pt>
                <c:pt idx="7">
                  <c:v>61128.849571156024</c:v>
                </c:pt>
                <c:pt idx="8">
                  <c:v>61646.870555947055</c:v>
                </c:pt>
                <c:pt idx="9">
                  <c:v>62170.896796716086</c:v>
                </c:pt>
                <c:pt idx="10">
                  <c:v>66201.014137008795</c:v>
                </c:pt>
                <c:pt idx="11">
                  <c:v>66737.309778647614</c:v>
                </c:pt>
                <c:pt idx="12">
                  <c:v>49345.599732371906</c:v>
                </c:pt>
                <c:pt idx="13">
                  <c:v>49625.505039900643</c:v>
                </c:pt>
                <c:pt idx="14">
                  <c:v>49907.823420144356</c:v>
                </c:pt>
                <c:pt idx="15">
                  <c:v>7085.2777058669335</c:v>
                </c:pt>
                <c:pt idx="16">
                  <c:v>7156.9832599842721</c:v>
                </c:pt>
                <c:pt idx="17">
                  <c:v>7230.1229251839577</c:v>
                </c:pt>
                <c:pt idx="18">
                  <c:v>7304.7253836876371</c:v>
                </c:pt>
                <c:pt idx="19">
                  <c:v>7380.8198913613905</c:v>
                </c:pt>
                <c:pt idx="20">
                  <c:v>7458.4362891886176</c:v>
                </c:pt>
                <c:pt idx="21">
                  <c:v>7537.6050149723906</c:v>
                </c:pt>
                <c:pt idx="22">
                  <c:v>7618.3571152718387</c:v>
                </c:pt>
                <c:pt idx="23">
                  <c:v>7700.7242575772752</c:v>
                </c:pt>
                <c:pt idx="24">
                  <c:v>7784.7387427288204</c:v>
                </c:pt>
                <c:pt idx="25">
                  <c:v>7870.4335175833967</c:v>
                </c:pt>
                <c:pt idx="26">
                  <c:v>3500</c:v>
                </c:pt>
                <c:pt idx="27">
                  <c:v>3500</c:v>
                </c:pt>
                <c:pt idx="28">
                  <c:v>3500</c:v>
                </c:pt>
                <c:pt idx="29">
                  <c:v>3500</c:v>
                </c:pt>
                <c:pt idx="30">
                  <c:v>3500</c:v>
                </c:pt>
                <c:pt idx="31">
                  <c:v>3500</c:v>
                </c:pt>
                <c:pt idx="32">
                  <c:v>3500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'R. Results'!$N$311</c:f>
              <c:strCache>
                <c:ptCount val="1"/>
                <c:pt idx="0">
                  <c:v>Total S1+S2 Pension, SocSec, Work , Annuity income FV</c:v>
                </c:pt>
              </c:strCache>
            </c:strRef>
          </c:tx>
          <c:marker>
            <c:symbol val="none"/>
          </c:marker>
          <c:val>
            <c:numRef>
              <c:f>'R. Results'!$N$312:$N$348</c:f>
              <c:numCache>
                <c:formatCode>"$"#,##0_);[Red]\("$"#,##0\)</c:formatCode>
                <c:ptCount val="37"/>
                <c:pt idx="0">
                  <c:v>101000</c:v>
                </c:pt>
                <c:pt idx="1">
                  <c:v>102820</c:v>
                </c:pt>
                <c:pt idx="2">
                  <c:v>104673.39999999998</c:v>
                </c:pt>
                <c:pt idx="3">
                  <c:v>67961.46862499998</c:v>
                </c:pt>
                <c:pt idx="4">
                  <c:v>68633.227044374973</c:v>
                </c:pt>
                <c:pt idx="5">
                  <c:v>69314.199018590589</c:v>
                </c:pt>
                <c:pt idx="6">
                  <c:v>128584.93075466579</c:v>
                </c:pt>
                <c:pt idx="7">
                  <c:v>130456.39461932714</c:v>
                </c:pt>
                <c:pt idx="8">
                  <c:v>132360.96650508163</c:v>
                </c:pt>
                <c:pt idx="9">
                  <c:v>155122.56758050848</c:v>
                </c:pt>
                <c:pt idx="10">
                  <c:v>161011.71833647706</c:v>
                </c:pt>
                <c:pt idx="11">
                  <c:v>163444.22806210519</c:v>
                </c:pt>
                <c:pt idx="12">
                  <c:v>147986.65638149867</c:v>
                </c:pt>
                <c:pt idx="13">
                  <c:v>150239.38282200991</c:v>
                </c:pt>
                <c:pt idx="14">
                  <c:v>152533.97875789582</c:v>
                </c:pt>
                <c:pt idx="15">
                  <c:v>111763.9561503734</c:v>
                </c:pt>
                <c:pt idx="16">
                  <c:v>113929.23527338091</c:v>
                </c:pt>
                <c:pt idx="17">
                  <c:v>116137.81997884852</c:v>
                </c:pt>
                <c:pt idx="18">
                  <c:v>118390.57637842548</c:v>
                </c:pt>
                <c:pt idx="19">
                  <c:v>107295.43039476963</c:v>
                </c:pt>
                <c:pt idx="20">
                  <c:v>109371.33900266503</c:v>
                </c:pt>
                <c:pt idx="21">
                  <c:v>111488.76578271831</c:v>
                </c:pt>
                <c:pt idx="22">
                  <c:v>113648.54109837268</c:v>
                </c:pt>
                <c:pt idx="23">
                  <c:v>115851.51192034013</c:v>
                </c:pt>
                <c:pt idx="24">
                  <c:v>118098.54215874693</c:v>
                </c:pt>
                <c:pt idx="25">
                  <c:v>48499.975346262654</c:v>
                </c:pt>
                <c:pt idx="26">
                  <c:v>44942.132665252844</c:v>
                </c:pt>
                <c:pt idx="27">
                  <c:v>45770.975318557888</c:v>
                </c:pt>
                <c:pt idx="28">
                  <c:v>46616.394824929062</c:v>
                </c:pt>
                <c:pt idx="29">
                  <c:v>47478.722721427635</c:v>
                </c:pt>
                <c:pt idx="30">
                  <c:v>48358.297175856191</c:v>
                </c:pt>
                <c:pt idx="31">
                  <c:v>49255.463119373308</c:v>
                </c:pt>
                <c:pt idx="32">
                  <c:v>3500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550720"/>
        <c:axId val="123564800"/>
      </c:lineChart>
      <c:catAx>
        <c:axId val="123550720"/>
        <c:scaling>
          <c:orientation val="minMax"/>
        </c:scaling>
        <c:delete val="0"/>
        <c:axPos val="b"/>
        <c:majorTickMark val="out"/>
        <c:minorTickMark val="none"/>
        <c:tickLblPos val="nextTo"/>
        <c:crossAx val="123564800"/>
        <c:crosses val="autoZero"/>
        <c:auto val="1"/>
        <c:lblAlgn val="ctr"/>
        <c:lblOffset val="100"/>
        <c:noMultiLvlLbl val="0"/>
      </c:catAx>
      <c:valAx>
        <c:axId val="123564800"/>
        <c:scaling>
          <c:orientation val="minMax"/>
        </c:scaling>
        <c:delete val="0"/>
        <c:axPos val="l"/>
        <c:majorGridlines/>
        <c:numFmt formatCode="&quot;$&quot;#,##0_);[Red]\(&quot;$&quot;#,##0\)" sourceLinked="1"/>
        <c:majorTickMark val="out"/>
        <c:minorTickMark val="none"/>
        <c:tickLblPos val="nextTo"/>
        <c:crossAx val="123550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6" l="0.70000000000000062" r="0.70000000000000062" t="0.750000000000006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'R. Results'!$C$396</c:f>
              <c:strCache>
                <c:ptCount val="1"/>
                <c:pt idx="0">
                  <c:v>S1 tax-deferred IRA value FV</c:v>
                </c:pt>
              </c:strCache>
            </c:strRef>
          </c:tx>
          <c:marker>
            <c:symbol val="none"/>
          </c:marker>
          <c:val>
            <c:numRef>
              <c:f>'R. Results'!$C$397:$C$433</c:f>
              <c:numCache>
                <c:formatCode>"$"#,##0_);[Red]\("$"#,##0\)</c:formatCode>
                <c:ptCount val="37"/>
                <c:pt idx="0">
                  <c:v>215000</c:v>
                </c:pt>
                <c:pt idx="1">
                  <c:v>215000</c:v>
                </c:pt>
                <c:pt idx="2">
                  <c:v>213500</c:v>
                </c:pt>
                <c:pt idx="3">
                  <c:v>211386.2636757291</c:v>
                </c:pt>
                <c:pt idx="4">
                  <c:v>208021.59282991878</c:v>
                </c:pt>
                <c:pt idx="5">
                  <c:v>206558.79952592507</c:v>
                </c:pt>
                <c:pt idx="6">
                  <c:v>204809.17068610369</c:v>
                </c:pt>
                <c:pt idx="7">
                  <c:v>204309.17068610369</c:v>
                </c:pt>
                <c:pt idx="8">
                  <c:v>205476.49948610368</c:v>
                </c:pt>
                <c:pt idx="9">
                  <c:v>205476.49948610368</c:v>
                </c:pt>
                <c:pt idx="10">
                  <c:v>205476.49948610368</c:v>
                </c:pt>
                <c:pt idx="11">
                  <c:v>205977.3571690926</c:v>
                </c:pt>
                <c:pt idx="12">
                  <c:v>202810.51350233439</c:v>
                </c:pt>
                <c:pt idx="13">
                  <c:v>193456.15650555908</c:v>
                </c:pt>
                <c:pt idx="14">
                  <c:v>183932.72814395512</c:v>
                </c:pt>
                <c:pt idx="15">
                  <c:v>174184.52027153099</c:v>
                </c:pt>
                <c:pt idx="16">
                  <c:v>166667.22484776023</c:v>
                </c:pt>
                <c:pt idx="17">
                  <c:v>159265.35074323634</c:v>
                </c:pt>
                <c:pt idx="18">
                  <c:v>151921.97842997473</c:v>
                </c:pt>
                <c:pt idx="19">
                  <c:v>144604.75248203106</c:v>
                </c:pt>
                <c:pt idx="20">
                  <c:v>137351.58432243075</c:v>
                </c:pt>
                <c:pt idx="21">
                  <c:v>130164.5050931062</c:v>
                </c:pt>
                <c:pt idx="22">
                  <c:v>123045.7370416419</c:v>
                </c:pt>
                <c:pt idx="23">
                  <c:v>115997.72046565666</c:v>
                </c:pt>
                <c:pt idx="24">
                  <c:v>109023.14569797268</c:v>
                </c:pt>
                <c:pt idx="25">
                  <c:v>102127.17910248008</c:v>
                </c:pt>
                <c:pt idx="26">
                  <c:v>95358.187316432712</c:v>
                </c:pt>
                <c:pt idx="27">
                  <c:v>88720.024490184442</c:v>
                </c:pt>
                <c:pt idx="28">
                  <c:v>82216.910264619612</c:v>
                </c:pt>
                <c:pt idx="29">
                  <c:v>75853.483608478942</c:v>
                </c:pt>
                <c:pt idx="30">
                  <c:v>69637.832811977583</c:v>
                </c:pt>
                <c:pt idx="31">
                  <c:v>63627.089292845318</c:v>
                </c:pt>
                <c:pt idx="32">
                  <c:v>57825.659627726716</c:v>
                </c:pt>
                <c:pt idx="33">
                  <c:v>52238.348993095293</c:v>
                </c:pt>
                <c:pt idx="34">
                  <c:v>46874.003771508746</c:v>
                </c:pt>
                <c:pt idx="35">
                  <c:v>41792.352833058547</c:v>
                </c:pt>
                <c:pt idx="36">
                  <c:v>36994.316136821719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'R. Results'!$D$396</c:f>
              <c:strCache>
                <c:ptCount val="1"/>
                <c:pt idx="0">
                  <c:v>S2 tax-deferred IRA value FV</c:v>
                </c:pt>
              </c:strCache>
            </c:strRef>
          </c:tx>
          <c:marker>
            <c:symbol val="none"/>
          </c:marker>
          <c:val>
            <c:numRef>
              <c:f>'R. Results'!$D$397:$D$433</c:f>
              <c:numCache>
                <c:formatCode>"$"#,##0_);[Red]\("$"#,##0\)</c:formatCode>
                <c:ptCount val="37"/>
                <c:pt idx="0">
                  <c:v>90000</c:v>
                </c:pt>
                <c:pt idx="1">
                  <c:v>90826.87040392877</c:v>
                </c:pt>
                <c:pt idx="2">
                  <c:v>93416.62040392877</c:v>
                </c:pt>
                <c:pt idx="3">
                  <c:v>100385.60610465785</c:v>
                </c:pt>
                <c:pt idx="4">
                  <c:v>110334.36700454503</c:v>
                </c:pt>
                <c:pt idx="5">
                  <c:v>110848.58713616997</c:v>
                </c:pt>
                <c:pt idx="6">
                  <c:v>113422.57502751272</c:v>
                </c:pt>
                <c:pt idx="7">
                  <c:v>114972.84906732893</c:v>
                </c:pt>
                <c:pt idx="8">
                  <c:v>118330.6170811191</c:v>
                </c:pt>
                <c:pt idx="9">
                  <c:v>121843.41342068046</c:v>
                </c:pt>
                <c:pt idx="10">
                  <c:v>125478.28396966598</c:v>
                </c:pt>
                <c:pt idx="11">
                  <c:v>125919.14896733646</c:v>
                </c:pt>
                <c:pt idx="12">
                  <c:v>126374.78294242889</c:v>
                </c:pt>
                <c:pt idx="13">
                  <c:v>126845.68065568691</c:v>
                </c:pt>
                <c:pt idx="14">
                  <c:v>127332.3534423391</c:v>
                </c:pt>
                <c:pt idx="15">
                  <c:v>127287.36558278695</c:v>
                </c:pt>
                <c:pt idx="16">
                  <c:v>123124.75618116626</c:v>
                </c:pt>
                <c:pt idx="17">
                  <c:v>118958.10922585131</c:v>
                </c:pt>
                <c:pt idx="18">
                  <c:v>114786.77766938822</c:v>
                </c:pt>
                <c:pt idx="19">
                  <c:v>110610.10325056952</c:v>
                </c:pt>
                <c:pt idx="20">
                  <c:v>106427.41954154361</c:v>
                </c:pt>
                <c:pt idx="21">
                  <c:v>102238.05574210314</c:v>
                </c:pt>
                <c:pt idx="22">
                  <c:v>98044.532144949888</c:v>
                </c:pt>
                <c:pt idx="23">
                  <c:v>93861.956013390532</c:v>
                </c:pt>
                <c:pt idx="24">
                  <c:v>89674.385413153344</c:v>
                </c:pt>
                <c:pt idx="25">
                  <c:v>85501.76072014324</c:v>
                </c:pt>
                <c:pt idx="26">
                  <c:v>81344.409270435441</c:v>
                </c:pt>
                <c:pt idx="27">
                  <c:v>77202.767755135079</c:v>
                </c:pt>
                <c:pt idx="28">
                  <c:v>73077.402981614767</c:v>
                </c:pt>
                <c:pt idx="29">
                  <c:v>68969.036718955351</c:v>
                </c:pt>
                <c:pt idx="30">
                  <c:v>64884.080417343081</c:v>
                </c:pt>
                <c:pt idx="31">
                  <c:v>60848.751917497291</c:v>
                </c:pt>
                <c:pt idx="32">
                  <c:v>56865.015875730482</c:v>
                </c:pt>
                <c:pt idx="33">
                  <c:v>52935.130490296455</c:v>
                </c:pt>
                <c:pt idx="34">
                  <c:v>49061.695287238792</c:v>
                </c:pt>
                <c:pt idx="35">
                  <c:v>45255.227944012149</c:v>
                </c:pt>
                <c:pt idx="36">
                  <c:v>41547.723653834735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'R. Results'!$G$396</c:f>
              <c:strCache>
                <c:ptCount val="1"/>
                <c:pt idx="0">
                  <c:v>S1 tax-free Roth value FV</c:v>
                </c:pt>
              </c:strCache>
            </c:strRef>
          </c:tx>
          <c:marker>
            <c:symbol val="none"/>
          </c:marker>
          <c:val>
            <c:numRef>
              <c:f>'R. Results'!$G$397:$G$433</c:f>
              <c:numCache>
                <c:formatCode>"$"#,##0_);[Red]\("$"#,##0\)</c:formatCode>
                <c:ptCount val="37"/>
                <c:pt idx="0">
                  <c:v>33000</c:v>
                </c:pt>
                <c:pt idx="1">
                  <c:v>32954.312845802677</c:v>
                </c:pt>
                <c:pt idx="2">
                  <c:v>33731.147105257092</c:v>
                </c:pt>
                <c:pt idx="3">
                  <c:v>34865.970633048448</c:v>
                </c:pt>
                <c:pt idx="4">
                  <c:v>36135.686074340949</c:v>
                </c:pt>
                <c:pt idx="5">
                  <c:v>38905.574783017226</c:v>
                </c:pt>
                <c:pt idx="6">
                  <c:v>40204.175475205848</c:v>
                </c:pt>
                <c:pt idx="7">
                  <c:v>41039.525792313259</c:v>
                </c:pt>
                <c:pt idx="8">
                  <c:v>41904.948720836539</c:v>
                </c:pt>
                <c:pt idx="9">
                  <c:v>42801.52687478665</c:v>
                </c:pt>
                <c:pt idx="10">
                  <c:v>43109.943886074594</c:v>
                </c:pt>
                <c:pt idx="11">
                  <c:v>47274.578907703071</c:v>
                </c:pt>
                <c:pt idx="12">
                  <c:v>49570.333811388235</c:v>
                </c:pt>
                <c:pt idx="13">
                  <c:v>49817.969579298959</c:v>
                </c:pt>
                <c:pt idx="14">
                  <c:v>50022.627937897531</c:v>
                </c:pt>
                <c:pt idx="15">
                  <c:v>50163.077508045608</c:v>
                </c:pt>
                <c:pt idx="16">
                  <c:v>51220.894250629935</c:v>
                </c:pt>
                <c:pt idx="17">
                  <c:v>52354.478773316529</c:v>
                </c:pt>
                <c:pt idx="18">
                  <c:v>53521.342959598653</c:v>
                </c:pt>
                <c:pt idx="19">
                  <c:v>54730.986618156552</c:v>
                </c:pt>
                <c:pt idx="20">
                  <c:v>55980.586262366945</c:v>
                </c:pt>
                <c:pt idx="21">
                  <c:v>57271.558724853101</c:v>
                </c:pt>
                <c:pt idx="22">
                  <c:v>58605.113985531381</c:v>
                </c:pt>
                <c:pt idx="23">
                  <c:v>59982.465477700433</c:v>
                </c:pt>
                <c:pt idx="24">
                  <c:v>61404.804365464646</c:v>
                </c:pt>
                <c:pt idx="25">
                  <c:v>62881.346314989685</c:v>
                </c:pt>
                <c:pt idx="26">
                  <c:v>64406.948273373499</c:v>
                </c:pt>
                <c:pt idx="27">
                  <c:v>65983.448175858604</c:v>
                </c:pt>
                <c:pt idx="28">
                  <c:v>67612.184992935086</c:v>
                </c:pt>
                <c:pt idx="29">
                  <c:v>69294.456372651111</c:v>
                </c:pt>
                <c:pt idx="30">
                  <c:v>71044.603313343687</c:v>
                </c:pt>
                <c:pt idx="31">
                  <c:v>72853.306134492159</c:v>
                </c:pt>
                <c:pt idx="32">
                  <c:v>74723.024748095035</c:v>
                </c:pt>
                <c:pt idx="33">
                  <c:v>76655.084169321286</c:v>
                </c:pt>
                <c:pt idx="34">
                  <c:v>78670.675855754569</c:v>
                </c:pt>
                <c:pt idx="35">
                  <c:v>80754.492861848426</c:v>
                </c:pt>
                <c:pt idx="36">
                  <c:v>82910.035250181885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'R. Results'!$H$396</c:f>
              <c:strCache>
                <c:ptCount val="1"/>
                <c:pt idx="0">
                  <c:v>S2 tax-free Roth value FV</c:v>
                </c:pt>
              </c:strCache>
            </c:strRef>
          </c:tx>
          <c:marker>
            <c:symbol val="none"/>
          </c:marker>
          <c:val>
            <c:numRef>
              <c:f>'R. Results'!$H$397:$H$433</c:f>
              <c:numCache>
                <c:formatCode>"$"#,##0_);[Red]\("$"#,##0\)</c:formatCode>
                <c:ptCount val="37"/>
                <c:pt idx="0">
                  <c:v>26000</c:v>
                </c:pt>
                <c:pt idx="1">
                  <c:v>25900.850276642141</c:v>
                </c:pt>
                <c:pt idx="2">
                  <c:v>27296.059802913489</c:v>
                </c:pt>
                <c:pt idx="3">
                  <c:v>31034.676767778954</c:v>
                </c:pt>
                <c:pt idx="4">
                  <c:v>33645.282316772558</c:v>
                </c:pt>
                <c:pt idx="5">
                  <c:v>34320.241536639718</c:v>
                </c:pt>
                <c:pt idx="6">
                  <c:v>37419.63428026608</c:v>
                </c:pt>
                <c:pt idx="7">
                  <c:v>42139.145041211712</c:v>
                </c:pt>
                <c:pt idx="8">
                  <c:v>42368.031131703581</c:v>
                </c:pt>
                <c:pt idx="9">
                  <c:v>42592.85917351125</c:v>
                </c:pt>
                <c:pt idx="10">
                  <c:v>42806.483794761501</c:v>
                </c:pt>
                <c:pt idx="11">
                  <c:v>43700.757458038803</c:v>
                </c:pt>
                <c:pt idx="12">
                  <c:v>44640.663909402356</c:v>
                </c:pt>
                <c:pt idx="13">
                  <c:v>45700.534671579546</c:v>
                </c:pt>
                <c:pt idx="14">
                  <c:v>46798.333192757549</c:v>
                </c:pt>
                <c:pt idx="15">
                  <c:v>47198.527736926997</c:v>
                </c:pt>
                <c:pt idx="16">
                  <c:v>48176.732871633496</c:v>
                </c:pt>
                <c:pt idx="17">
                  <c:v>49163.00399582088</c:v>
                </c:pt>
                <c:pt idx="18">
                  <c:v>50179.038228342084</c:v>
                </c:pt>
                <c:pt idx="19">
                  <c:v>51224.850243044435</c:v>
                </c:pt>
                <c:pt idx="20">
                  <c:v>52301.289531168775</c:v>
                </c:pt>
                <c:pt idx="21">
                  <c:v>53409.182507655016</c:v>
                </c:pt>
                <c:pt idx="22">
                  <c:v>54553.673017309251</c:v>
                </c:pt>
                <c:pt idx="23">
                  <c:v>55728.270845108513</c:v>
                </c:pt>
                <c:pt idx="24">
                  <c:v>56942.116559639879</c:v>
                </c:pt>
                <c:pt idx="25">
                  <c:v>58192.749672958365</c:v>
                </c:pt>
                <c:pt idx="26">
                  <c:v>59481.460677958683</c:v>
                </c:pt>
                <c:pt idx="27">
                  <c:v>60809.368891881364</c:v>
                </c:pt>
                <c:pt idx="28">
                  <c:v>62177.610172611603</c:v>
                </c:pt>
                <c:pt idx="29">
                  <c:v>63587.316782133537</c:v>
                </c:pt>
                <c:pt idx="30">
                  <c:v>65047.982591071661</c:v>
                </c:pt>
                <c:pt idx="31">
                  <c:v>66555.330312308608</c:v>
                </c:pt>
                <c:pt idx="32">
                  <c:v>68111.277633452934</c:v>
                </c:pt>
                <c:pt idx="33">
                  <c:v>69717.342291216191</c:v>
                </c:pt>
                <c:pt idx="34">
                  <c:v>71375.051803097624</c:v>
                </c:pt>
                <c:pt idx="35">
                  <c:v>73099.227897693359</c:v>
                </c:pt>
                <c:pt idx="36">
                  <c:v>74882.267177152375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591296"/>
        <c:axId val="126185856"/>
      </c:lineChart>
      <c:catAx>
        <c:axId val="123591296"/>
        <c:scaling>
          <c:orientation val="minMax"/>
        </c:scaling>
        <c:delete val="0"/>
        <c:axPos val="b"/>
        <c:majorTickMark val="out"/>
        <c:minorTickMark val="none"/>
        <c:tickLblPos val="nextTo"/>
        <c:crossAx val="126185856"/>
        <c:crosses val="autoZero"/>
        <c:auto val="1"/>
        <c:lblAlgn val="ctr"/>
        <c:lblOffset val="100"/>
        <c:noMultiLvlLbl val="0"/>
      </c:catAx>
      <c:valAx>
        <c:axId val="126185856"/>
        <c:scaling>
          <c:orientation val="minMax"/>
        </c:scaling>
        <c:delete val="0"/>
        <c:axPos val="l"/>
        <c:majorGridlines/>
        <c:numFmt formatCode="&quot;$&quot;#,##0_);[Red]\(&quot;$&quot;#,##0\)" sourceLinked="1"/>
        <c:majorTickMark val="out"/>
        <c:minorTickMark val="none"/>
        <c:tickLblPos val="nextTo"/>
        <c:crossAx val="123591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6" l="0.70000000000000062" r="0.70000000000000062" t="0.750000000000006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'R. Results'!$E$396</c:f>
              <c:strCache>
                <c:ptCount val="1"/>
                <c:pt idx="0">
                  <c:v>S1 IRA Contrib. - Withdrawal FV</c:v>
                </c:pt>
              </c:strCache>
            </c:strRef>
          </c:tx>
          <c:marker>
            <c:symbol val="none"/>
          </c:marker>
          <c:val>
            <c:numRef>
              <c:f>'R. Results'!$E$397:$E$433</c:f>
              <c:numCache>
                <c:formatCode>"$"#,##0_);[Red]\("$"#,##0\)</c:formatCode>
                <c:ptCount val="37"/>
                <c:pt idx="0">
                  <c:v>500</c:v>
                </c:pt>
                <c:pt idx="1">
                  <c:v>2500</c:v>
                </c:pt>
                <c:pt idx="2">
                  <c:v>2500</c:v>
                </c:pt>
                <c:pt idx="3">
                  <c:v>3667.3288000000002</c:v>
                </c:pt>
                <c:pt idx="4">
                  <c:v>2500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-8961.9356210047918</c:v>
                </c:pt>
                <c:pt idx="11">
                  <c:v>-11584.579991029121</c:v>
                </c:pt>
                <c:pt idx="12">
                  <c:v>-9441.6606836849369</c:v>
                </c:pt>
                <c:pt idx="13">
                  <c:v>-9755.780815869748</c:v>
                </c:pt>
                <c:pt idx="14">
                  <c:v>-9851.4624987162351</c:v>
                </c:pt>
                <c:pt idx="15">
                  <c:v>-15109.559306087787</c:v>
                </c:pt>
                <c:pt idx="16">
                  <c:v>-7579.3427603419041</c:v>
                </c:pt>
                <c:pt idx="17">
                  <c:v>-7516.6256019947541</c:v>
                </c:pt>
                <c:pt idx="18">
                  <c:v>-7488.650041736475</c:v>
                </c:pt>
                <c:pt idx="19">
                  <c:v>-7421.1239439928586</c:v>
                </c:pt>
                <c:pt idx="20">
                  <c:v>-7351.2641876396683</c:v>
                </c:pt>
                <c:pt idx="21">
                  <c:v>-7278.8711846139395</c:v>
                </c:pt>
                <c:pt idx="22">
                  <c:v>-7203.7190240805339</c:v>
                </c:pt>
                <c:pt idx="23">
                  <c:v>-7125.5506336153812</c:v>
                </c:pt>
                <c:pt idx="24">
                  <c:v>-7044.0717593487179</c:v>
                </c:pt>
                <c:pt idx="25">
                  <c:v>-6911.9235088211781</c:v>
                </c:pt>
                <c:pt idx="26">
                  <c:v>-6775.6633270515913</c:v>
                </c:pt>
                <c:pt idx="27">
                  <c:v>-6634.9314053412454</c:v>
                </c:pt>
                <c:pt idx="28">
                  <c:v>-6489.316801132949</c:v>
                </c:pt>
                <c:pt idx="29">
                  <c:v>-6338.3468932073392</c:v>
                </c:pt>
                <c:pt idx="30">
                  <c:v>-6127.2504167544475</c:v>
                </c:pt>
                <c:pt idx="31">
                  <c:v>-5911.632363744995</c:v>
                </c:pt>
                <c:pt idx="32">
                  <c:v>-5691.1188291031267</c:v>
                </c:pt>
                <c:pt idx="33">
                  <c:v>-5465.2827950375513</c:v>
                </c:pt>
                <c:pt idx="34">
                  <c:v>-5176.1201718904013</c:v>
                </c:pt>
                <c:pt idx="35">
                  <c:v>-4886.107815387847</c:v>
                </c:pt>
                <c:pt idx="36">
                  <c:v>-4595.1919930376125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'R. Results'!$F$396</c:f>
              <c:strCache>
                <c:ptCount val="1"/>
                <c:pt idx="0">
                  <c:v>S2 IRA Contrib. - Withdrawal FV</c:v>
                </c:pt>
              </c:strCache>
            </c:strRef>
          </c:tx>
          <c:marker>
            <c:symbol val="none"/>
          </c:marker>
          <c:val>
            <c:numRef>
              <c:f>'R. Results'!$F$397:$F$433</c:f>
              <c:numCache>
                <c:formatCode>"$"#,##0_);[Red]\("$"#,##0\)</c:formatCode>
                <c:ptCount val="37"/>
                <c:pt idx="0">
                  <c:v>2500</c:v>
                </c:pt>
                <c:pt idx="1">
                  <c:v>2589.75</c:v>
                </c:pt>
                <c:pt idx="2">
                  <c:v>2682.722025</c:v>
                </c:pt>
                <c:pt idx="3">
                  <c:v>1179.0317456974999</c:v>
                </c:pt>
                <c:pt idx="4">
                  <c:v>2188.7095373680399</c:v>
                </c:pt>
                <c:pt idx="5">
                  <c:v>-2780.7131205040464</c:v>
                </c:pt>
                <c:pt idx="6">
                  <c:v>-2860.7197632467114</c:v>
                </c:pt>
                <c:pt idx="7">
                  <c:v>-2917.9740359566076</c:v>
                </c:pt>
                <c:pt idx="8">
                  <c:v>-1134.6594498498612</c:v>
                </c:pt>
                <c:pt idx="9">
                  <c:v>1531.1655137651755</c:v>
                </c:pt>
                <c:pt idx="10">
                  <c:v>-233.26704610091437</c:v>
                </c:pt>
                <c:pt idx="11">
                  <c:v>-2113.7363242709084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-9021.2382835803946</c:v>
                </c:pt>
                <c:pt idx="16">
                  <c:v>-4648.6099465402694</c:v>
                </c:pt>
                <c:pt idx="17">
                  <c:v>-4650.03995580027</c:v>
                </c:pt>
                <c:pt idx="18">
                  <c:v>-4651.430283256057</c:v>
                </c:pt>
                <c:pt idx="19">
                  <c:v>-4652.7506382301772</c:v>
                </c:pt>
                <c:pt idx="20">
                  <c:v>-4653.9656372227955</c:v>
                </c:pt>
                <c:pt idx="21">
                  <c:v>-4655.0339259530156</c:v>
                </c:pt>
                <c:pt idx="22">
                  <c:v>-4633.9452913606929</c:v>
                </c:pt>
                <c:pt idx="23">
                  <c:v>-4634.6717971060316</c:v>
                </c:pt>
                <c:pt idx="24">
                  <c:v>-4611.3216492740676</c:v>
                </c:pt>
                <c:pt idx="25">
                  <c:v>-4586.824810646779</c:v>
                </c:pt>
                <c:pt idx="26">
                  <c:v>-4561.0457340740159</c:v>
                </c:pt>
                <c:pt idx="27">
                  <c:v>-4533.8295309253135</c:v>
                </c:pt>
                <c:pt idx="28">
                  <c:v>-4504.9984145393655</c:v>
                </c:pt>
                <c:pt idx="29">
                  <c:v>-4474.3472854550237</c:v>
                </c:pt>
                <c:pt idx="30">
                  <c:v>-4411.6271241096811</c:v>
                </c:pt>
                <c:pt idx="31">
                  <c:v>-4346.2168803228033</c:v>
                </c:pt>
                <c:pt idx="32">
                  <c:v>-4277.8340893965724</c:v>
                </c:pt>
                <c:pt idx="33">
                  <c:v>-4206.1555921274421</c:v>
                </c:pt>
                <c:pt idx="34">
                  <c:v>-4130.8093373749125</c:v>
                </c:pt>
                <c:pt idx="35">
                  <c:v>-4015.8256409198434</c:v>
                </c:pt>
                <c:pt idx="36">
                  <c:v>-3897.1368240209572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'R. Results'!$I$396</c:f>
              <c:strCache>
                <c:ptCount val="1"/>
                <c:pt idx="0">
                  <c:v>S1 Roth Contrib -Withdrawal FV</c:v>
                </c:pt>
              </c:strCache>
            </c:strRef>
          </c:tx>
          <c:marker>
            <c:symbol val="none"/>
          </c:marker>
          <c:val>
            <c:numRef>
              <c:f>'R. Results'!$I$397:$I$433</c:f>
              <c:numCache>
                <c:formatCode>"$"#,##0_);[Red]\("$"#,##0\)</c:formatCode>
                <c:ptCount val="37"/>
                <c:pt idx="0">
                  <c:v>123</c:v>
                </c:pt>
                <c:pt idx="1">
                  <c:v>1644.845</c:v>
                </c:pt>
                <c:pt idx="2">
                  <c:v>2187.2176749999999</c:v>
                </c:pt>
                <c:pt idx="3">
                  <c:v>1158.9194401249999</c:v>
                </c:pt>
                <c:pt idx="4">
                  <c:v>1171.151726726875</c:v>
                </c:pt>
                <c:pt idx="5">
                  <c:v>-357</c:v>
                </c:pt>
                <c:pt idx="6">
                  <c:v>-357</c:v>
                </c:pt>
                <c:pt idx="7">
                  <c:v>-357</c:v>
                </c:pt>
                <c:pt idx="8">
                  <c:v>-357</c:v>
                </c:pt>
                <c:pt idx="9">
                  <c:v>-357</c:v>
                </c:pt>
                <c:pt idx="10">
                  <c:v>-1108.0357242022824</c:v>
                </c:pt>
                <c:pt idx="11">
                  <c:v>-2039.7838350952738</c:v>
                </c:pt>
                <c:pt idx="12">
                  <c:v>-1439.9180984024238</c:v>
                </c:pt>
                <c:pt idx="13">
                  <c:v>-1583.5364872441664</c:v>
                </c:pt>
                <c:pt idx="14">
                  <c:v>-1657.4785253202735</c:v>
                </c:pt>
                <c:pt idx="15">
                  <c:v>-3602.0206728167805</c:v>
                </c:pt>
                <c:pt idx="16">
                  <c:v>-1489.4478578814353</c:v>
                </c:pt>
                <c:pt idx="17">
                  <c:v>-1541.929290336393</c:v>
                </c:pt>
                <c:pt idx="18">
                  <c:v>-1601.8148448412101</c:v>
                </c:pt>
                <c:pt idx="19">
                  <c:v>-1660.5933364700297</c:v>
                </c:pt>
                <c:pt idx="20">
                  <c:v>-1723.0499501712466</c:v>
                </c:pt>
                <c:pt idx="21">
                  <c:v>-1789.3406855675075</c:v>
                </c:pt>
                <c:pt idx="22">
                  <c:v>-1859.8903415298621</c:v>
                </c:pt>
                <c:pt idx="23">
                  <c:v>-1935.185270019887</c:v>
                </c:pt>
                <c:pt idx="24">
                  <c:v>-2015.8024163824475</c:v>
                </c:pt>
                <c:pt idx="25">
                  <c:v>-2094.3661674300292</c:v>
                </c:pt>
                <c:pt idx="26">
                  <c:v>-1237.2481942145641</c:v>
                </c:pt>
                <c:pt idx="27">
                  <c:v>-1293.6641949890191</c:v>
                </c:pt>
                <c:pt idx="28">
                  <c:v>-1355.6703610361587</c:v>
                </c:pt>
                <c:pt idx="29">
                  <c:v>-1424.1798964142099</c:v>
                </c:pt>
                <c:pt idx="30">
                  <c:v>-1487.1611572098077</c:v>
                </c:pt>
                <c:pt idx="31">
                  <c:v>-1557.3624668877642</c:v>
                </c:pt>
                <c:pt idx="32">
                  <c:v>-1634.9131638609717</c:v>
                </c:pt>
                <c:pt idx="33">
                  <c:v>-1721.1931226992508</c:v>
                </c:pt>
                <c:pt idx="34">
                  <c:v>-1797.8383353200554</c:v>
                </c:pt>
                <c:pt idx="35">
                  <c:v>-1884.3382960931476</c:v>
                </c:pt>
                <c:pt idx="36">
                  <c:v>-1980.2929824886655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'R. Results'!$J$396</c:f>
              <c:strCache>
                <c:ptCount val="1"/>
                <c:pt idx="0">
                  <c:v>S2 Roth Contrib -Withdrawal FV</c:v>
                </c:pt>
              </c:strCache>
            </c:strRef>
          </c:tx>
          <c:marker>
            <c:symbol val="none"/>
          </c:marker>
          <c:val>
            <c:numRef>
              <c:f>'R. Results'!$J$397:$J$433</c:f>
              <c:numCache>
                <c:formatCode>"$"#,##0_);[Red]\("$"#,##0\)</c:formatCode>
                <c:ptCount val="37"/>
                <c:pt idx="0">
                  <c:v>0</c:v>
                </c:pt>
                <c:pt idx="1">
                  <c:v>2009.9999999999998</c:v>
                </c:pt>
                <c:pt idx="2">
                  <c:v>2020.0499999999995</c:v>
                </c:pt>
                <c:pt idx="3">
                  <c:v>3303.5998499999992</c:v>
                </c:pt>
                <c:pt idx="4">
                  <c:v>0</c:v>
                </c:pt>
                <c:pt idx="5">
                  <c:v>0</c:v>
                </c:pt>
                <c:pt idx="6">
                  <c:v>-600</c:v>
                </c:pt>
                <c:pt idx="7">
                  <c:v>-600</c:v>
                </c:pt>
                <c:pt idx="8">
                  <c:v>-747.65380000000005</c:v>
                </c:pt>
                <c:pt idx="9">
                  <c:v>-757.85622980000028</c:v>
                </c:pt>
                <c:pt idx="10">
                  <c:v>-774.94754387580053</c:v>
                </c:pt>
                <c:pt idx="11">
                  <c:v>-582.17490574173576</c:v>
                </c:pt>
                <c:pt idx="12">
                  <c:v>-86.139972710825063</c:v>
                </c:pt>
                <c:pt idx="13">
                  <c:v>0</c:v>
                </c:pt>
                <c:pt idx="14">
                  <c:v>0</c:v>
                </c:pt>
                <c:pt idx="15">
                  <c:v>-1746.2912492815417</c:v>
                </c:pt>
                <c:pt idx="16">
                  <c:v>-740.67121543847838</c:v>
                </c:pt>
                <c:pt idx="17">
                  <c:v>-1950.0545033826211</c:v>
                </c:pt>
                <c:pt idx="18">
                  <c:v>-2018.8881320302469</c:v>
                </c:pt>
                <c:pt idx="19">
                  <c:v>-2090.9150205556411</c:v>
                </c:pt>
                <c:pt idx="20">
                  <c:v>-2166.3263451926978</c:v>
                </c:pt>
                <c:pt idx="21">
                  <c:v>-880.25588745493837</c:v>
                </c:pt>
                <c:pt idx="22">
                  <c:v>-909.49300038847559</c:v>
                </c:pt>
                <c:pt idx="23">
                  <c:v>-945.33551819364209</c:v>
                </c:pt>
                <c:pt idx="24">
                  <c:v>-978.70539193863488</c:v>
                </c:pt>
                <c:pt idx="25">
                  <c:v>-1014.5511010112991</c:v>
                </c:pt>
                <c:pt idx="26">
                  <c:v>-1052.9734248653303</c:v>
                </c:pt>
                <c:pt idx="27">
                  <c:v>-1094.3078065364252</c:v>
                </c:pt>
                <c:pt idx="28">
                  <c:v>-1138.9411808316336</c:v>
                </c:pt>
                <c:pt idx="29">
                  <c:v>-1187.3372262942755</c:v>
                </c:pt>
                <c:pt idx="30">
                  <c:v>-1231.6769626019181</c:v>
                </c:pt>
                <c:pt idx="31">
                  <c:v>-1279.9650522990696</c:v>
                </c:pt>
                <c:pt idx="32">
                  <c:v>-1332.3461008098152</c:v>
                </c:pt>
                <c:pt idx="33">
                  <c:v>-1389.4784693914255</c:v>
                </c:pt>
                <c:pt idx="34">
                  <c:v>-1452.1343166851145</c:v>
                </c:pt>
                <c:pt idx="35">
                  <c:v>-1507.9263744148057</c:v>
                </c:pt>
                <c:pt idx="36">
                  <c:v>-1569.7269392449907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'R. Results'!$K$396</c:f>
              <c:strCache>
                <c:ptCount val="1"/>
                <c:pt idx="0">
                  <c:v>Total  S1+S2 tax-deferred IRAs Contrilb - Withdrawn FV</c:v>
                </c:pt>
              </c:strCache>
            </c:strRef>
          </c:tx>
          <c:marker>
            <c:symbol val="none"/>
          </c:marker>
          <c:val>
            <c:numRef>
              <c:f>'R. Results'!$K$397:$K$433</c:f>
              <c:numCache>
                <c:formatCode>"$"#,##0_);[Red]\("$"#,##0\)</c:formatCode>
                <c:ptCount val="37"/>
                <c:pt idx="0">
                  <c:v>3000</c:v>
                </c:pt>
                <c:pt idx="1">
                  <c:v>5089.75</c:v>
                </c:pt>
                <c:pt idx="2">
                  <c:v>5182.722025</c:v>
                </c:pt>
                <c:pt idx="3">
                  <c:v>4846.3605456975001</c:v>
                </c:pt>
                <c:pt idx="4">
                  <c:v>4688.7095373680404</c:v>
                </c:pt>
                <c:pt idx="5">
                  <c:v>-2780.7131205040464</c:v>
                </c:pt>
                <c:pt idx="6">
                  <c:v>-2860.7197632467114</c:v>
                </c:pt>
                <c:pt idx="7">
                  <c:v>-2917.9740359566076</c:v>
                </c:pt>
                <c:pt idx="8">
                  <c:v>-1134.6594498498612</c:v>
                </c:pt>
                <c:pt idx="9">
                  <c:v>1531.1655137651755</c:v>
                </c:pt>
                <c:pt idx="10">
                  <c:v>-9195.2026671057065</c:v>
                </c:pt>
                <c:pt idx="11">
                  <c:v>-13698.31631530003</c:v>
                </c:pt>
                <c:pt idx="12">
                  <c:v>-9441.6606836849369</c:v>
                </c:pt>
                <c:pt idx="13">
                  <c:v>-9755.780815869748</c:v>
                </c:pt>
                <c:pt idx="14">
                  <c:v>-9851.4624987162351</c:v>
                </c:pt>
                <c:pt idx="15">
                  <c:v>-24130.797589668182</c:v>
                </c:pt>
                <c:pt idx="16">
                  <c:v>-12227.952706882174</c:v>
                </c:pt>
                <c:pt idx="17">
                  <c:v>-12166.665557795024</c:v>
                </c:pt>
                <c:pt idx="18">
                  <c:v>-12140.080324992532</c:v>
                </c:pt>
                <c:pt idx="19">
                  <c:v>-12073.874582223036</c:v>
                </c:pt>
                <c:pt idx="20">
                  <c:v>-12005.229824862465</c:v>
                </c:pt>
                <c:pt idx="21">
                  <c:v>-11933.905110566955</c:v>
                </c:pt>
                <c:pt idx="22">
                  <c:v>-11837.664315441227</c:v>
                </c:pt>
                <c:pt idx="23">
                  <c:v>-11760.222430721413</c:v>
                </c:pt>
                <c:pt idx="24">
                  <c:v>-11655.393408622786</c:v>
                </c:pt>
                <c:pt idx="25">
                  <c:v>-11498.748319467957</c:v>
                </c:pt>
                <c:pt idx="26">
                  <c:v>-11336.709061125606</c:v>
                </c:pt>
                <c:pt idx="27">
                  <c:v>-11168.760936266559</c:v>
                </c:pt>
                <c:pt idx="28">
                  <c:v>-10994.315215672315</c:v>
                </c:pt>
                <c:pt idx="29">
                  <c:v>-10812.694178662363</c:v>
                </c:pt>
                <c:pt idx="30">
                  <c:v>-10538.877540864129</c:v>
                </c:pt>
                <c:pt idx="31">
                  <c:v>-10257.849244067798</c:v>
                </c:pt>
                <c:pt idx="32">
                  <c:v>-9968.9529184996991</c:v>
                </c:pt>
                <c:pt idx="33">
                  <c:v>-9671.4383871649934</c:v>
                </c:pt>
                <c:pt idx="34">
                  <c:v>-9306.9295092653138</c:v>
                </c:pt>
                <c:pt idx="35">
                  <c:v>-8901.93345630769</c:v>
                </c:pt>
                <c:pt idx="36">
                  <c:v>-8492.3288170585693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'R. Results'!$L$396</c:f>
              <c:strCache>
                <c:ptCount val="1"/>
                <c:pt idx="0">
                  <c:v>Total  S1+S2 Roth IRAs Contrilb - Withdrawn FV</c:v>
                </c:pt>
              </c:strCache>
            </c:strRef>
          </c:tx>
          <c:marker>
            <c:symbol val="none"/>
          </c:marker>
          <c:val>
            <c:numRef>
              <c:f>'R. Results'!$L$397:$L$433</c:f>
              <c:numCache>
                <c:formatCode>"$"#,##0_);[Red]\("$"#,##0\)</c:formatCode>
                <c:ptCount val="37"/>
                <c:pt idx="0">
                  <c:v>123</c:v>
                </c:pt>
                <c:pt idx="1">
                  <c:v>3654.8449999999998</c:v>
                </c:pt>
                <c:pt idx="2">
                  <c:v>4207.2676749999991</c:v>
                </c:pt>
                <c:pt idx="3">
                  <c:v>4462.5192901249993</c:v>
                </c:pt>
                <c:pt idx="4">
                  <c:v>1171.151726726875</c:v>
                </c:pt>
                <c:pt idx="5">
                  <c:v>-357</c:v>
                </c:pt>
                <c:pt idx="6">
                  <c:v>-957</c:v>
                </c:pt>
                <c:pt idx="7">
                  <c:v>-957</c:v>
                </c:pt>
                <c:pt idx="8">
                  <c:v>-1104.6538</c:v>
                </c:pt>
                <c:pt idx="9">
                  <c:v>-1114.8562298000002</c:v>
                </c:pt>
                <c:pt idx="10">
                  <c:v>-1882.9832680780828</c:v>
                </c:pt>
                <c:pt idx="11">
                  <c:v>-2621.9587408370098</c:v>
                </c:pt>
                <c:pt idx="12">
                  <c:v>-1526.0580711132488</c:v>
                </c:pt>
                <c:pt idx="13">
                  <c:v>-1583.5364872441664</c:v>
                </c:pt>
                <c:pt idx="14">
                  <c:v>-1657.4785253202735</c:v>
                </c:pt>
                <c:pt idx="15">
                  <c:v>-5348.3119220983226</c:v>
                </c:pt>
                <c:pt idx="16">
                  <c:v>-2230.1190733199137</c:v>
                </c:pt>
                <c:pt idx="17">
                  <c:v>-3491.9837937190141</c:v>
                </c:pt>
                <c:pt idx="18">
                  <c:v>-3620.7029768714569</c:v>
                </c:pt>
                <c:pt idx="19">
                  <c:v>-3751.5083570256711</c:v>
                </c:pt>
                <c:pt idx="20">
                  <c:v>-3889.3762953639443</c:v>
                </c:pt>
                <c:pt idx="21">
                  <c:v>-2669.5965730224461</c:v>
                </c:pt>
                <c:pt idx="22">
                  <c:v>-2769.3833419183375</c:v>
                </c:pt>
                <c:pt idx="23">
                  <c:v>-2880.5207882135292</c:v>
                </c:pt>
                <c:pt idx="24">
                  <c:v>-2994.5078083210824</c:v>
                </c:pt>
                <c:pt idx="25">
                  <c:v>-3108.9172684413284</c:v>
                </c:pt>
                <c:pt idx="26">
                  <c:v>-2290.2216190798945</c:v>
                </c:pt>
                <c:pt idx="27">
                  <c:v>-2387.9720015254443</c:v>
                </c:pt>
                <c:pt idx="28">
                  <c:v>-2494.6115418677923</c:v>
                </c:pt>
                <c:pt idx="29">
                  <c:v>-2611.5171227084857</c:v>
                </c:pt>
                <c:pt idx="30">
                  <c:v>-2718.8381198117258</c:v>
                </c:pt>
                <c:pt idx="31">
                  <c:v>-2837.3275191868338</c:v>
                </c:pt>
                <c:pt idx="32">
                  <c:v>-2967.2592646707872</c:v>
                </c:pt>
                <c:pt idx="33">
                  <c:v>-3110.6715920906763</c:v>
                </c:pt>
                <c:pt idx="34">
                  <c:v>-3249.9726520051699</c:v>
                </c:pt>
                <c:pt idx="35">
                  <c:v>-3392.2646705079533</c:v>
                </c:pt>
                <c:pt idx="36">
                  <c:v>-3550.0199217336562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257344"/>
        <c:axId val="137258880"/>
      </c:lineChart>
      <c:catAx>
        <c:axId val="137257344"/>
        <c:scaling>
          <c:orientation val="minMax"/>
        </c:scaling>
        <c:delete val="0"/>
        <c:axPos val="b"/>
        <c:majorTickMark val="out"/>
        <c:minorTickMark val="none"/>
        <c:tickLblPos val="nextTo"/>
        <c:crossAx val="137258880"/>
        <c:crosses val="autoZero"/>
        <c:auto val="1"/>
        <c:lblAlgn val="ctr"/>
        <c:lblOffset val="100"/>
        <c:noMultiLvlLbl val="0"/>
      </c:catAx>
      <c:valAx>
        <c:axId val="137258880"/>
        <c:scaling>
          <c:orientation val="minMax"/>
        </c:scaling>
        <c:delete val="0"/>
        <c:axPos val="l"/>
        <c:majorGridlines/>
        <c:numFmt formatCode="&quot;$&quot;#,##0_);[Red]\(&quot;$&quot;#,##0\)" sourceLinked="1"/>
        <c:majorTickMark val="out"/>
        <c:minorTickMark val="none"/>
        <c:tickLblPos val="nextTo"/>
        <c:crossAx val="137257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6" l="0.70000000000000062" r="0.70000000000000062" t="0.750000000000006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'R. Results'!$C$498</c:f>
              <c:strCache>
                <c:ptCount val="1"/>
                <c:pt idx="0">
                  <c:v>S1 Savings Value FV</c:v>
                </c:pt>
              </c:strCache>
            </c:strRef>
          </c:tx>
          <c:marker>
            <c:symbol val="none"/>
          </c:marker>
          <c:val>
            <c:numRef>
              <c:f>'R. Results'!$C$499:$C$535</c:f>
              <c:numCache>
                <c:formatCode>"$"#,##0_);[Red]\("$"#,##0\)</c:formatCode>
                <c:ptCount val="37"/>
                <c:pt idx="0">
                  <c:v>110000</c:v>
                </c:pt>
                <c:pt idx="1">
                  <c:v>114380.25</c:v>
                </c:pt>
                <c:pt idx="2">
                  <c:v>118099.66731617646</c:v>
                </c:pt>
                <c:pt idx="3">
                  <c:v>120715.60383069771</c:v>
                </c:pt>
                <c:pt idx="4">
                  <c:v>110082.19358668009</c:v>
                </c:pt>
                <c:pt idx="5">
                  <c:v>99482.42286685959</c:v>
                </c:pt>
                <c:pt idx="6">
                  <c:v>92900.494561736996</c:v>
                </c:pt>
                <c:pt idx="7">
                  <c:v>127827.51420785117</c:v>
                </c:pt>
                <c:pt idx="8">
                  <c:v>166245.36363174769</c:v>
                </c:pt>
                <c:pt idx="9">
                  <c:v>185044.84077425019</c:v>
                </c:pt>
                <c:pt idx="10">
                  <c:v>225980.81113839117</c:v>
                </c:pt>
                <c:pt idx="11">
                  <c:v>283857.91106699558</c:v>
                </c:pt>
                <c:pt idx="12">
                  <c:v>348302.67272611987</c:v>
                </c:pt>
                <c:pt idx="13">
                  <c:v>381586.76848759997</c:v>
                </c:pt>
                <c:pt idx="14">
                  <c:v>416135.60905112163</c:v>
                </c:pt>
                <c:pt idx="15">
                  <c:v>451490.97710573924</c:v>
                </c:pt>
                <c:pt idx="16">
                  <c:v>390025.26203075686</c:v>
                </c:pt>
                <c:pt idx="17">
                  <c:v>421073.56262092089</c:v>
                </c:pt>
                <c:pt idx="18">
                  <c:v>455234.45193910244</c:v>
                </c:pt>
                <c:pt idx="19">
                  <c:v>490558.41931410873</c:v>
                </c:pt>
                <c:pt idx="20">
                  <c:v>521261.0897016995</c:v>
                </c:pt>
                <c:pt idx="21">
                  <c:v>552928.96399179939</c:v>
                </c:pt>
                <c:pt idx="22">
                  <c:v>585585.76690854935</c:v>
                </c:pt>
                <c:pt idx="23">
                  <c:v>619264.37691652949</c:v>
                </c:pt>
                <c:pt idx="24">
                  <c:v>653995.43712757924</c:v>
                </c:pt>
                <c:pt idx="25">
                  <c:v>689810.58121480956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'R. Results'!$D$498</c:f>
              <c:strCache>
                <c:ptCount val="1"/>
                <c:pt idx="0">
                  <c:v>S2 Savings Value FV</c:v>
                </c:pt>
              </c:strCache>
            </c:strRef>
          </c:tx>
          <c:marker>
            <c:symbol val="none"/>
          </c:marker>
          <c:val>
            <c:numRef>
              <c:f>'R. Results'!$D$499:$D$535</c:f>
              <c:numCache>
                <c:formatCode>"$"#,##0_);[Red]\("$"#,##0\)</c:formatCode>
                <c:ptCount val="37"/>
                <c:pt idx="0">
                  <c:v>80000</c:v>
                </c:pt>
                <c:pt idx="1">
                  <c:v>83215.25</c:v>
                </c:pt>
                <c:pt idx="2">
                  <c:v>85753.911316176469</c:v>
                </c:pt>
                <c:pt idx="3">
                  <c:v>87168.83754459476</c:v>
                </c:pt>
                <c:pt idx="4">
                  <c:v>76506.883850693499</c:v>
                </c:pt>
                <c:pt idx="5">
                  <c:v>66844.285274653463</c:v>
                </c:pt>
                <c:pt idx="6">
                  <c:v>60493.259870199829</c:v>
                </c:pt>
                <c:pt idx="7">
                  <c:v>67939.833085934879</c:v>
                </c:pt>
                <c:pt idx="8">
                  <c:v>73095.596978717731</c:v>
                </c:pt>
                <c:pt idx="9">
                  <c:v>92462.425386582705</c:v>
                </c:pt>
                <c:pt idx="10">
                  <c:v>100853.32669059877</c:v>
                </c:pt>
                <c:pt idx="11">
                  <c:v>110203.00527827753</c:v>
                </c:pt>
                <c:pt idx="12">
                  <c:v>128647.62530081026</c:v>
                </c:pt>
                <c:pt idx="13">
                  <c:v>161377.57376870414</c:v>
                </c:pt>
                <c:pt idx="14">
                  <c:v>195562.27403557071</c:v>
                </c:pt>
                <c:pt idx="15">
                  <c:v>229554.42238172289</c:v>
                </c:pt>
                <c:pt idx="16">
                  <c:v>166913.76346170463</c:v>
                </c:pt>
                <c:pt idx="17">
                  <c:v>186623.63529343071</c:v>
                </c:pt>
                <c:pt idx="18">
                  <c:v>208293.99566689142</c:v>
                </c:pt>
                <c:pt idx="19">
                  <c:v>230835.00111124717</c:v>
                </c:pt>
                <c:pt idx="20">
                  <c:v>246607.29505220259</c:v>
                </c:pt>
                <c:pt idx="21">
                  <c:v>264896.31901995832</c:v>
                </c:pt>
                <c:pt idx="22">
                  <c:v>282513.47226781637</c:v>
                </c:pt>
                <c:pt idx="23">
                  <c:v>300739.46596823586</c:v>
                </c:pt>
                <c:pt idx="24">
                  <c:v>319622.24763419002</c:v>
                </c:pt>
                <c:pt idx="25">
                  <c:v>339156.07930807443</c:v>
                </c:pt>
                <c:pt idx="26">
                  <c:v>518164.45149407891</c:v>
                </c:pt>
                <c:pt idx="27">
                  <c:v>527755.08513253543</c:v>
                </c:pt>
                <c:pt idx="28">
                  <c:v>537371.42497786216</c:v>
                </c:pt>
                <c:pt idx="29">
                  <c:v>547012.30807073636</c:v>
                </c:pt>
                <c:pt idx="30">
                  <c:v>556676.83079070086</c:v>
                </c:pt>
                <c:pt idx="31">
                  <c:v>566311.56800749747</c:v>
                </c:pt>
                <c:pt idx="32">
                  <c:v>576546.97695189784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292032"/>
        <c:axId val="137293824"/>
      </c:lineChart>
      <c:catAx>
        <c:axId val="137292032"/>
        <c:scaling>
          <c:orientation val="minMax"/>
        </c:scaling>
        <c:delete val="0"/>
        <c:axPos val="b"/>
        <c:majorTickMark val="out"/>
        <c:minorTickMark val="none"/>
        <c:tickLblPos val="nextTo"/>
        <c:crossAx val="137293824"/>
        <c:crosses val="autoZero"/>
        <c:auto val="1"/>
        <c:lblAlgn val="ctr"/>
        <c:lblOffset val="100"/>
        <c:noMultiLvlLbl val="0"/>
      </c:catAx>
      <c:valAx>
        <c:axId val="137293824"/>
        <c:scaling>
          <c:orientation val="minMax"/>
        </c:scaling>
        <c:delete val="0"/>
        <c:axPos val="l"/>
        <c:majorGridlines/>
        <c:numFmt formatCode="&quot;$&quot;#,##0_);[Red]\(&quot;$&quot;#,##0\)" sourceLinked="1"/>
        <c:majorTickMark val="out"/>
        <c:minorTickMark val="none"/>
        <c:tickLblPos val="nextTo"/>
        <c:crossAx val="13729203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7206017837829555"/>
          <c:y val="0.42656873548856161"/>
          <c:w val="0.21992579771089427"/>
          <c:h val="0.13916621950040844"/>
        </c:manualLayout>
      </c:layout>
      <c:overlay val="0"/>
    </c:legend>
    <c:plotVisOnly val="1"/>
    <c:dispBlanksAs val="gap"/>
    <c:showDLblsOverMax val="0"/>
  </c:chart>
  <c:printSettings>
    <c:headerFooter/>
    <c:pageMargins b="0.750000000000006" l="0.70000000000000062" r="0.70000000000000062" t="0.750000000000006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jpe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jpeg"/><Relationship Id="rId2" Type="http://schemas.openxmlformats.org/officeDocument/2006/relationships/image" Target="../media/image12.jpeg"/><Relationship Id="rId1" Type="http://schemas.openxmlformats.org/officeDocument/2006/relationships/image" Target="../media/image11.jpeg"/><Relationship Id="rId4" Type="http://schemas.openxmlformats.org/officeDocument/2006/relationships/image" Target="../media/image14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13" Type="http://schemas.openxmlformats.org/officeDocument/2006/relationships/chart" Target="../charts/chart14.xml"/><Relationship Id="rId18" Type="http://schemas.openxmlformats.org/officeDocument/2006/relationships/chart" Target="../charts/chart19.xml"/><Relationship Id="rId26" Type="http://schemas.openxmlformats.org/officeDocument/2006/relationships/chart" Target="../charts/chart27.xml"/><Relationship Id="rId3" Type="http://schemas.openxmlformats.org/officeDocument/2006/relationships/chart" Target="../charts/chart4.xml"/><Relationship Id="rId21" Type="http://schemas.openxmlformats.org/officeDocument/2006/relationships/chart" Target="../charts/chart22.xml"/><Relationship Id="rId7" Type="http://schemas.openxmlformats.org/officeDocument/2006/relationships/chart" Target="../charts/chart8.xml"/><Relationship Id="rId12" Type="http://schemas.openxmlformats.org/officeDocument/2006/relationships/chart" Target="../charts/chart13.xml"/><Relationship Id="rId17" Type="http://schemas.openxmlformats.org/officeDocument/2006/relationships/chart" Target="../charts/chart18.xml"/><Relationship Id="rId25" Type="http://schemas.openxmlformats.org/officeDocument/2006/relationships/chart" Target="../charts/chart26.xml"/><Relationship Id="rId2" Type="http://schemas.openxmlformats.org/officeDocument/2006/relationships/chart" Target="../charts/chart3.xml"/><Relationship Id="rId16" Type="http://schemas.openxmlformats.org/officeDocument/2006/relationships/chart" Target="../charts/chart17.xml"/><Relationship Id="rId20" Type="http://schemas.openxmlformats.org/officeDocument/2006/relationships/chart" Target="../charts/chart21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11" Type="http://schemas.openxmlformats.org/officeDocument/2006/relationships/chart" Target="../charts/chart12.xml"/><Relationship Id="rId24" Type="http://schemas.openxmlformats.org/officeDocument/2006/relationships/chart" Target="../charts/chart25.xml"/><Relationship Id="rId5" Type="http://schemas.openxmlformats.org/officeDocument/2006/relationships/chart" Target="../charts/chart6.xml"/><Relationship Id="rId15" Type="http://schemas.openxmlformats.org/officeDocument/2006/relationships/chart" Target="../charts/chart16.xml"/><Relationship Id="rId23" Type="http://schemas.openxmlformats.org/officeDocument/2006/relationships/chart" Target="../charts/chart24.xml"/><Relationship Id="rId10" Type="http://schemas.openxmlformats.org/officeDocument/2006/relationships/chart" Target="../charts/chart11.xml"/><Relationship Id="rId19" Type="http://schemas.openxmlformats.org/officeDocument/2006/relationships/chart" Target="../charts/chart20.xml"/><Relationship Id="rId4" Type="http://schemas.openxmlformats.org/officeDocument/2006/relationships/chart" Target="../charts/chart5.xml"/><Relationship Id="rId9" Type="http://schemas.openxmlformats.org/officeDocument/2006/relationships/chart" Target="../charts/chart10.xml"/><Relationship Id="rId14" Type="http://schemas.openxmlformats.org/officeDocument/2006/relationships/chart" Target="../charts/chart15.xml"/><Relationship Id="rId22" Type="http://schemas.openxmlformats.org/officeDocument/2006/relationships/chart" Target="../charts/chart23.xml"/></Relationships>
</file>

<file path=xl/drawings/_rels/vmlDrawing3.vml.rels><?xml version="1.0" encoding="UTF-8" standalone="yes"?>
<Relationships xmlns="http://schemas.openxmlformats.org/package/2006/relationships"><Relationship Id="rId3" Type="http://schemas.openxmlformats.org/officeDocument/2006/relationships/image" Target="../media/image5.emf"/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vmlDrawing7.vml.rels><?xml version="1.0" encoding="UTF-8" standalone="yes"?>
<Relationships xmlns="http://schemas.openxmlformats.org/package/2006/relationships"><Relationship Id="rId2" Type="http://schemas.openxmlformats.org/officeDocument/2006/relationships/image" Target="../media/image8.emf"/><Relationship Id="rId1" Type="http://schemas.openxmlformats.org/officeDocument/2006/relationships/image" Target="../media/image7.emf"/></Relationships>
</file>

<file path=xl/drawings/_rels/vmlDrawing8.vml.rels><?xml version="1.0" encoding="UTF-8" standalone="yes"?>
<Relationships xmlns="http://schemas.openxmlformats.org/package/2006/relationships"><Relationship Id="rId2" Type="http://schemas.openxmlformats.org/officeDocument/2006/relationships/image" Target="../media/image9.emf"/><Relationship Id="rId1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188768</xdr:colOff>
      <xdr:row>41</xdr:row>
      <xdr:rowOff>25978</xdr:rowOff>
    </xdr:from>
    <xdr:to>
      <xdr:col>7</xdr:col>
      <xdr:colOff>253134</xdr:colOff>
      <xdr:row>52</xdr:row>
      <xdr:rowOff>98045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768" y="6312478"/>
          <a:ext cx="5607916" cy="2167567"/>
        </a:xfrm>
        <a:prstGeom prst="rect">
          <a:avLst/>
        </a:prstGeom>
      </xdr:spPr>
    </xdr:pic>
    <xdr:clientData/>
  </xdr:twoCellAnchor>
  <xdr:twoCellAnchor editAs="oneCell">
    <xdr:from>
      <xdr:col>0</xdr:col>
      <xdr:colOff>219075</xdr:colOff>
      <xdr:row>101</xdr:row>
      <xdr:rowOff>133350</xdr:rowOff>
    </xdr:from>
    <xdr:to>
      <xdr:col>8</xdr:col>
      <xdr:colOff>142875</xdr:colOff>
      <xdr:row>124</xdr:row>
      <xdr:rowOff>142373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9075" y="19097625"/>
          <a:ext cx="6076950" cy="4390523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142875</xdr:colOff>
      <xdr:row>186</xdr:row>
      <xdr:rowOff>63193</xdr:rowOff>
    </xdr:from>
    <xdr:to>
      <xdr:col>11</xdr:col>
      <xdr:colOff>120650</xdr:colOff>
      <xdr:row>191</xdr:row>
      <xdr:rowOff>34925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9675" y="36305818"/>
          <a:ext cx="6073775" cy="924232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104</xdr:row>
      <xdr:rowOff>97089</xdr:rowOff>
    </xdr:from>
    <xdr:to>
      <xdr:col>11</xdr:col>
      <xdr:colOff>523875</xdr:colOff>
      <xdr:row>131</xdr:row>
      <xdr:rowOff>152444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" y="15984789"/>
          <a:ext cx="7362825" cy="5198855"/>
        </a:xfrm>
        <a:prstGeom prst="rect">
          <a:avLst/>
        </a:prstGeom>
      </xdr:spPr>
    </xdr:pic>
    <xdr:clientData/>
  </xdr:twoCellAnchor>
  <xdr:oneCellAnchor>
    <xdr:from>
      <xdr:col>1</xdr:col>
      <xdr:colOff>142875</xdr:colOff>
      <xdr:row>161</xdr:row>
      <xdr:rowOff>76200</xdr:rowOff>
    </xdr:from>
    <xdr:ext cx="2486025" cy="466725"/>
    <xdr:pic>
      <xdr:nvPicPr>
        <xdr:cNvPr id="6" name="Picture 4" descr="MS-quick action toolbar with BACK+FORWARD.jpg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2475" y="76428600"/>
          <a:ext cx="2486025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685800</xdr:colOff>
      <xdr:row>144</xdr:row>
      <xdr:rowOff>38100</xdr:rowOff>
    </xdr:from>
    <xdr:ext cx="3419475" cy="904875"/>
    <xdr:pic>
      <xdr:nvPicPr>
        <xdr:cNvPr id="7" name="Picture 5" descr="MS-customize quick action toolbar-menu entry.jpg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1866125"/>
          <a:ext cx="3419475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733425</xdr:colOff>
      <xdr:row>151</xdr:row>
      <xdr:rowOff>19050</xdr:rowOff>
    </xdr:from>
    <xdr:ext cx="5572125" cy="1847850"/>
    <xdr:pic>
      <xdr:nvPicPr>
        <xdr:cNvPr id="8" name="Picture 6" descr="MS-Customize Quickaction toolbar cmds.jpg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3752075"/>
          <a:ext cx="5572125" cy="1847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133350</xdr:colOff>
      <xdr:row>33</xdr:row>
      <xdr:rowOff>38100</xdr:rowOff>
    </xdr:from>
    <xdr:to>
      <xdr:col>11</xdr:col>
      <xdr:colOff>609600</xdr:colOff>
      <xdr:row>48</xdr:row>
      <xdr:rowOff>66675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95250</xdr:colOff>
      <xdr:row>177</xdr:row>
      <xdr:rowOff>57150</xdr:rowOff>
    </xdr:from>
    <xdr:to>
      <xdr:col>13</xdr:col>
      <xdr:colOff>266700</xdr:colOff>
      <xdr:row>191</xdr:row>
      <xdr:rowOff>171450</xdr:rowOff>
    </xdr:to>
    <xdr:graphicFrame macro="">
      <xdr:nvGraphicFramePr>
        <xdr:cNvPr id="1451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219075</xdr:colOff>
      <xdr:row>196</xdr:row>
      <xdr:rowOff>219075</xdr:rowOff>
    </xdr:from>
    <xdr:to>
      <xdr:col>13</xdr:col>
      <xdr:colOff>142875</xdr:colOff>
      <xdr:row>209</xdr:row>
      <xdr:rowOff>228600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142875</xdr:colOff>
      <xdr:row>213</xdr:row>
      <xdr:rowOff>85725</xdr:rowOff>
    </xdr:from>
    <xdr:to>
      <xdr:col>13</xdr:col>
      <xdr:colOff>247650</xdr:colOff>
      <xdr:row>225</xdr:row>
      <xdr:rowOff>228600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219075</xdr:colOff>
      <xdr:row>280</xdr:row>
      <xdr:rowOff>85725</xdr:rowOff>
    </xdr:from>
    <xdr:to>
      <xdr:col>12</xdr:col>
      <xdr:colOff>485775</xdr:colOff>
      <xdr:row>299</xdr:row>
      <xdr:rowOff>38099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52387</xdr:colOff>
      <xdr:row>353</xdr:row>
      <xdr:rowOff>95250</xdr:rowOff>
    </xdr:from>
    <xdr:to>
      <xdr:col>12</xdr:col>
      <xdr:colOff>409575</xdr:colOff>
      <xdr:row>372</xdr:row>
      <xdr:rowOff>109537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214311</xdr:colOff>
      <xdr:row>438</xdr:row>
      <xdr:rowOff>52386</xdr:rowOff>
    </xdr:from>
    <xdr:to>
      <xdr:col>12</xdr:col>
      <xdr:colOff>590550</xdr:colOff>
      <xdr:row>454</xdr:row>
      <xdr:rowOff>123825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4761</xdr:colOff>
      <xdr:row>460</xdr:row>
      <xdr:rowOff>57151</xdr:rowOff>
    </xdr:from>
    <xdr:to>
      <xdr:col>13</xdr:col>
      <xdr:colOff>38100</xdr:colOff>
      <xdr:row>477</xdr:row>
      <xdr:rowOff>166687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14287</xdr:colOff>
      <xdr:row>540</xdr:row>
      <xdr:rowOff>42861</xdr:rowOff>
    </xdr:from>
    <xdr:to>
      <xdr:col>13</xdr:col>
      <xdr:colOff>0</xdr:colOff>
      <xdr:row>561</xdr:row>
      <xdr:rowOff>142874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42861</xdr:colOff>
      <xdr:row>566</xdr:row>
      <xdr:rowOff>28575</xdr:rowOff>
    </xdr:from>
    <xdr:to>
      <xdr:col>12</xdr:col>
      <xdr:colOff>600074</xdr:colOff>
      <xdr:row>585</xdr:row>
      <xdr:rowOff>52387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223836</xdr:colOff>
      <xdr:row>589</xdr:row>
      <xdr:rowOff>38100</xdr:rowOff>
    </xdr:from>
    <xdr:to>
      <xdr:col>13</xdr:col>
      <xdr:colOff>66674</xdr:colOff>
      <xdr:row>608</xdr:row>
      <xdr:rowOff>114300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14287</xdr:colOff>
      <xdr:row>668</xdr:row>
      <xdr:rowOff>66674</xdr:rowOff>
    </xdr:from>
    <xdr:to>
      <xdr:col>13</xdr:col>
      <xdr:colOff>38100</xdr:colOff>
      <xdr:row>687</xdr:row>
      <xdr:rowOff>114299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9525</xdr:colOff>
      <xdr:row>692</xdr:row>
      <xdr:rowOff>38100</xdr:rowOff>
    </xdr:from>
    <xdr:to>
      <xdr:col>13</xdr:col>
      <xdr:colOff>28574</xdr:colOff>
      <xdr:row>713</xdr:row>
      <xdr:rowOff>28575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23811</xdr:colOff>
      <xdr:row>889</xdr:row>
      <xdr:rowOff>57150</xdr:rowOff>
    </xdr:from>
    <xdr:to>
      <xdr:col>13</xdr:col>
      <xdr:colOff>276225</xdr:colOff>
      <xdr:row>908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4762</xdr:colOff>
      <xdr:row>971</xdr:row>
      <xdr:rowOff>85725</xdr:rowOff>
    </xdr:from>
    <xdr:to>
      <xdr:col>12</xdr:col>
      <xdr:colOff>552450</xdr:colOff>
      <xdr:row>995</xdr:row>
      <xdr:rowOff>57150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9</xdr:col>
      <xdr:colOff>80962</xdr:colOff>
      <xdr:row>927</xdr:row>
      <xdr:rowOff>190499</xdr:rowOff>
    </xdr:from>
    <xdr:to>
      <xdr:col>13</xdr:col>
      <xdr:colOff>561975</xdr:colOff>
      <xdr:row>937</xdr:row>
      <xdr:rowOff>38099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9</xdr:col>
      <xdr:colOff>109537</xdr:colOff>
      <xdr:row>938</xdr:row>
      <xdr:rowOff>0</xdr:rowOff>
    </xdr:from>
    <xdr:to>
      <xdr:col>13</xdr:col>
      <xdr:colOff>542924</xdr:colOff>
      <xdr:row>950</xdr:row>
      <xdr:rowOff>85725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9</xdr:col>
      <xdr:colOff>61912</xdr:colOff>
      <xdr:row>951</xdr:row>
      <xdr:rowOff>1</xdr:rowOff>
    </xdr:from>
    <xdr:to>
      <xdr:col>13</xdr:col>
      <xdr:colOff>561975</xdr:colOff>
      <xdr:row>965</xdr:row>
      <xdr:rowOff>9525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5</xdr:col>
      <xdr:colOff>142876</xdr:colOff>
      <xdr:row>86</xdr:row>
      <xdr:rowOff>161924</xdr:rowOff>
    </xdr:from>
    <xdr:to>
      <xdr:col>13</xdr:col>
      <xdr:colOff>400050</xdr:colOff>
      <xdr:row>96</xdr:row>
      <xdr:rowOff>104775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5</xdr:col>
      <xdr:colOff>104775</xdr:colOff>
      <xdr:row>96</xdr:row>
      <xdr:rowOff>190499</xdr:rowOff>
    </xdr:from>
    <xdr:to>
      <xdr:col>13</xdr:col>
      <xdr:colOff>419100</xdr:colOff>
      <xdr:row>111</xdr:row>
      <xdr:rowOff>66674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5</xdr:col>
      <xdr:colOff>133349</xdr:colOff>
      <xdr:row>112</xdr:row>
      <xdr:rowOff>28574</xdr:rowOff>
    </xdr:from>
    <xdr:to>
      <xdr:col>13</xdr:col>
      <xdr:colOff>447674</xdr:colOff>
      <xdr:row>126</xdr:row>
      <xdr:rowOff>47625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52388</xdr:colOff>
      <xdr:row>761</xdr:row>
      <xdr:rowOff>95251</xdr:rowOff>
    </xdr:from>
    <xdr:to>
      <xdr:col>7</xdr:col>
      <xdr:colOff>371476</xdr:colOff>
      <xdr:row>775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</xdr:col>
      <xdr:colOff>442913</xdr:colOff>
      <xdr:row>761</xdr:row>
      <xdr:rowOff>57150</xdr:rowOff>
    </xdr:from>
    <xdr:to>
      <xdr:col>13</xdr:col>
      <xdr:colOff>571500</xdr:colOff>
      <xdr:row>775</xdr:row>
      <xdr:rowOff>66674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1</xdr:colOff>
      <xdr:row>775</xdr:row>
      <xdr:rowOff>190499</xdr:rowOff>
    </xdr:from>
    <xdr:to>
      <xdr:col>7</xdr:col>
      <xdr:colOff>381001</xdr:colOff>
      <xdr:row>789</xdr:row>
      <xdr:rowOff>9524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7</xdr:col>
      <xdr:colOff>419100</xdr:colOff>
      <xdr:row>775</xdr:row>
      <xdr:rowOff>180975</xdr:rowOff>
    </xdr:from>
    <xdr:to>
      <xdr:col>13</xdr:col>
      <xdr:colOff>542925</xdr:colOff>
      <xdr:row>788</xdr:row>
      <xdr:rowOff>180975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4763</xdr:colOff>
      <xdr:row>789</xdr:row>
      <xdr:rowOff>104775</xdr:rowOff>
    </xdr:from>
    <xdr:to>
      <xdr:col>7</xdr:col>
      <xdr:colOff>371475</xdr:colOff>
      <xdr:row>804</xdr:row>
      <xdr:rowOff>38101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7</xdr:col>
      <xdr:colOff>457200</xdr:colOff>
      <xdr:row>789</xdr:row>
      <xdr:rowOff>85725</xdr:rowOff>
    </xdr:from>
    <xdr:to>
      <xdr:col>13</xdr:col>
      <xdr:colOff>542925</xdr:colOff>
      <xdr:row>804</xdr:row>
      <xdr:rowOff>28575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200025</xdr:colOff>
          <xdr:row>28</xdr:row>
          <xdr:rowOff>66675</xdr:rowOff>
        </xdr:from>
        <xdr:to>
          <xdr:col>9</xdr:col>
          <xdr:colOff>276225</xdr:colOff>
          <xdr:row>30</xdr:row>
          <xdr:rowOff>142875</xdr:rowOff>
        </xdr:to>
        <xdr:sp macro="" textlink="">
          <xdr:nvSpPr>
            <xdr:cNvPr id="20483" name="Object 3" hidden="1">
              <a:extLst>
                <a:ext uri="{63B3BB69-23CF-44E3-9099-C40C66FF867C}">
                  <a14:compatExt spid="_x0000_s204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50</xdr:row>
          <xdr:rowOff>47625</xdr:rowOff>
        </xdr:from>
        <xdr:to>
          <xdr:col>9</xdr:col>
          <xdr:colOff>428625</xdr:colOff>
          <xdr:row>52</xdr:row>
          <xdr:rowOff>133350</xdr:rowOff>
        </xdr:to>
        <xdr:sp macro="" textlink="">
          <xdr:nvSpPr>
            <xdr:cNvPr id="20487" name="Object 7" hidden="1">
              <a:extLst>
                <a:ext uri="{63B3BB69-23CF-44E3-9099-C40C66FF867C}">
                  <a14:compatExt spid="_x0000_s204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257175</xdr:colOff>
          <xdr:row>72</xdr:row>
          <xdr:rowOff>66675</xdr:rowOff>
        </xdr:from>
        <xdr:to>
          <xdr:col>9</xdr:col>
          <xdr:colOff>523875</xdr:colOff>
          <xdr:row>75</xdr:row>
          <xdr:rowOff>19050</xdr:rowOff>
        </xdr:to>
        <xdr:sp macro="" textlink="">
          <xdr:nvSpPr>
            <xdr:cNvPr id="20488" name="Object 8" hidden="1">
              <a:extLst>
                <a:ext uri="{63B3BB69-23CF-44E3-9099-C40C66FF867C}">
                  <a14:compatExt spid="_x0000_s204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142875</xdr:colOff>
          <xdr:row>97</xdr:row>
          <xdr:rowOff>9525</xdr:rowOff>
        </xdr:from>
        <xdr:to>
          <xdr:col>8</xdr:col>
          <xdr:colOff>123825</xdr:colOff>
          <xdr:row>100</xdr:row>
          <xdr:rowOff>9525</xdr:rowOff>
        </xdr:to>
        <xdr:sp macro="" textlink="">
          <xdr:nvSpPr>
            <xdr:cNvPr id="24584" name="Object 8" hidden="1">
              <a:extLst>
                <a:ext uri="{63B3BB69-23CF-44E3-9099-C40C66FF867C}">
                  <a14:compatExt spid="_x0000_s245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35</xdr:row>
          <xdr:rowOff>47625</xdr:rowOff>
        </xdr:from>
        <xdr:to>
          <xdr:col>7</xdr:col>
          <xdr:colOff>76200</xdr:colOff>
          <xdr:row>37</xdr:row>
          <xdr:rowOff>38100</xdr:rowOff>
        </xdr:to>
        <xdr:sp macro="" textlink="">
          <xdr:nvSpPr>
            <xdr:cNvPr id="48130" name="Object 2" hidden="1">
              <a:extLst>
                <a:ext uri="{63B3BB69-23CF-44E3-9099-C40C66FF867C}">
                  <a14:compatExt spid="_x0000_s48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49</xdr:row>
          <xdr:rowOff>47625</xdr:rowOff>
        </xdr:from>
        <xdr:to>
          <xdr:col>7</xdr:col>
          <xdr:colOff>76200</xdr:colOff>
          <xdr:row>51</xdr:row>
          <xdr:rowOff>38100</xdr:rowOff>
        </xdr:to>
        <xdr:sp macro="" textlink="">
          <xdr:nvSpPr>
            <xdr:cNvPr id="28677" name="Object 5" hidden="1">
              <a:extLst>
                <a:ext uri="{63B3BB69-23CF-44E3-9099-C40C66FF867C}">
                  <a14:compatExt spid="_x0000_s286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504825</xdr:colOff>
          <xdr:row>219</xdr:row>
          <xdr:rowOff>38100</xdr:rowOff>
        </xdr:from>
        <xdr:to>
          <xdr:col>5</xdr:col>
          <xdr:colOff>381000</xdr:colOff>
          <xdr:row>222</xdr:row>
          <xdr:rowOff>114300</xdr:rowOff>
        </xdr:to>
        <xdr:sp macro="" textlink="">
          <xdr:nvSpPr>
            <xdr:cNvPr id="31747" name="Object 3" hidden="1">
              <a:extLst>
                <a:ext uri="{63B3BB69-23CF-44E3-9099-C40C66FF867C}">
                  <a14:compatExt spid="_x0000_s317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428625</xdr:colOff>
          <xdr:row>225</xdr:row>
          <xdr:rowOff>57150</xdr:rowOff>
        </xdr:from>
        <xdr:to>
          <xdr:col>5</xdr:col>
          <xdr:colOff>581025</xdr:colOff>
          <xdr:row>228</xdr:row>
          <xdr:rowOff>114300</xdr:rowOff>
        </xdr:to>
        <xdr:sp macro="" textlink="">
          <xdr:nvSpPr>
            <xdr:cNvPr id="31750" name="Object 6" hidden="1">
              <a:extLst>
                <a:ext uri="{63B3BB69-23CF-44E3-9099-C40C66FF867C}">
                  <a14:compatExt spid="_x0000_s317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504825</xdr:colOff>
          <xdr:row>150</xdr:row>
          <xdr:rowOff>38100</xdr:rowOff>
        </xdr:from>
        <xdr:to>
          <xdr:col>5</xdr:col>
          <xdr:colOff>381000</xdr:colOff>
          <xdr:row>153</xdr:row>
          <xdr:rowOff>114300</xdr:rowOff>
        </xdr:to>
        <xdr:sp macro="" textlink="">
          <xdr:nvSpPr>
            <xdr:cNvPr id="54276" name="Object 4" hidden="1">
              <a:extLst>
                <a:ext uri="{63B3BB69-23CF-44E3-9099-C40C66FF867C}">
                  <a14:compatExt spid="_x0000_s542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428625</xdr:colOff>
          <xdr:row>156</xdr:row>
          <xdr:rowOff>66675</xdr:rowOff>
        </xdr:from>
        <xdr:to>
          <xdr:col>5</xdr:col>
          <xdr:colOff>514350</xdr:colOff>
          <xdr:row>159</xdr:row>
          <xdr:rowOff>161925</xdr:rowOff>
        </xdr:to>
        <xdr:sp macro="" textlink="">
          <xdr:nvSpPr>
            <xdr:cNvPr id="54278" name="Object 6" hidden="1">
              <a:extLst>
                <a:ext uri="{63B3BB69-23CF-44E3-9099-C40C66FF867C}">
                  <a14:compatExt spid="_x0000_s542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en.wikipedia.org/wiki/Bucket_list" TargetMode="External"/><Relationship Id="rId2" Type="http://schemas.openxmlformats.org/officeDocument/2006/relationships/hyperlink" Target="https://en.wikipedia.org/wiki/Software_release_life_cycle" TargetMode="External"/><Relationship Id="rId1" Type="http://schemas.openxmlformats.org/officeDocument/2006/relationships/hyperlink" Target="http://opensource.org/licenses/gpl-3.0.html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sa.gov/policy/docs/ssb/v74n4/v74n4p21.html" TargetMode="External"/><Relationship Id="rId13" Type="http://schemas.openxmlformats.org/officeDocument/2006/relationships/image" Target="../media/image4.emf"/><Relationship Id="rId3" Type="http://schemas.openxmlformats.org/officeDocument/2006/relationships/hyperlink" Target="http://www.ssa.gov/oact/COLA/piaformula.html" TargetMode="External"/><Relationship Id="rId7" Type="http://schemas.openxmlformats.org/officeDocument/2006/relationships/hyperlink" Target="http://time.com/money/3967821/social-security-trust-fund-2034/" TargetMode="External"/><Relationship Id="rId12" Type="http://schemas.openxmlformats.org/officeDocument/2006/relationships/oleObject" Target="../embeddings/oleObject6.bin"/><Relationship Id="rId2" Type="http://schemas.openxmlformats.org/officeDocument/2006/relationships/hyperlink" Target="http://www.ssa.gov/oact/ProgData/ar_drc.html" TargetMode="External"/><Relationship Id="rId1" Type="http://schemas.openxmlformats.org/officeDocument/2006/relationships/hyperlink" Target="http://www.ssa.gov/oact/quickcalc/early_late.html" TargetMode="External"/><Relationship Id="rId6" Type="http://schemas.openxmlformats.org/officeDocument/2006/relationships/hyperlink" Target="http://search.usa.gov/search?affiliate=ssa&amp;query=taxing+social+security+benefits" TargetMode="External"/><Relationship Id="rId11" Type="http://schemas.openxmlformats.org/officeDocument/2006/relationships/vmlDrawing" Target="../drawings/vmlDrawing6.vml"/><Relationship Id="rId5" Type="http://schemas.openxmlformats.org/officeDocument/2006/relationships/hyperlink" Target="http://search.usa.gov/search?affiliate=ssa&amp;query=taxing+social+security+benefits" TargetMode="External"/><Relationship Id="rId10" Type="http://schemas.openxmlformats.org/officeDocument/2006/relationships/drawing" Target="../drawings/drawing7.xml"/><Relationship Id="rId4" Type="http://schemas.openxmlformats.org/officeDocument/2006/relationships/hyperlink" Target="http://www.ssa.gov/mystatement/" TargetMode="External"/><Relationship Id="rId9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irs.gov/publications/p939/ar02.html" TargetMode="External"/><Relationship Id="rId2" Type="http://schemas.openxmlformats.org/officeDocument/2006/relationships/hyperlink" Target="http://www.irs.gov/publications/p575/ar02.html" TargetMode="External"/><Relationship Id="rId1" Type="http://schemas.openxmlformats.org/officeDocument/2006/relationships/hyperlink" Target="http://www.annuityadvisors.com/FAQ/Immediate.aspx" TargetMode="External"/><Relationship Id="rId4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7.bin"/><Relationship Id="rId3" Type="http://schemas.openxmlformats.org/officeDocument/2006/relationships/hyperlink" Target="https://www.irs.gov/retirement-plans/plan-participant-employee/retirement-topics-required-minimum-distributions-rmds" TargetMode="External"/><Relationship Id="rId7" Type="http://schemas.openxmlformats.org/officeDocument/2006/relationships/vmlDrawing" Target="../drawings/vmlDrawing7.vml"/><Relationship Id="rId2" Type="http://schemas.openxmlformats.org/officeDocument/2006/relationships/hyperlink" Target="http://www.schwab.com/public/schwab/investing/retirement_and_planning/understanding_iras/inherited_ira/withdrawal_rules" TargetMode="External"/><Relationship Id="rId1" Type="http://schemas.openxmlformats.org/officeDocument/2006/relationships/hyperlink" Target="https://www.irs.gov/pub/irs-prior/p590b--2015.pdf" TargetMode="External"/><Relationship Id="rId6" Type="http://schemas.openxmlformats.org/officeDocument/2006/relationships/drawing" Target="../drawings/drawing8.xml"/><Relationship Id="rId11" Type="http://schemas.openxmlformats.org/officeDocument/2006/relationships/image" Target="../media/image8.emf"/><Relationship Id="rId5" Type="http://schemas.openxmlformats.org/officeDocument/2006/relationships/printerSettings" Target="../printerSettings/printerSettings12.bin"/><Relationship Id="rId10" Type="http://schemas.openxmlformats.org/officeDocument/2006/relationships/oleObject" Target="../embeddings/oleObject8.bin"/><Relationship Id="rId4" Type="http://schemas.openxmlformats.org/officeDocument/2006/relationships/hyperlink" Target="https://www.irs.gov/retirement-plans/plan-participant-employee/retirement-topics-required-minimum-distributions-rmds" TargetMode="External"/><Relationship Id="rId9" Type="http://schemas.openxmlformats.org/officeDocument/2006/relationships/image" Target="../media/image7.emf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9.bin"/><Relationship Id="rId3" Type="http://schemas.openxmlformats.org/officeDocument/2006/relationships/hyperlink" Target="http://www.schwab.com/public/schwab/investing/retirement_and_planning/understanding_iras/inherited_ira/withdrawal_rules" TargetMode="External"/><Relationship Id="rId7" Type="http://schemas.openxmlformats.org/officeDocument/2006/relationships/vmlDrawing" Target="../drawings/vmlDrawing8.vml"/><Relationship Id="rId2" Type="http://schemas.openxmlformats.org/officeDocument/2006/relationships/hyperlink" Target="http://www.schwab.com/public/schwab/investing/retirement_and_planning/understanding_iras/inherited_ira/withdrawal_rules" TargetMode="External"/><Relationship Id="rId1" Type="http://schemas.openxmlformats.org/officeDocument/2006/relationships/hyperlink" Target="http://www.irs.gov/retirement/article/0,,id=96989,00.html/" TargetMode="External"/><Relationship Id="rId6" Type="http://schemas.openxmlformats.org/officeDocument/2006/relationships/drawing" Target="../drawings/drawing9.xml"/><Relationship Id="rId11" Type="http://schemas.openxmlformats.org/officeDocument/2006/relationships/image" Target="../media/image9.emf"/><Relationship Id="rId5" Type="http://schemas.openxmlformats.org/officeDocument/2006/relationships/printerSettings" Target="../printerSettings/printerSettings13.bin"/><Relationship Id="rId10" Type="http://schemas.openxmlformats.org/officeDocument/2006/relationships/oleObject" Target="../embeddings/oleObject10.bin"/><Relationship Id="rId4" Type="http://schemas.openxmlformats.org/officeDocument/2006/relationships/hyperlink" Target="https://www.irs.gov/pub/irs-prior/p590b--2015.pdf" TargetMode="External"/><Relationship Id="rId9" Type="http://schemas.openxmlformats.org/officeDocument/2006/relationships/image" Target="../media/image7.emf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hyperlink" Target="http://www.irs.gov/pub/irs-tege/jlls_rmd_worksheet.pdf" TargetMode="External"/><Relationship Id="rId2" Type="http://schemas.openxmlformats.org/officeDocument/2006/relationships/hyperlink" Target="http://www.irs.gov/pub/irs-tege/uniform_rmd_wksht.pdf" TargetMode="External"/><Relationship Id="rId1" Type="http://schemas.openxmlformats.org/officeDocument/2006/relationships/hyperlink" Target="http://www.irs.gov/retirement/participant/article/0,,id=188023,00.html" TargetMode="External"/><Relationship Id="rId6" Type="http://schemas.openxmlformats.org/officeDocument/2006/relationships/printerSettings" Target="../printerSettings/printerSettings17.bin"/><Relationship Id="rId5" Type="http://schemas.openxmlformats.org/officeDocument/2006/relationships/hyperlink" Target="https://www.irs.gov/publications/p590b/" TargetMode="External"/><Relationship Id="rId4" Type="http://schemas.openxmlformats.org/officeDocument/2006/relationships/hyperlink" Target="http://www.irs.gov/pub/irs-tege/jlls_rmd_worksheet.pdf" TargetMode="External"/></Relationships>
</file>

<file path=xl/worksheets/_rels/sheet18.xml.rels><?xml version="1.0" encoding="UTF-8" standalone="yes"?>
<Relationships xmlns="http://schemas.openxmlformats.org/package/2006/relationships"><Relationship Id="rId13" Type="http://schemas.openxmlformats.org/officeDocument/2006/relationships/hyperlink" Target="http://en.wikipedia.org/wiki/Asset_allocation" TargetMode="External"/><Relationship Id="rId18" Type="http://schemas.openxmlformats.org/officeDocument/2006/relationships/hyperlink" Target="http://www.bogleheads.org/readbooks.htm" TargetMode="External"/><Relationship Id="rId26" Type="http://schemas.openxmlformats.org/officeDocument/2006/relationships/hyperlink" Target="http://www.amazon.com/Rational-Expectations-Allocation-Investing-Adults/dp/0988780321/ref=la_B001H6ID14_1_5/188-7872909-" TargetMode="External"/><Relationship Id="rId39" Type="http://schemas.openxmlformats.org/officeDocument/2006/relationships/hyperlink" Target="http://www.washingtonpost.com/news/wonkblog/wp/2013/04/19/meet-cpi-e-the-progressive-alternative-to-chained-cpi/" TargetMode="External"/><Relationship Id="rId21" Type="http://schemas.openxmlformats.org/officeDocument/2006/relationships/hyperlink" Target="http://www.bogleheads.org/wiki/Safe_withdrawal_rates" TargetMode="External"/><Relationship Id="rId34" Type="http://schemas.openxmlformats.org/officeDocument/2006/relationships/hyperlink" Target="https://support.office.com/en-us/article/FV-function-2eef9f44-a084-4c61-bdd8-4fe4bb1b71b3" TargetMode="External"/><Relationship Id="rId42" Type="http://schemas.openxmlformats.org/officeDocument/2006/relationships/hyperlink" Target="http://www.amazon.com/Stocks-Long-Run-Definitive-Investment/dp/0071800514/ref=dp_ob_title_bk" TargetMode="External"/><Relationship Id="rId47" Type="http://schemas.openxmlformats.org/officeDocument/2006/relationships/hyperlink" Target="http://www.forbes.com/sites/kellyphillipserb/2015/09/16/2016-tax-rates-brackets-exemption-amounts-may-result-in-lower-bills/" TargetMode="External"/><Relationship Id="rId50" Type="http://schemas.openxmlformats.org/officeDocument/2006/relationships/hyperlink" Target="http://www.aaii.com/journal/article/creating-and-following-a-real-financial-plan" TargetMode="External"/><Relationship Id="rId55" Type="http://schemas.openxmlformats.org/officeDocument/2006/relationships/hyperlink" Target="https://personal.vanguard.com/us/insights/retirement/saving/set-retirement-goals" TargetMode="External"/><Relationship Id="rId63" Type="http://schemas.openxmlformats.org/officeDocument/2006/relationships/hyperlink" Target="http://personal.fidelity.com/planning/retirement/ise.shtml?ref_fiover=0017" TargetMode="External"/><Relationship Id="rId68" Type="http://schemas.openxmlformats.org/officeDocument/2006/relationships/hyperlink" Target="http://www.finaid.org/calculators/costprojector.phtml" TargetMode="External"/><Relationship Id="rId76" Type="http://schemas.openxmlformats.org/officeDocument/2006/relationships/hyperlink" Target="http://www.schwab.com/public/schwab/investing/retirement_and_planning/understanding_iras/inherited_ira/withdrawal_rules" TargetMode="External"/><Relationship Id="rId84" Type="http://schemas.openxmlformats.org/officeDocument/2006/relationships/hyperlink" Target="http://www.etf.com/sections/index-investor-corner/swedroe-declining-or-rising-equity-strategy-retirement" TargetMode="External"/><Relationship Id="rId7" Type="http://schemas.openxmlformats.org/officeDocument/2006/relationships/hyperlink" Target="http://www.ssa.gov/oact/ProgData/ar_drc.html" TargetMode="External"/><Relationship Id="rId71" Type="http://schemas.openxmlformats.org/officeDocument/2006/relationships/hyperlink" Target="https://personal.vanguard.com/us/insights/video/1856-TDNEP02" TargetMode="External"/><Relationship Id="rId2" Type="http://schemas.openxmlformats.org/officeDocument/2006/relationships/hyperlink" Target="http://www.nber.org/programs/ag/rrc/14rrc2012/" TargetMode="External"/><Relationship Id="rId16" Type="http://schemas.openxmlformats.org/officeDocument/2006/relationships/hyperlink" Target="https://retirementplans.vanguard.com/VGApp/pe/pubeducation/calculators/RetirementNestEggCalc.jsf" TargetMode="External"/><Relationship Id="rId29" Type="http://schemas.openxmlformats.org/officeDocument/2006/relationships/hyperlink" Target="http://retirementresearcher.com/guyton-and-kitces-with-continued-discussions-on-safe-withdrawal-rates-and-spending-decision-rules/" TargetMode="External"/><Relationship Id="rId11" Type="http://schemas.openxmlformats.org/officeDocument/2006/relationships/hyperlink" Target="http://www.irs.gov/publications/p575/ar02.html" TargetMode="External"/><Relationship Id="rId24" Type="http://schemas.openxmlformats.org/officeDocument/2006/relationships/hyperlink" Target="http://www.aaii.com/journal/article/reduce-stock-exposure-in-retirement-or-gradually-increase-it.touch" TargetMode="External"/><Relationship Id="rId32" Type="http://schemas.openxmlformats.org/officeDocument/2006/relationships/hyperlink" Target="http://www.amazon.com/Random-Walk-Down-Wall-Street/dp/0393246116/ref=sr_1_1" TargetMode="External"/><Relationship Id="rId37" Type="http://schemas.openxmlformats.org/officeDocument/2006/relationships/hyperlink" Target="http://www.usinflationcalculator.com/inflation/consumer-price-index-and-annual-percent-changes-from-1913-to-2008/" TargetMode="External"/><Relationship Id="rId40" Type="http://schemas.openxmlformats.org/officeDocument/2006/relationships/hyperlink" Target="https://www.etf.com/docs/IfYouCan.pdf" TargetMode="External"/><Relationship Id="rId45" Type="http://schemas.openxmlformats.org/officeDocument/2006/relationships/hyperlink" Target="http://www.openoffice.org/sc/" TargetMode="External"/><Relationship Id="rId53" Type="http://schemas.openxmlformats.org/officeDocument/2006/relationships/hyperlink" Target="http://www.transamericacenter.org/tools-and-resources/retirement-calculators?gclid=CL6zyNHIwskCFYQfHwodfp8CBg" TargetMode="External"/><Relationship Id="rId58" Type="http://schemas.openxmlformats.org/officeDocument/2006/relationships/hyperlink" Target="https://personal.vanguard.com/us/insights/retirement/withdrawal-in-retirement-tool" TargetMode="External"/><Relationship Id="rId66" Type="http://schemas.openxmlformats.org/officeDocument/2006/relationships/hyperlink" Target="http://www.ssa.gov/OACT/quickcalc/index.html" TargetMode="External"/><Relationship Id="rId74" Type="http://schemas.openxmlformats.org/officeDocument/2006/relationships/hyperlink" Target="https://support.office.com/en-US/article/SUMIF-function-169B8C99-C05C-4483-A712-1697A653039B" TargetMode="External"/><Relationship Id="rId79" Type="http://schemas.openxmlformats.org/officeDocument/2006/relationships/hyperlink" Target="http://www.dinkytown.net/java/RetirementDistribution3.html" TargetMode="External"/><Relationship Id="rId87" Type="http://schemas.openxmlformats.org/officeDocument/2006/relationships/printerSettings" Target="../printerSettings/printerSettings18.bin"/><Relationship Id="rId5" Type="http://schemas.openxmlformats.org/officeDocument/2006/relationships/hyperlink" Target="http://www.ssa.gov/mystatement/" TargetMode="External"/><Relationship Id="rId61" Type="http://schemas.openxmlformats.org/officeDocument/2006/relationships/hyperlink" Target="https://personal.vanguard.com/us/insights/retirement/estimate-your-rmd-tool" TargetMode="External"/><Relationship Id="rId82" Type="http://schemas.openxmlformats.org/officeDocument/2006/relationships/hyperlink" Target="https://www.onefpa.org/journal/Pages/Reducing%20Retirement%20Risk%20with%20a%20Rising%20Equity%20Glide%20Path.aspx" TargetMode="External"/><Relationship Id="rId19" Type="http://schemas.openxmlformats.org/officeDocument/2006/relationships/hyperlink" Target="http://office.microsoft.com/en-us/excel-help/adding-your-own-toolbars-HA001054816.aspx" TargetMode="External"/><Relationship Id="rId4" Type="http://schemas.openxmlformats.org/officeDocument/2006/relationships/hyperlink" Target="http://www.bls.gov/cpi/" TargetMode="External"/><Relationship Id="rId9" Type="http://schemas.openxmlformats.org/officeDocument/2006/relationships/hyperlink" Target="http://search.usa.gov/search?affiliate=ssa&amp;query=taxing+social+security+benefits" TargetMode="External"/><Relationship Id="rId14" Type="http://schemas.openxmlformats.org/officeDocument/2006/relationships/hyperlink" Target="http://www.bogleheads.org/wiki/Main_Page" TargetMode="External"/><Relationship Id="rId22" Type="http://schemas.openxmlformats.org/officeDocument/2006/relationships/hyperlink" Target="http://retirementresearcher.com/dashboard/" TargetMode="External"/><Relationship Id="rId27" Type="http://schemas.openxmlformats.org/officeDocument/2006/relationships/hyperlink" Target="https://support.office.com/en-us/article/PV-function-23879d31-0e02-4321-be01-da16e8168cbd" TargetMode="External"/><Relationship Id="rId30" Type="http://schemas.openxmlformats.org/officeDocument/2006/relationships/hyperlink" Target="http://www.mangustarisk.com/doc/pdf/Does_Asset_Allocation_Explain_40_90_100_Performance.pdf" TargetMode="External"/><Relationship Id="rId35" Type="http://schemas.openxmlformats.org/officeDocument/2006/relationships/hyperlink" Target="http://www.aaii.com/" TargetMode="External"/><Relationship Id="rId43" Type="http://schemas.openxmlformats.org/officeDocument/2006/relationships/hyperlink" Target="https://www.bogleheads.org/wiki/Category:Annuities" TargetMode="External"/><Relationship Id="rId48" Type="http://schemas.openxmlformats.org/officeDocument/2006/relationships/hyperlink" Target="http://time.com/money/3967821/social-security-trust-fund-2034/" TargetMode="External"/><Relationship Id="rId56" Type="http://schemas.openxmlformats.org/officeDocument/2006/relationships/hyperlink" Target="https://personal.vanguard.com/us/insights/retirement/plan-for-a-long-retirement-tool" TargetMode="External"/><Relationship Id="rId64" Type="http://schemas.openxmlformats.org/officeDocument/2006/relationships/hyperlink" Target="https://investor.vanguard.com/investing/investment-calculator" TargetMode="External"/><Relationship Id="rId69" Type="http://schemas.openxmlformats.org/officeDocument/2006/relationships/hyperlink" Target="https://vanguard.wealthmsi.com/csp.php" TargetMode="External"/><Relationship Id="rId77" Type="http://schemas.openxmlformats.org/officeDocument/2006/relationships/hyperlink" Target="http://www.aaii.com/journal/article/the-mathematics-of-retirement-portfolios" TargetMode="External"/><Relationship Id="rId8" Type="http://schemas.openxmlformats.org/officeDocument/2006/relationships/hyperlink" Target="http://www.ssa.gov/oact/COLA/piaformula.html" TargetMode="External"/><Relationship Id="rId51" Type="http://schemas.openxmlformats.org/officeDocument/2006/relationships/hyperlink" Target="http://www.amazon.com/dp/B009K7ZNDS/" TargetMode="External"/><Relationship Id="rId72" Type="http://schemas.openxmlformats.org/officeDocument/2006/relationships/hyperlink" Target="http://www.schwab.com/public/schwab/investing/retirement_and_planning/saving_for_retirement/retirement_calculator" TargetMode="External"/><Relationship Id="rId80" Type="http://schemas.openxmlformats.org/officeDocument/2006/relationships/hyperlink" Target="http://www.amazon.com/Make-Your-Money-Last-Indispensable/dp/1476743762" TargetMode="External"/><Relationship Id="rId85" Type="http://schemas.openxmlformats.org/officeDocument/2006/relationships/hyperlink" Target="https://www.bogleheads.org/forum/viewtopic.php?f=10&amp;t=195878&amp;newpost=2990442" TargetMode="External"/><Relationship Id="rId3" Type="http://schemas.openxmlformats.org/officeDocument/2006/relationships/hyperlink" Target="http://ssa.gov/" TargetMode="External"/><Relationship Id="rId12" Type="http://schemas.openxmlformats.org/officeDocument/2006/relationships/hyperlink" Target="http://www.irs.gov/retirement/article/0,,id=96989,00.html/" TargetMode="External"/><Relationship Id="rId17" Type="http://schemas.openxmlformats.org/officeDocument/2006/relationships/hyperlink" Target="https://personalp.vanguard.com/us/insights/investingtruths/investing-truth-about-risk" TargetMode="External"/><Relationship Id="rId25" Type="http://schemas.openxmlformats.org/officeDocument/2006/relationships/hyperlink" Target="https://www.onefpa.org/journal/Pages/The%204%20Percent%20Rule%20Is%20Not%20Safe%20in%20a%20Low-Yield%20World.aspx" TargetMode="External"/><Relationship Id="rId33" Type="http://schemas.openxmlformats.org/officeDocument/2006/relationships/hyperlink" Target="http://crr.bc.edu/" TargetMode="External"/><Relationship Id="rId38" Type="http://schemas.openxmlformats.org/officeDocument/2006/relationships/hyperlink" Target="http://crr.bc.edu/" TargetMode="External"/><Relationship Id="rId46" Type="http://schemas.openxmlformats.org/officeDocument/2006/relationships/hyperlink" Target="http://www.apple.com/mac/numbers/" TargetMode="External"/><Relationship Id="rId59" Type="http://schemas.openxmlformats.org/officeDocument/2006/relationships/hyperlink" Target="https://personal.vanguard.com/us/funds/tools/incomecalculator" TargetMode="External"/><Relationship Id="rId67" Type="http://schemas.openxmlformats.org/officeDocument/2006/relationships/hyperlink" Target="http://www.livingto100.com/" TargetMode="External"/><Relationship Id="rId20" Type="http://schemas.openxmlformats.org/officeDocument/2006/relationships/hyperlink" Target="http://www.forbes.com/sites/kellyphillipserb/2014/10/30/irs-announces-2015-tax-brackets-standard-deduction-amounts-and-more/" TargetMode="External"/><Relationship Id="rId41" Type="http://schemas.openxmlformats.org/officeDocument/2006/relationships/hyperlink" Target="http://www.amazon.com/Bogle-Mutual-Funds-Perspectives-Intelligent/dp/111908833X/ref=sr_1_2" TargetMode="External"/><Relationship Id="rId54" Type="http://schemas.openxmlformats.org/officeDocument/2006/relationships/hyperlink" Target="https://personal.vanguard.com/us/insights/retirement/nearing/when-can-i-retire" TargetMode="External"/><Relationship Id="rId62" Type="http://schemas.openxmlformats.org/officeDocument/2006/relationships/hyperlink" Target="http://www.aarp.org/work/retirement-planning/retirement_calculator/" TargetMode="External"/><Relationship Id="rId70" Type="http://schemas.openxmlformats.org/officeDocument/2006/relationships/hyperlink" Target="http://www.investopedia.com/terms/g/glide-path.asp" TargetMode="External"/><Relationship Id="rId75" Type="http://schemas.openxmlformats.org/officeDocument/2006/relationships/hyperlink" Target="https://www.irs.gov/pub/irs-prior/p590b--2015.pdf" TargetMode="External"/><Relationship Id="rId83" Type="http://schemas.openxmlformats.org/officeDocument/2006/relationships/hyperlink" Target="http://papers.ssrn.com/sol3/papers.cfm?abstract_id=2557256" TargetMode="External"/><Relationship Id="rId1" Type="http://schemas.openxmlformats.org/officeDocument/2006/relationships/hyperlink" Target="http://office.microsoft.com/en-us/excel-help/what-happened-to-the-web-toolbar-HA010165901.aspx" TargetMode="External"/><Relationship Id="rId6" Type="http://schemas.openxmlformats.org/officeDocument/2006/relationships/hyperlink" Target="http://www.ssa.gov/oact/quickcalc/early_late.html" TargetMode="External"/><Relationship Id="rId15" Type="http://schemas.openxmlformats.org/officeDocument/2006/relationships/hyperlink" Target="http://www.bogleheads.org/wiki/Category:Asset_Allocation" TargetMode="External"/><Relationship Id="rId23" Type="http://schemas.openxmlformats.org/officeDocument/2006/relationships/hyperlink" Target="http://www.aaii.com/journal/article/retirement-savings-choosing-a-withdrawal-rate-that-is-sustainable" TargetMode="External"/><Relationship Id="rId28" Type="http://schemas.openxmlformats.org/officeDocument/2006/relationships/hyperlink" Target="http://www.forbes.com/sites/wadepfau/2015/06/10/safe-withdrawal-rates-for-retirement-and-the-trinity-study/" TargetMode="External"/><Relationship Id="rId36" Type="http://schemas.openxmlformats.org/officeDocument/2006/relationships/hyperlink" Target="http://www.morningstar.com/" TargetMode="External"/><Relationship Id="rId49" Type="http://schemas.openxmlformats.org/officeDocument/2006/relationships/hyperlink" Target="http://www.k2e.com/tech-update/tips/155-protecting-specific-cells-in-an-excel-worksheet" TargetMode="External"/><Relationship Id="rId57" Type="http://schemas.openxmlformats.org/officeDocument/2006/relationships/hyperlink" Target="https://personal.vanguard.com/us/insights/retirement/tool/retirement-expense-worksheet" TargetMode="External"/><Relationship Id="rId10" Type="http://schemas.openxmlformats.org/officeDocument/2006/relationships/hyperlink" Target="http://www.annuityadvisors.com/FAQ/Immediate.aspx" TargetMode="External"/><Relationship Id="rId31" Type="http://schemas.openxmlformats.org/officeDocument/2006/relationships/hyperlink" Target="http://www.amazon.com/Pensionize-Your-Nest-Egg-Allocation/dp/0470680997/" TargetMode="External"/><Relationship Id="rId44" Type="http://schemas.openxmlformats.org/officeDocument/2006/relationships/hyperlink" Target="https://www.google.com/sheets/about/" TargetMode="External"/><Relationship Id="rId52" Type="http://schemas.openxmlformats.org/officeDocument/2006/relationships/hyperlink" Target="http://www.morningstar.com/Cover/videoCenter.aspx?id=693698" TargetMode="External"/><Relationship Id="rId60" Type="http://schemas.openxmlformats.org/officeDocument/2006/relationships/hyperlink" Target="https://personal.vanguard.com/us/insights/retirement/cost-affect-retirement-spending-tool" TargetMode="External"/><Relationship Id="rId65" Type="http://schemas.openxmlformats.org/officeDocument/2006/relationships/hyperlink" Target="http://www.aarp.org/work/social-security/social-security-benefits-calculator/" TargetMode="External"/><Relationship Id="rId73" Type="http://schemas.openxmlformats.org/officeDocument/2006/relationships/hyperlink" Target="http://www.smart401k.com/Content/retail/resource-center/strategy/calculating-your-replacement-ratio" TargetMode="External"/><Relationship Id="rId78" Type="http://schemas.openxmlformats.org/officeDocument/2006/relationships/hyperlink" Target="http://www.amazon.com/How-Retire-Enough-Money-Know-ebook/dp/B00U0OBRTE/ref=tmm_kin_swatch_0" TargetMode="External"/><Relationship Id="rId81" Type="http://schemas.openxmlformats.org/officeDocument/2006/relationships/hyperlink" Target="https://www.ssa.gov/policy/docs/ssb/v74n4/v74n4p21.html" TargetMode="External"/><Relationship Id="rId86" Type="http://schemas.openxmlformats.org/officeDocument/2006/relationships/hyperlink" Target="http://www.aarp.org/work/retirement-planning/retirement_calculator.html" TargetMode="Externa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www.aarp.org/work/retirement-planning/retirement_calculator.html" TargetMode="External"/><Relationship Id="rId1" Type="http://schemas.openxmlformats.org/officeDocument/2006/relationships/hyperlink" Target="http://www.dinkytown.net/java/RetirementDistribution3.html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1.bin"/><Relationship Id="rId3" Type="http://schemas.openxmlformats.org/officeDocument/2006/relationships/hyperlink" Target="http://www.nber.org/programs/ag/rrc/14rrc2012/" TargetMode="External"/><Relationship Id="rId7" Type="http://schemas.openxmlformats.org/officeDocument/2006/relationships/hyperlink" Target="http://www.worldstart.com/what-is-a-workbook-or-a-worksheet-in-ms-excel/" TargetMode="External"/><Relationship Id="rId2" Type="http://schemas.openxmlformats.org/officeDocument/2006/relationships/hyperlink" Target="http://ssa.gov/" TargetMode="External"/><Relationship Id="rId1" Type="http://schemas.openxmlformats.org/officeDocument/2006/relationships/hyperlink" Target="http://www.irs.gov/publications/p590/index.html" TargetMode="External"/><Relationship Id="rId6" Type="http://schemas.openxmlformats.org/officeDocument/2006/relationships/hyperlink" Target="http://www.jasonzweig.com/dictionary/" TargetMode="External"/><Relationship Id="rId5" Type="http://schemas.openxmlformats.org/officeDocument/2006/relationships/hyperlink" Target="http://www.irs.gov/publications/p590/index.html" TargetMode="External"/><Relationship Id="rId4" Type="http://schemas.openxmlformats.org/officeDocument/2006/relationships/hyperlink" Target="http://www.bls.gov/cpi/" TargetMode="External"/><Relationship Id="rId9" Type="http://schemas.openxmlformats.org/officeDocument/2006/relationships/drawing" Target="../drawings/drawing1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3" Type="http://schemas.openxmlformats.org/officeDocument/2006/relationships/vmlDrawing" Target="../drawings/vmlDrawing3.vml"/><Relationship Id="rId7" Type="http://schemas.openxmlformats.org/officeDocument/2006/relationships/image" Target="../media/image4.emf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3.emf"/><Relationship Id="rId4" Type="http://schemas.openxmlformats.org/officeDocument/2006/relationships/oleObject" Target="../embeddings/oleObject1.bin"/><Relationship Id="rId9" Type="http://schemas.openxmlformats.org/officeDocument/2006/relationships/image" Target="../media/image5.emf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www.forbes.com/sites/kellyphillipserb/2015/09/16/2016-tax-rates-brackets-exemption-amounts-may-result-in-lower-bills/" TargetMode="External"/><Relationship Id="rId6" Type="http://schemas.openxmlformats.org/officeDocument/2006/relationships/image" Target="../media/image6.emf"/><Relationship Id="rId5" Type="http://schemas.openxmlformats.org/officeDocument/2006/relationships/oleObject" Target="../embeddings/oleObject4.bin"/><Relationship Id="rId4" Type="http://schemas.openxmlformats.org/officeDocument/2006/relationships/vmlDrawing" Target="../drawings/vmlDrawing4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7" Type="http://schemas.openxmlformats.org/officeDocument/2006/relationships/image" Target="../media/image4.emf"/><Relationship Id="rId2" Type="http://schemas.openxmlformats.org/officeDocument/2006/relationships/hyperlink" Target="http://www.irs.gov/publications/p575/ar02.html" TargetMode="External"/><Relationship Id="rId1" Type="http://schemas.openxmlformats.org/officeDocument/2006/relationships/hyperlink" Target="http://www.annuityadvisors.com/FAQ/Immediate.aspx" TargetMode="External"/><Relationship Id="rId6" Type="http://schemas.openxmlformats.org/officeDocument/2006/relationships/oleObject" Target="../embeddings/oleObject5.bin"/><Relationship Id="rId5" Type="http://schemas.openxmlformats.org/officeDocument/2006/relationships/vmlDrawing" Target="../drawings/vmlDrawing5.vml"/><Relationship Id="rId4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501"/>
  <sheetViews>
    <sheetView tabSelected="1" zoomScaleNormal="100" workbookViewId="0">
      <selection activeCell="A175" sqref="A175:A181"/>
    </sheetView>
  </sheetViews>
  <sheetFormatPr defaultRowHeight="15" x14ac:dyDescent="0.25"/>
  <cols>
    <col min="1" max="1" width="15.5703125" customWidth="1"/>
    <col min="2" max="2" width="9.42578125" bestFit="1" customWidth="1"/>
    <col min="3" max="3" width="16" customWidth="1"/>
    <col min="7" max="7" width="14.7109375" customWidth="1"/>
    <col min="10" max="10" width="16.85546875" customWidth="1"/>
    <col min="11" max="11" width="10.5703125" customWidth="1"/>
  </cols>
  <sheetData>
    <row r="1" spans="1:10" ht="15.75" x14ac:dyDescent="0.25">
      <c r="A1" s="1155" t="s">
        <v>1398</v>
      </c>
      <c r="B1" s="1443"/>
      <c r="C1" s="1471" t="s">
        <v>1751</v>
      </c>
      <c r="D1" s="1443"/>
      <c r="E1" s="1443"/>
      <c r="F1" s="1443"/>
      <c r="G1" s="1443"/>
      <c r="H1" s="1471" t="s">
        <v>1749</v>
      </c>
      <c r="I1" s="1443"/>
    </row>
    <row r="2" spans="1:10" x14ac:dyDescent="0.25">
      <c r="A2" s="215"/>
      <c r="B2" s="215"/>
      <c r="C2" s="215"/>
      <c r="D2" s="215"/>
      <c r="E2" s="215"/>
      <c r="F2" s="215"/>
      <c r="G2" s="215"/>
      <c r="H2" s="215"/>
      <c r="I2" s="215"/>
      <c r="J2" s="215"/>
    </row>
    <row r="3" spans="1:10" ht="23.25" x14ac:dyDescent="0.35">
      <c r="A3" s="988" t="s">
        <v>203</v>
      </c>
    </row>
    <row r="4" spans="1:10" ht="15.75" x14ac:dyDescent="0.25">
      <c r="A4" s="221" t="s">
        <v>3005</v>
      </c>
    </row>
    <row r="5" spans="1:10" ht="18.75" x14ac:dyDescent="0.3">
      <c r="A5" s="94"/>
    </row>
    <row r="6" spans="1:10" x14ac:dyDescent="0.25">
      <c r="A6" s="1155" t="s">
        <v>3469</v>
      </c>
      <c r="B6" s="1155"/>
      <c r="C6" s="1155"/>
      <c r="D6" s="1155"/>
      <c r="E6" s="1155"/>
      <c r="F6" s="1155"/>
      <c r="G6" s="1155"/>
      <c r="H6" s="1155"/>
      <c r="I6" s="1155"/>
      <c r="J6" s="1155"/>
    </row>
    <row r="7" spans="1:10" x14ac:dyDescent="0.25">
      <c r="A7" s="1155" t="s">
        <v>3150</v>
      </c>
      <c r="B7" s="1155"/>
      <c r="C7" s="1155"/>
      <c r="D7" s="1155"/>
      <c r="E7" s="1155"/>
      <c r="F7" s="1155"/>
      <c r="G7" s="1155"/>
      <c r="H7" s="1155"/>
      <c r="I7" s="1155"/>
      <c r="J7" s="1155"/>
    </row>
    <row r="8" spans="1:10" x14ac:dyDescent="0.25">
      <c r="A8" s="1155" t="s">
        <v>3149</v>
      </c>
      <c r="B8" s="1155"/>
      <c r="C8" s="1155"/>
      <c r="D8" s="1155"/>
      <c r="E8" s="1155"/>
      <c r="F8" s="1155"/>
      <c r="G8" s="1155"/>
      <c r="H8" s="1155"/>
      <c r="I8" s="1155"/>
      <c r="J8" s="1155"/>
    </row>
    <row r="9" spans="1:10" x14ac:dyDescent="0.25">
      <c r="A9" s="1155" t="s">
        <v>3135</v>
      </c>
      <c r="B9" s="1155"/>
      <c r="C9" s="1155"/>
      <c r="D9" s="1155"/>
      <c r="E9" s="1155"/>
      <c r="F9" s="1155"/>
      <c r="G9" s="1155"/>
      <c r="H9" s="1155"/>
      <c r="I9" s="1155"/>
      <c r="J9" s="1155"/>
    </row>
    <row r="10" spans="1:10" x14ac:dyDescent="0.25">
      <c r="A10" s="1155" t="s">
        <v>3136</v>
      </c>
      <c r="B10" s="1155"/>
      <c r="C10" s="1155"/>
      <c r="D10" s="1155"/>
      <c r="E10" s="1155"/>
      <c r="F10" s="1155"/>
      <c r="G10" s="1155"/>
      <c r="H10" s="1155"/>
      <c r="I10" s="1155"/>
      <c r="J10" s="1155"/>
    </row>
    <row r="11" spans="1:10" x14ac:dyDescent="0.25">
      <c r="A11" s="1155" t="s">
        <v>3137</v>
      </c>
      <c r="B11" s="1155"/>
      <c r="C11" s="1155"/>
      <c r="D11" s="1155"/>
      <c r="E11" s="1155"/>
      <c r="F11" s="1155"/>
      <c r="G11" s="1155"/>
      <c r="H11" s="1155"/>
      <c r="I11" s="1155"/>
      <c r="J11" s="1155"/>
    </row>
    <row r="12" spans="1:10" x14ac:dyDescent="0.25">
      <c r="A12" s="1155" t="s">
        <v>3138</v>
      </c>
      <c r="B12" s="1155"/>
      <c r="C12" s="1155"/>
      <c r="D12" s="1155"/>
      <c r="E12" s="1155"/>
      <c r="F12" s="1155"/>
      <c r="G12" s="1155"/>
      <c r="H12" s="1155"/>
      <c r="I12" s="1155"/>
      <c r="J12" s="1155"/>
    </row>
    <row r="13" spans="1:10" x14ac:dyDescent="0.25">
      <c r="A13" s="1155" t="s">
        <v>3470</v>
      </c>
      <c r="B13" s="1155"/>
      <c r="C13" s="1155"/>
      <c r="D13" s="1155"/>
      <c r="E13" s="1155"/>
      <c r="F13" s="1155"/>
      <c r="G13" s="1155"/>
      <c r="H13" s="1155"/>
      <c r="I13" s="1155"/>
      <c r="J13" s="1155"/>
    </row>
    <row r="14" spans="1:10" x14ac:dyDescent="0.25">
      <c r="A14" s="1155" t="s">
        <v>3563</v>
      </c>
      <c r="B14" s="1155"/>
      <c r="C14" s="1155"/>
      <c r="D14" s="1155"/>
      <c r="E14" s="1155"/>
      <c r="F14" s="1155"/>
      <c r="G14" s="1155"/>
      <c r="H14" s="1155"/>
      <c r="I14" s="1155"/>
      <c r="J14" s="1155"/>
    </row>
    <row r="15" spans="1:10" x14ac:dyDescent="0.25">
      <c r="A15" s="1155" t="s">
        <v>3139</v>
      </c>
      <c r="B15" s="1155"/>
      <c r="C15" s="1155"/>
      <c r="D15" s="1155"/>
      <c r="E15" s="1155"/>
      <c r="F15" s="1155"/>
      <c r="G15" s="1155"/>
      <c r="H15" s="1155"/>
      <c r="I15" s="1155"/>
      <c r="J15" s="1155"/>
    </row>
    <row r="16" spans="1:10" x14ac:dyDescent="0.25">
      <c r="A16" s="1155" t="s">
        <v>3140</v>
      </c>
      <c r="B16" s="1155"/>
      <c r="C16" s="1155"/>
      <c r="D16" s="1155"/>
      <c r="E16" s="1155"/>
      <c r="F16" s="1155"/>
      <c r="G16" s="1155"/>
      <c r="H16" s="1155"/>
      <c r="I16" s="1155"/>
      <c r="J16" s="1155"/>
    </row>
    <row r="17" spans="1:11" x14ac:dyDescent="0.25">
      <c r="A17" s="1155" t="s">
        <v>3141</v>
      </c>
      <c r="B17" s="1155"/>
      <c r="C17" s="1155"/>
      <c r="D17" s="1155"/>
      <c r="E17" s="1155"/>
      <c r="F17" s="1155"/>
      <c r="G17" s="1155"/>
      <c r="H17" s="1155"/>
      <c r="I17" s="1155"/>
      <c r="J17" s="1155"/>
    </row>
    <row r="18" spans="1:11" x14ac:dyDescent="0.25">
      <c r="A18" s="1155"/>
      <c r="B18" s="1155"/>
      <c r="C18" s="1155"/>
      <c r="D18" s="1155"/>
      <c r="E18" s="1155"/>
      <c r="F18" s="1155"/>
      <c r="G18" s="1155"/>
      <c r="H18" s="1155"/>
      <c r="I18" s="1155"/>
      <c r="J18" s="1155"/>
    </row>
    <row r="19" spans="1:11" x14ac:dyDescent="0.25">
      <c r="A19" s="1155" t="s">
        <v>3142</v>
      </c>
      <c r="B19" s="1155"/>
      <c r="C19" s="1155"/>
      <c r="D19" s="1155"/>
      <c r="E19" s="1155"/>
      <c r="F19" s="1155"/>
      <c r="G19" s="1155"/>
      <c r="H19" s="1155"/>
      <c r="I19" s="1155"/>
      <c r="J19" s="1155"/>
    </row>
    <row r="20" spans="1:11" x14ac:dyDescent="0.25">
      <c r="A20" s="1155" t="s">
        <v>3471</v>
      </c>
      <c r="B20" s="1155"/>
      <c r="C20" s="1155"/>
      <c r="D20" s="1155"/>
      <c r="E20" s="1155"/>
      <c r="F20" s="1155"/>
      <c r="G20" s="1155"/>
      <c r="H20" s="1155"/>
      <c r="I20" s="1155"/>
      <c r="J20" s="1155"/>
    </row>
    <row r="21" spans="1:11" x14ac:dyDescent="0.25">
      <c r="A21" s="1155" t="s">
        <v>3143</v>
      </c>
      <c r="B21" s="1155"/>
      <c r="C21" s="1155"/>
      <c r="D21" s="1155"/>
      <c r="E21" s="1155"/>
      <c r="F21" s="1155"/>
      <c r="G21" s="1155"/>
      <c r="H21" s="1155"/>
      <c r="I21" s="1155"/>
      <c r="J21" s="1155"/>
    </row>
    <row r="22" spans="1:11" x14ac:dyDescent="0.25">
      <c r="A22" s="1155" t="s">
        <v>3144</v>
      </c>
      <c r="B22" s="1155"/>
      <c r="C22" s="1155"/>
      <c r="D22" s="1155"/>
      <c r="E22" s="1155"/>
      <c r="F22" s="1155"/>
      <c r="G22" s="1155"/>
      <c r="H22" s="1155"/>
      <c r="I22" s="1155"/>
      <c r="J22" s="1155"/>
    </row>
    <row r="23" spans="1:11" x14ac:dyDescent="0.25">
      <c r="A23" s="1155"/>
      <c r="B23" s="1155"/>
      <c r="C23" s="1155"/>
      <c r="D23" s="1155"/>
      <c r="E23" s="1155"/>
      <c r="F23" s="1155"/>
      <c r="G23" s="1155"/>
      <c r="H23" s="1155"/>
      <c r="I23" s="1155"/>
      <c r="J23" s="1155"/>
    </row>
    <row r="24" spans="1:11" x14ac:dyDescent="0.25">
      <c r="A24" s="1155" t="s">
        <v>3145</v>
      </c>
      <c r="B24" s="1155"/>
      <c r="C24" s="1155"/>
      <c r="D24" s="1155"/>
      <c r="E24" s="1155"/>
      <c r="F24" s="1155"/>
      <c r="G24" s="1155"/>
      <c r="H24" s="1155"/>
      <c r="I24" s="1155"/>
      <c r="J24" s="1155"/>
    </row>
    <row r="25" spans="1:11" x14ac:dyDescent="0.25">
      <c r="A25" s="1155" t="s">
        <v>3146</v>
      </c>
      <c r="B25" s="1155"/>
      <c r="C25" s="1155"/>
      <c r="D25" s="1155"/>
      <c r="E25" s="1155"/>
      <c r="F25" s="1155"/>
      <c r="G25" s="1155"/>
      <c r="H25" s="1155"/>
      <c r="I25" s="1155"/>
      <c r="J25" s="1155"/>
    </row>
    <row r="26" spans="1:11" x14ac:dyDescent="0.25">
      <c r="A26" s="1155" t="s">
        <v>3472</v>
      </c>
      <c r="B26" s="1155"/>
      <c r="C26" s="1155"/>
      <c r="D26" s="1155"/>
      <c r="E26" s="1155"/>
      <c r="F26" s="1155"/>
      <c r="G26" s="1155"/>
      <c r="H26" s="1155"/>
      <c r="I26" s="1155"/>
      <c r="J26" s="1155"/>
    </row>
    <row r="27" spans="1:11" x14ac:dyDescent="0.25">
      <c r="A27" s="1155" t="s">
        <v>3151</v>
      </c>
      <c r="B27" s="1155"/>
      <c r="C27" s="1155"/>
      <c r="D27" s="1155"/>
      <c r="E27" s="1155"/>
      <c r="F27" s="1155"/>
      <c r="G27" s="1155"/>
      <c r="H27" s="1155"/>
      <c r="I27" s="1155"/>
      <c r="J27" s="1155"/>
    </row>
    <row r="28" spans="1:11" x14ac:dyDescent="0.25">
      <c r="A28" s="1155" t="s">
        <v>3147</v>
      </c>
      <c r="B28" s="1155"/>
      <c r="C28" s="1155"/>
      <c r="D28" s="1155"/>
      <c r="E28" s="1155"/>
      <c r="F28" s="1155"/>
      <c r="G28" s="1155"/>
      <c r="H28" s="1155"/>
      <c r="I28" s="1155"/>
      <c r="J28" s="1155"/>
    </row>
    <row r="29" spans="1:11" x14ac:dyDescent="0.25">
      <c r="A29" s="1155" t="s">
        <v>3148</v>
      </c>
      <c r="B29" s="1155"/>
      <c r="C29" s="1155"/>
      <c r="D29" s="1155"/>
      <c r="E29" s="1155"/>
      <c r="F29" s="1155"/>
      <c r="G29" s="1155"/>
      <c r="H29" s="1155"/>
      <c r="I29" s="1155"/>
      <c r="J29" s="1155"/>
    </row>
    <row r="30" spans="1:11" ht="15.75" x14ac:dyDescent="0.25">
      <c r="A30" s="221"/>
    </row>
    <row r="31" spans="1:11" s="124" customFormat="1" x14ac:dyDescent="0.25">
      <c r="A31" s="1317" t="s">
        <v>3038</v>
      </c>
      <c r="B31" s="81">
        <v>42616</v>
      </c>
      <c r="C31" s="3642" t="s">
        <v>3060</v>
      </c>
      <c r="D31" s="351" t="s">
        <v>1092</v>
      </c>
      <c r="G31" s="1502"/>
      <c r="H31" s="254"/>
      <c r="I31" s="1332"/>
      <c r="J31" s="1332"/>
      <c r="K31" s="1332"/>
    </row>
    <row r="32" spans="1:11" s="124" customFormat="1" x14ac:dyDescent="0.25">
      <c r="A32" s="1376" t="s">
        <v>896</v>
      </c>
      <c r="B32" s="1025" t="s">
        <v>725</v>
      </c>
      <c r="D32" s="1317" t="s">
        <v>3108</v>
      </c>
      <c r="G32" s="1331"/>
      <c r="H32" s="1332"/>
      <c r="I32" s="1332"/>
      <c r="J32" s="1332"/>
    </row>
    <row r="33" spans="1:10" s="124" customFormat="1" x14ac:dyDescent="0.25">
      <c r="B33" s="90"/>
      <c r="C33" s="182"/>
      <c r="E33" s="1317"/>
      <c r="G33" s="1331"/>
      <c r="H33" s="1332"/>
      <c r="I33" s="1332"/>
      <c r="J33" s="1332"/>
    </row>
    <row r="34" spans="1:10" s="124" customFormat="1" x14ac:dyDescent="0.25">
      <c r="A34" s="1317" t="s">
        <v>2710</v>
      </c>
      <c r="B34" s="182"/>
      <c r="C34" s="90"/>
      <c r="D34" s="91"/>
      <c r="E34" s="91"/>
    </row>
    <row r="35" spans="1:10" s="124" customFormat="1" x14ac:dyDescent="0.25">
      <c r="A35" s="1317"/>
      <c r="B35" s="182"/>
      <c r="C35" s="90"/>
      <c r="D35" s="91"/>
      <c r="E35" s="91"/>
    </row>
    <row r="36" spans="1:10" x14ac:dyDescent="0.25">
      <c r="A36" t="s">
        <v>1970</v>
      </c>
      <c r="B36" s="8"/>
    </row>
    <row r="37" spans="1:10" ht="15.75" x14ac:dyDescent="0.25">
      <c r="A37" t="s">
        <v>1093</v>
      </c>
      <c r="B37" s="111"/>
      <c r="C37" s="111"/>
      <c r="D37" s="110"/>
      <c r="E37" s="180" t="s">
        <v>315</v>
      </c>
      <c r="G37" s="110"/>
      <c r="H37" s="110"/>
      <c r="I37" s="110"/>
    </row>
    <row r="38" spans="1:10" x14ac:dyDescent="0.25">
      <c r="A38" s="1183" t="s">
        <v>970</v>
      </c>
    </row>
    <row r="39" spans="1:10" x14ac:dyDescent="0.25">
      <c r="A39" s="1183"/>
    </row>
    <row r="40" spans="1:10" x14ac:dyDescent="0.25">
      <c r="A40" s="67" t="s">
        <v>2799</v>
      </c>
      <c r="B40" s="1183"/>
      <c r="C40" s="1183"/>
      <c r="D40" s="180" t="s">
        <v>1094</v>
      </c>
      <c r="E40" s="67"/>
      <c r="F40" s="67"/>
      <c r="G40" s="67"/>
      <c r="H40" s="67"/>
      <c r="I40" s="67"/>
    </row>
    <row r="41" spans="1:10" x14ac:dyDescent="0.25">
      <c r="A41" s="1183"/>
      <c r="B41" s="1183"/>
      <c r="C41" s="1183"/>
      <c r="D41" s="180"/>
      <c r="E41" s="67"/>
      <c r="F41" s="67"/>
      <c r="G41" s="67"/>
      <c r="H41" s="67"/>
      <c r="I41" s="67"/>
    </row>
    <row r="42" spans="1:10" x14ac:dyDescent="0.25">
      <c r="A42" s="1183"/>
      <c r="B42" s="1183"/>
      <c r="C42" s="1183"/>
      <c r="D42" s="180"/>
      <c r="E42" s="67"/>
      <c r="F42" s="67"/>
      <c r="G42" s="67"/>
      <c r="H42" s="67"/>
      <c r="I42" s="67"/>
    </row>
    <row r="43" spans="1:10" x14ac:dyDescent="0.25">
      <c r="A43" s="1183"/>
      <c r="B43" s="1183"/>
      <c r="C43" s="1183"/>
      <c r="D43" s="180"/>
      <c r="E43" s="67"/>
      <c r="F43" s="67"/>
      <c r="G43" s="67"/>
      <c r="H43" s="67"/>
      <c r="I43" s="67"/>
    </row>
    <row r="44" spans="1:10" x14ac:dyDescent="0.25">
      <c r="A44" s="1183"/>
      <c r="B44" s="1183"/>
      <c r="C44" s="1183"/>
      <c r="D44" s="180"/>
      <c r="E44" s="67"/>
      <c r="F44" s="67"/>
      <c r="G44" s="67"/>
      <c r="H44" s="67"/>
      <c r="I44" s="67"/>
    </row>
    <row r="45" spans="1:10" x14ac:dyDescent="0.25">
      <c r="A45" s="1183"/>
      <c r="B45" s="1183"/>
      <c r="C45" s="1183"/>
      <c r="D45" s="180"/>
      <c r="E45" s="67"/>
      <c r="F45" s="67"/>
      <c r="G45" s="67"/>
      <c r="H45" s="67"/>
      <c r="I45" s="67"/>
    </row>
    <row r="46" spans="1:10" x14ac:dyDescent="0.25">
      <c r="A46" s="1183"/>
      <c r="B46" s="1183"/>
      <c r="C46" s="1183"/>
      <c r="D46" s="180"/>
      <c r="E46" s="67"/>
      <c r="F46" s="67"/>
      <c r="G46" s="67"/>
      <c r="H46" s="67"/>
      <c r="I46" s="67"/>
    </row>
    <row r="47" spans="1:10" x14ac:dyDescent="0.25">
      <c r="A47" s="1183"/>
      <c r="B47" s="1183"/>
      <c r="C47" s="1183"/>
      <c r="D47" s="180"/>
      <c r="E47" s="67"/>
      <c r="F47" s="67"/>
      <c r="G47" s="67"/>
      <c r="H47" s="67"/>
      <c r="I47" s="67"/>
    </row>
    <row r="48" spans="1:10" x14ac:dyDescent="0.25">
      <c r="A48" s="1183"/>
      <c r="B48" s="1183"/>
      <c r="C48" s="1183"/>
      <c r="D48" s="180"/>
      <c r="E48" s="67"/>
      <c r="F48" s="67"/>
      <c r="G48" s="67"/>
      <c r="H48" s="67"/>
      <c r="I48" s="67"/>
    </row>
    <row r="49" spans="1:11" x14ac:dyDescent="0.25">
      <c r="A49" s="1183"/>
      <c r="B49" s="1183"/>
      <c r="C49" s="1183"/>
      <c r="D49" s="180"/>
      <c r="E49" s="67"/>
      <c r="F49" s="67"/>
      <c r="G49" s="67"/>
      <c r="H49" s="67"/>
      <c r="I49" s="67"/>
    </row>
    <row r="50" spans="1:11" x14ac:dyDescent="0.25">
      <c r="A50" s="1183"/>
      <c r="B50" s="1183"/>
      <c r="C50" s="1183"/>
      <c r="D50" s="180"/>
      <c r="E50" s="67"/>
      <c r="F50" s="67"/>
      <c r="G50" s="67"/>
      <c r="H50" s="67"/>
      <c r="I50" s="67"/>
    </row>
    <row r="51" spans="1:11" x14ac:dyDescent="0.25">
      <c r="A51" s="1183"/>
      <c r="B51" s="1183"/>
      <c r="C51" s="1183"/>
      <c r="D51" s="180"/>
      <c r="E51" s="67"/>
      <c r="F51" s="67"/>
      <c r="G51" s="67"/>
      <c r="H51" s="67"/>
      <c r="I51" s="67"/>
    </row>
    <row r="52" spans="1:11" x14ac:dyDescent="0.25">
      <c r="A52" s="1183"/>
      <c r="B52" s="1183"/>
      <c r="C52" s="1183"/>
      <c r="D52" s="180"/>
      <c r="E52" s="67"/>
      <c r="F52" s="67"/>
      <c r="G52" s="67"/>
      <c r="H52" s="67"/>
      <c r="I52" s="67"/>
    </row>
    <row r="53" spans="1:11" x14ac:dyDescent="0.25">
      <c r="A53" s="1183"/>
      <c r="B53" s="1183"/>
      <c r="C53" s="1183"/>
      <c r="D53" s="180"/>
      <c r="E53" s="67"/>
      <c r="F53" s="67"/>
      <c r="G53" s="67"/>
      <c r="H53" s="67"/>
      <c r="I53" s="67"/>
    </row>
    <row r="54" spans="1:11" x14ac:dyDescent="0.25">
      <c r="C54" s="180"/>
      <c r="D54" s="27"/>
    </row>
    <row r="55" spans="1:11" ht="21" x14ac:dyDescent="0.35">
      <c r="A55" s="3643" t="s">
        <v>254</v>
      </c>
      <c r="B55" s="672"/>
      <c r="C55" s="673"/>
      <c r="D55" s="674"/>
      <c r="E55" s="672"/>
      <c r="F55" s="672"/>
      <c r="G55" s="672"/>
      <c r="H55" s="672"/>
      <c r="I55" s="675"/>
    </row>
    <row r="56" spans="1:11" ht="15.75" x14ac:dyDescent="0.25">
      <c r="A56" s="3641" t="s">
        <v>326</v>
      </c>
      <c r="B56" s="66"/>
      <c r="C56" s="190"/>
      <c r="D56" s="677"/>
      <c r="E56" s="6"/>
      <c r="F56" s="6"/>
      <c r="G56" s="6"/>
      <c r="H56" s="6"/>
      <c r="I56" s="678"/>
    </row>
    <row r="57" spans="1:11" x14ac:dyDescent="0.25">
      <c r="A57" s="676" t="s">
        <v>1698</v>
      </c>
      <c r="B57" s="6"/>
      <c r="C57" s="190"/>
      <c r="D57" s="677"/>
      <c r="E57" s="6"/>
      <c r="F57" s="6"/>
      <c r="G57" s="6"/>
      <c r="H57" s="6"/>
      <c r="I57" s="678"/>
      <c r="J57" s="6"/>
      <c r="K57" s="6"/>
    </row>
    <row r="58" spans="1:11" x14ac:dyDescent="0.25">
      <c r="A58" t="s">
        <v>3111</v>
      </c>
      <c r="B58" s="6"/>
      <c r="C58" s="190"/>
      <c r="D58" s="677"/>
      <c r="E58" s="6"/>
      <c r="F58" s="6"/>
      <c r="G58" s="6"/>
      <c r="H58" s="6"/>
      <c r="I58" s="678"/>
      <c r="J58" s="6"/>
      <c r="K58" s="6"/>
    </row>
    <row r="59" spans="1:11" x14ac:dyDescent="0.25">
      <c r="A59" t="s">
        <v>3504</v>
      </c>
      <c r="B59" s="6"/>
      <c r="C59" s="190"/>
      <c r="D59" s="677"/>
      <c r="E59" s="6"/>
      <c r="F59" s="6"/>
      <c r="G59" s="6"/>
      <c r="H59" s="6"/>
      <c r="I59" s="678"/>
      <c r="J59" s="6"/>
      <c r="K59" s="6"/>
    </row>
    <row r="60" spans="1:11" x14ac:dyDescent="0.25">
      <c r="A60" s="676" t="s">
        <v>974</v>
      </c>
      <c r="B60" s="6"/>
      <c r="C60" s="190"/>
      <c r="D60" s="677"/>
      <c r="E60" s="6"/>
      <c r="F60" s="6"/>
      <c r="H60" s="6"/>
      <c r="I60" s="678"/>
      <c r="J60" s="6"/>
      <c r="K60" s="6"/>
    </row>
    <row r="61" spans="1:11" x14ac:dyDescent="0.25">
      <c r="A61" s="676" t="s">
        <v>3085</v>
      </c>
      <c r="B61" s="6"/>
      <c r="C61" s="190"/>
      <c r="D61" s="677"/>
      <c r="E61" s="6"/>
      <c r="F61" s="6"/>
      <c r="H61" s="6"/>
      <c r="I61" s="678"/>
      <c r="J61" s="6"/>
    </row>
    <row r="62" spans="1:11" x14ac:dyDescent="0.25">
      <c r="A62" s="1317" t="s">
        <v>3087</v>
      </c>
      <c r="B62" s="6"/>
      <c r="C62" s="190"/>
      <c r="D62" s="677"/>
      <c r="E62" s="6"/>
      <c r="F62" s="6"/>
      <c r="G62" s="6"/>
      <c r="H62" s="6"/>
      <c r="I62" s="678"/>
    </row>
    <row r="63" spans="1:11" x14ac:dyDescent="0.25">
      <c r="A63" s="1317" t="s">
        <v>3088</v>
      </c>
      <c r="B63" s="6"/>
      <c r="C63" s="190"/>
      <c r="D63" s="677"/>
      <c r="E63" s="6"/>
      <c r="F63" s="6"/>
      <c r="G63" s="6"/>
      <c r="H63" s="6"/>
      <c r="I63" s="678"/>
      <c r="K63" s="6"/>
    </row>
    <row r="64" spans="1:11" x14ac:dyDescent="0.25">
      <c r="A64" t="s">
        <v>3089</v>
      </c>
      <c r="B64" s="6"/>
      <c r="C64" s="190"/>
      <c r="D64" s="677"/>
      <c r="E64" s="6"/>
      <c r="F64" s="6"/>
      <c r="G64" s="6"/>
      <c r="H64" s="6"/>
      <c r="I64" s="678"/>
      <c r="K64" s="6"/>
    </row>
    <row r="65" spans="1:11" x14ac:dyDescent="0.25">
      <c r="A65" s="676" t="s">
        <v>3239</v>
      </c>
      <c r="B65" s="6"/>
      <c r="C65" s="190"/>
      <c r="D65" s="677"/>
      <c r="E65" s="6"/>
      <c r="F65" s="6"/>
      <c r="G65" s="6"/>
      <c r="H65" s="6"/>
      <c r="I65" s="678"/>
      <c r="J65" s="6"/>
    </row>
    <row r="66" spans="1:11" x14ac:dyDescent="0.25">
      <c r="A66" s="676" t="s">
        <v>3128</v>
      </c>
      <c r="B66" s="6"/>
      <c r="C66" s="190"/>
      <c r="D66" s="677"/>
      <c r="E66" s="6"/>
      <c r="F66" s="6"/>
      <c r="G66" s="6"/>
      <c r="H66" s="6"/>
      <c r="I66" s="678"/>
      <c r="J66" s="6"/>
    </row>
    <row r="67" spans="1:11" x14ac:dyDescent="0.25">
      <c r="A67" s="1365" t="s">
        <v>3129</v>
      </c>
      <c r="B67" s="6"/>
      <c r="C67" s="190"/>
      <c r="D67" s="677"/>
      <c r="E67" s="6"/>
      <c r="F67" s="6"/>
      <c r="G67" s="6"/>
      <c r="H67" s="6"/>
      <c r="I67" s="678"/>
      <c r="J67" s="6"/>
    </row>
    <row r="68" spans="1:11" x14ac:dyDescent="0.25">
      <c r="A68" s="676"/>
      <c r="B68" s="6"/>
      <c r="C68" s="190"/>
      <c r="D68" s="677"/>
      <c r="E68" s="6"/>
      <c r="F68" s="6"/>
      <c r="G68" s="6"/>
      <c r="H68" s="6"/>
      <c r="I68" s="678"/>
      <c r="J68" s="6"/>
    </row>
    <row r="69" spans="1:11" ht="15.75" x14ac:dyDescent="0.25">
      <c r="A69" s="221" t="s">
        <v>735</v>
      </c>
      <c r="B69" s="6"/>
      <c r="C69" s="190"/>
      <c r="D69" s="677"/>
      <c r="E69" s="6"/>
      <c r="F69" s="6"/>
      <c r="G69" s="6"/>
      <c r="H69" s="6"/>
      <c r="I69" s="678"/>
      <c r="J69" s="6"/>
      <c r="K69" s="66"/>
    </row>
    <row r="70" spans="1:11" x14ac:dyDescent="0.25">
      <c r="A70" t="s">
        <v>2812</v>
      </c>
      <c r="B70" s="6"/>
      <c r="C70" s="190"/>
      <c r="D70" s="677"/>
      <c r="E70" s="6"/>
      <c r="F70" s="6"/>
      <c r="G70" s="6"/>
      <c r="H70" s="6"/>
      <c r="I70" s="678"/>
      <c r="J70" s="6"/>
      <c r="K70" s="66"/>
    </row>
    <row r="71" spans="1:11" ht="15.75" x14ac:dyDescent="0.25">
      <c r="A71" s="1388" t="s">
        <v>870</v>
      </c>
      <c r="B71" s="1296" t="s">
        <v>871</v>
      </c>
      <c r="C71" s="190"/>
      <c r="D71" s="677"/>
      <c r="E71" s="6"/>
      <c r="F71" s="6"/>
      <c r="G71" s="6"/>
      <c r="H71" s="6"/>
      <c r="I71" s="678"/>
      <c r="J71" s="6"/>
      <c r="K71" s="66"/>
    </row>
    <row r="72" spans="1:11" ht="15.75" x14ac:dyDescent="0.25">
      <c r="A72" s="1388" t="s">
        <v>400</v>
      </c>
      <c r="B72" s="1296" t="s">
        <v>2403</v>
      </c>
      <c r="C72" s="190"/>
      <c r="D72" s="677"/>
      <c r="E72" s="6"/>
      <c r="F72" s="6"/>
      <c r="G72" s="6"/>
      <c r="H72" s="6"/>
      <c r="I72" s="678"/>
      <c r="J72" s="6"/>
      <c r="K72" s="66"/>
    </row>
    <row r="73" spans="1:11" ht="15.75" x14ac:dyDescent="0.25">
      <c r="A73" s="1388" t="s">
        <v>964</v>
      </c>
      <c r="B73" s="1296" t="s">
        <v>968</v>
      </c>
      <c r="C73" s="190"/>
      <c r="D73" s="677"/>
      <c r="E73" s="6"/>
      <c r="F73" s="6"/>
      <c r="G73" s="6"/>
      <c r="H73" s="6"/>
      <c r="I73" s="678"/>
      <c r="J73" s="6"/>
      <c r="K73" s="66"/>
    </row>
    <row r="74" spans="1:11" ht="15.75" x14ac:dyDescent="0.25">
      <c r="A74" s="1389" t="s">
        <v>719</v>
      </c>
      <c r="B74" s="1351" t="s">
        <v>3474</v>
      </c>
      <c r="C74" s="6"/>
      <c r="D74" s="677"/>
      <c r="E74" s="6"/>
      <c r="F74" s="6"/>
      <c r="G74" s="6"/>
      <c r="H74" s="6"/>
      <c r="I74" s="678"/>
      <c r="J74" s="6"/>
    </row>
    <row r="75" spans="1:11" ht="15.75" x14ac:dyDescent="0.25">
      <c r="A75" s="1389" t="s">
        <v>720</v>
      </c>
      <c r="B75" s="1351" t="s">
        <v>1290</v>
      </c>
      <c r="C75" s="6"/>
      <c r="D75" s="677"/>
      <c r="E75" s="6"/>
      <c r="F75" s="6"/>
      <c r="G75" s="6"/>
      <c r="H75" s="6"/>
      <c r="I75" s="678"/>
      <c r="J75" s="6"/>
      <c r="K75" s="221"/>
    </row>
    <row r="76" spans="1:11" ht="15.75" x14ac:dyDescent="0.25">
      <c r="A76" s="1389" t="s">
        <v>721</v>
      </c>
      <c r="B76" s="1351" t="s">
        <v>874</v>
      </c>
      <c r="C76" s="6"/>
      <c r="D76" s="677"/>
      <c r="E76" s="6"/>
      <c r="F76" s="6"/>
      <c r="G76" s="6"/>
      <c r="H76" s="6"/>
      <c r="I76" s="678"/>
    </row>
    <row r="77" spans="1:11" ht="15.75" x14ac:dyDescent="0.25">
      <c r="A77" s="1389" t="s">
        <v>725</v>
      </c>
      <c r="B77" s="1351" t="s">
        <v>2348</v>
      </c>
      <c r="C77" s="6"/>
      <c r="D77" s="677"/>
      <c r="E77" s="6"/>
      <c r="F77" s="6"/>
      <c r="G77" s="6"/>
      <c r="H77" s="6"/>
      <c r="I77" s="678"/>
    </row>
    <row r="78" spans="1:11" ht="15.75" x14ac:dyDescent="0.25">
      <c r="A78" s="1390" t="s">
        <v>577</v>
      </c>
      <c r="B78" s="1399" t="s">
        <v>2401</v>
      </c>
      <c r="C78" s="680"/>
      <c r="D78" s="681"/>
      <c r="E78" s="680"/>
      <c r="F78" s="680"/>
      <c r="G78" s="680"/>
      <c r="H78" s="680"/>
      <c r="I78" s="682"/>
    </row>
    <row r="79" spans="1:11" x14ac:dyDescent="0.25">
      <c r="A79" s="1025"/>
      <c r="B79" s="3"/>
      <c r="C79" s="6"/>
      <c r="D79" s="677"/>
      <c r="E79" s="6"/>
      <c r="F79" s="6"/>
      <c r="G79" s="6"/>
      <c r="H79" s="6"/>
    </row>
    <row r="80" spans="1:11" x14ac:dyDescent="0.25">
      <c r="A80" s="6"/>
      <c r="B80" s="3"/>
      <c r="D80" s="677"/>
      <c r="E80" s="6"/>
      <c r="F80" s="6"/>
      <c r="G80" s="6"/>
      <c r="H80" s="6"/>
    </row>
    <row r="81" spans="1:8" ht="21" x14ac:dyDescent="0.35">
      <c r="A81" s="2079" t="s">
        <v>326</v>
      </c>
      <c r="B81" s="3"/>
      <c r="C81" s="6"/>
      <c r="D81" s="677"/>
      <c r="E81" s="6"/>
      <c r="F81" s="6"/>
      <c r="G81" s="6"/>
      <c r="H81" s="6"/>
    </row>
    <row r="82" spans="1:8" ht="21" x14ac:dyDescent="0.35">
      <c r="A82" s="2079"/>
      <c r="B82" s="3"/>
      <c r="C82" s="6"/>
      <c r="D82" s="677"/>
      <c r="E82" s="6"/>
      <c r="F82" s="6"/>
      <c r="G82" s="6"/>
      <c r="H82" s="6"/>
    </row>
    <row r="83" spans="1:8" ht="15.75" x14ac:dyDescent="0.25">
      <c r="A83" s="1582" t="s">
        <v>2989</v>
      </c>
      <c r="B83" s="3"/>
      <c r="C83" s="6"/>
      <c r="D83" s="677"/>
      <c r="E83" s="6"/>
      <c r="F83" s="6"/>
      <c r="G83" s="6"/>
      <c r="H83" s="6"/>
    </row>
    <row r="84" spans="1:8" x14ac:dyDescent="0.25">
      <c r="A84" s="6" t="s">
        <v>3475</v>
      </c>
      <c r="B84" s="3"/>
      <c r="C84" s="6"/>
      <c r="D84" s="677"/>
      <c r="E84" s="6"/>
      <c r="F84" s="6"/>
      <c r="G84" s="6"/>
      <c r="H84" s="6"/>
    </row>
    <row r="85" spans="1:8" x14ac:dyDescent="0.25">
      <c r="A85" s="6" t="s">
        <v>3152</v>
      </c>
      <c r="B85" s="3"/>
      <c r="C85" s="6"/>
      <c r="D85" s="677"/>
      <c r="E85" s="6"/>
      <c r="F85" s="6"/>
      <c r="G85" s="6"/>
      <c r="H85" s="6"/>
    </row>
    <row r="86" spans="1:8" x14ac:dyDescent="0.25">
      <c r="A86" s="6" t="s">
        <v>3153</v>
      </c>
      <c r="B86" s="3"/>
      <c r="C86" s="6"/>
      <c r="D86" s="677"/>
      <c r="E86" s="6"/>
      <c r="F86" s="6"/>
      <c r="G86" s="6"/>
      <c r="H86" s="6"/>
    </row>
    <row r="87" spans="1:8" x14ac:dyDescent="0.25">
      <c r="A87" s="6" t="s">
        <v>3154</v>
      </c>
      <c r="B87" s="3"/>
      <c r="C87" s="6"/>
      <c r="D87" s="677"/>
      <c r="E87" s="6"/>
      <c r="F87" s="6"/>
      <c r="G87" s="6"/>
      <c r="H87" s="6"/>
    </row>
    <row r="88" spans="1:8" x14ac:dyDescent="0.25">
      <c r="A88" t="s">
        <v>3155</v>
      </c>
      <c r="B88" s="3"/>
      <c r="C88" s="6"/>
      <c r="D88" s="677"/>
      <c r="E88" s="6"/>
      <c r="F88" s="6"/>
      <c r="G88" s="6"/>
      <c r="H88" s="6"/>
    </row>
    <row r="89" spans="1:8" x14ac:dyDescent="0.25">
      <c r="A89" t="s">
        <v>3476</v>
      </c>
      <c r="B89" s="3"/>
      <c r="C89" s="6"/>
      <c r="D89" s="677"/>
      <c r="E89" s="6"/>
      <c r="F89" s="6"/>
      <c r="G89" s="6"/>
      <c r="H89" s="6"/>
    </row>
    <row r="90" spans="1:8" x14ac:dyDescent="0.25">
      <c r="A90" t="s">
        <v>3477</v>
      </c>
      <c r="B90" s="3"/>
      <c r="C90" s="6"/>
      <c r="D90" s="677"/>
      <c r="E90" s="6"/>
      <c r="F90" s="6"/>
      <c r="G90" s="6"/>
      <c r="H90" s="6"/>
    </row>
    <row r="91" spans="1:8" x14ac:dyDescent="0.25">
      <c r="A91" t="s">
        <v>3568</v>
      </c>
      <c r="B91" s="3"/>
      <c r="C91" s="6"/>
      <c r="D91" s="677"/>
      <c r="E91" s="6"/>
      <c r="F91" s="6"/>
      <c r="G91" s="6"/>
      <c r="H91" s="6"/>
    </row>
    <row r="92" spans="1:8" x14ac:dyDescent="0.25">
      <c r="A92" t="s">
        <v>3567</v>
      </c>
      <c r="B92" s="3"/>
      <c r="C92" s="6"/>
      <c r="D92" s="677"/>
      <c r="E92" s="6"/>
      <c r="F92" s="6"/>
      <c r="G92" s="6"/>
      <c r="H92" s="6"/>
    </row>
    <row r="93" spans="1:8" x14ac:dyDescent="0.25">
      <c r="B93" s="3"/>
      <c r="C93" s="6"/>
      <c r="D93" s="677"/>
      <c r="E93" s="6"/>
      <c r="F93" s="6"/>
      <c r="G93" s="6"/>
      <c r="H93" s="6"/>
    </row>
    <row r="94" spans="1:8" x14ac:dyDescent="0.25">
      <c r="A94" s="6" t="s">
        <v>3156</v>
      </c>
      <c r="B94" s="3"/>
      <c r="C94" s="6"/>
      <c r="D94" s="3"/>
      <c r="E94" s="6"/>
      <c r="F94" s="6"/>
      <c r="G94" s="6"/>
      <c r="H94" s="6"/>
    </row>
    <row r="95" spans="1:8" x14ac:dyDescent="0.25">
      <c r="A95" s="6" t="s">
        <v>3035</v>
      </c>
      <c r="B95" s="3"/>
      <c r="C95" s="6"/>
      <c r="D95" s="3"/>
      <c r="E95" s="6"/>
      <c r="F95" s="6"/>
      <c r="G95" s="6"/>
      <c r="H95" s="6"/>
    </row>
    <row r="96" spans="1:8" x14ac:dyDescent="0.25">
      <c r="A96" s="6" t="s">
        <v>3069</v>
      </c>
      <c r="B96" s="3"/>
      <c r="C96" s="6"/>
      <c r="D96" s="3"/>
      <c r="E96" s="6"/>
      <c r="F96" s="6"/>
      <c r="G96" s="6"/>
      <c r="H96" s="6"/>
    </row>
    <row r="97" spans="1:11" x14ac:dyDescent="0.25">
      <c r="A97" t="s">
        <v>3071</v>
      </c>
      <c r="C97" s="6"/>
      <c r="I97" s="978" t="s">
        <v>1699</v>
      </c>
      <c r="K97" t="s">
        <v>3070</v>
      </c>
    </row>
    <row r="98" spans="1:11" x14ac:dyDescent="0.25">
      <c r="A98" t="s">
        <v>3112</v>
      </c>
      <c r="C98" s="6"/>
      <c r="E98" s="978"/>
      <c r="H98" s="6"/>
    </row>
    <row r="99" spans="1:11" x14ac:dyDescent="0.25">
      <c r="A99" s="33" t="s">
        <v>3157</v>
      </c>
      <c r="B99" s="3"/>
      <c r="C99" s="6"/>
      <c r="D99" s="3"/>
      <c r="E99" s="6"/>
      <c r="F99" s="6"/>
      <c r="G99" s="6"/>
      <c r="H99" s="6"/>
    </row>
    <row r="100" spans="1:11" x14ac:dyDescent="0.25">
      <c r="A100" s="33" t="s">
        <v>3159</v>
      </c>
      <c r="B100" s="3"/>
      <c r="C100" s="6"/>
      <c r="D100" s="3"/>
      <c r="E100" s="6"/>
      <c r="F100" s="6"/>
      <c r="G100" s="6"/>
      <c r="H100" s="6"/>
    </row>
    <row r="101" spans="1:11" x14ac:dyDescent="0.25">
      <c r="A101" s="33" t="s">
        <v>3158</v>
      </c>
      <c r="B101" s="3"/>
      <c r="C101" s="6"/>
      <c r="D101" s="3"/>
      <c r="E101" s="6"/>
      <c r="F101" s="6"/>
      <c r="G101" s="6"/>
      <c r="H101" s="6"/>
    </row>
    <row r="102" spans="1:11" x14ac:dyDescent="0.25">
      <c r="A102" s="33"/>
      <c r="B102" s="3"/>
      <c r="C102" s="6"/>
      <c r="D102" s="3"/>
      <c r="E102" s="6"/>
      <c r="F102" s="6"/>
      <c r="G102" s="6"/>
      <c r="H102" s="6"/>
    </row>
    <row r="103" spans="1:11" x14ac:dyDescent="0.25">
      <c r="B103" s="3"/>
      <c r="C103" s="6"/>
      <c r="D103" s="3"/>
      <c r="E103" s="6"/>
      <c r="F103" s="6"/>
      <c r="G103" s="6"/>
      <c r="H103" s="6"/>
    </row>
    <row r="104" spans="1:11" x14ac:dyDescent="0.25">
      <c r="B104" s="3"/>
      <c r="C104" s="6"/>
      <c r="D104" s="3"/>
      <c r="E104" s="6"/>
      <c r="F104" s="6"/>
      <c r="G104" s="6"/>
      <c r="H104" s="6"/>
    </row>
    <row r="105" spans="1:11" x14ac:dyDescent="0.25">
      <c r="B105" s="3"/>
      <c r="C105" s="6"/>
      <c r="D105" s="3"/>
      <c r="E105" s="6"/>
      <c r="F105" s="6"/>
      <c r="G105" s="6"/>
      <c r="H105" s="6"/>
    </row>
    <row r="106" spans="1:11" x14ac:dyDescent="0.25">
      <c r="A106" s="33"/>
      <c r="B106" s="3"/>
      <c r="C106" s="6"/>
      <c r="D106" s="3"/>
      <c r="E106" s="6"/>
      <c r="F106" s="6"/>
      <c r="G106" s="6"/>
      <c r="H106" s="6"/>
    </row>
    <row r="107" spans="1:11" x14ac:dyDescent="0.25">
      <c r="A107" s="33"/>
      <c r="B107" s="3"/>
      <c r="C107" s="6"/>
      <c r="D107" s="677"/>
      <c r="E107" s="6"/>
      <c r="F107" s="6"/>
      <c r="G107" s="6"/>
      <c r="H107" s="6"/>
    </row>
    <row r="108" spans="1:11" x14ac:dyDescent="0.25">
      <c r="A108" s="33"/>
      <c r="B108" s="3"/>
      <c r="C108" s="6"/>
      <c r="D108" s="677"/>
      <c r="E108" s="6"/>
      <c r="F108" s="6"/>
      <c r="G108" s="6"/>
      <c r="H108" s="6"/>
    </row>
    <row r="109" spans="1:11" x14ac:dyDescent="0.25">
      <c r="A109" s="6"/>
      <c r="B109" s="3"/>
      <c r="C109" s="6"/>
      <c r="D109" s="677"/>
      <c r="E109" s="6"/>
      <c r="F109" s="6"/>
      <c r="G109" s="6"/>
      <c r="H109" s="6"/>
    </row>
    <row r="110" spans="1:11" x14ac:dyDescent="0.25">
      <c r="A110" s="6"/>
      <c r="B110" s="3"/>
      <c r="C110" s="6"/>
      <c r="D110" s="677"/>
      <c r="E110" s="6"/>
      <c r="F110" s="6"/>
      <c r="G110" s="6"/>
      <c r="H110" s="6"/>
    </row>
    <row r="111" spans="1:11" x14ac:dyDescent="0.25">
      <c r="A111" s="6"/>
      <c r="B111" s="3"/>
      <c r="C111" s="6"/>
      <c r="D111" s="677"/>
      <c r="E111" s="6"/>
      <c r="F111" s="6"/>
      <c r="G111" s="6"/>
      <c r="H111" s="6"/>
    </row>
    <row r="112" spans="1:11" x14ac:dyDescent="0.25">
      <c r="A112" s="6"/>
      <c r="B112" s="3"/>
      <c r="C112" s="6"/>
      <c r="D112" s="677"/>
      <c r="E112" s="6"/>
      <c r="F112" s="6"/>
      <c r="G112" s="6"/>
      <c r="H112" s="6"/>
    </row>
    <row r="113" spans="1:11" x14ac:dyDescent="0.25">
      <c r="A113" s="6"/>
      <c r="B113" s="3"/>
      <c r="C113" s="6"/>
      <c r="D113" s="677"/>
      <c r="E113" s="6"/>
      <c r="F113" s="6"/>
      <c r="G113" s="6"/>
      <c r="H113" s="6"/>
    </row>
    <row r="114" spans="1:11" x14ac:dyDescent="0.25">
      <c r="A114" s="6"/>
      <c r="B114" s="3"/>
      <c r="C114" s="6"/>
      <c r="D114" s="677"/>
      <c r="E114" s="6"/>
      <c r="F114" s="6"/>
      <c r="G114" s="6"/>
      <c r="H114" s="6"/>
    </row>
    <row r="115" spans="1:11" x14ac:dyDescent="0.25">
      <c r="A115" s="6"/>
      <c r="B115" s="3"/>
      <c r="C115" s="6"/>
      <c r="D115" s="677"/>
      <c r="E115" s="6"/>
      <c r="F115" s="6"/>
      <c r="G115" s="6"/>
      <c r="H115" s="6"/>
    </row>
    <row r="116" spans="1:11" x14ac:dyDescent="0.25">
      <c r="A116" s="6"/>
      <c r="B116" s="3"/>
      <c r="C116" s="6"/>
      <c r="D116" s="677"/>
      <c r="E116" s="6"/>
      <c r="F116" s="6"/>
      <c r="G116" s="6"/>
      <c r="H116" s="6"/>
    </row>
    <row r="117" spans="1:11" x14ac:dyDescent="0.25">
      <c r="A117" s="6"/>
      <c r="B117" s="3"/>
      <c r="C117" s="6"/>
      <c r="D117" s="677"/>
      <c r="E117" s="6"/>
      <c r="F117" s="6"/>
      <c r="G117" s="6"/>
      <c r="H117" s="6"/>
    </row>
    <row r="118" spans="1:11" x14ac:dyDescent="0.25">
      <c r="A118" s="6"/>
      <c r="B118" s="3"/>
      <c r="C118" s="6"/>
      <c r="D118" s="677"/>
      <c r="E118" s="6"/>
      <c r="F118" s="6"/>
      <c r="G118" s="6"/>
      <c r="H118" s="6"/>
    </row>
    <row r="119" spans="1:11" x14ac:dyDescent="0.25">
      <c r="A119" s="6"/>
      <c r="B119" s="3"/>
      <c r="C119" s="6"/>
      <c r="D119" s="677"/>
      <c r="E119" s="6"/>
      <c r="F119" s="6"/>
      <c r="G119" s="6"/>
      <c r="H119" s="6"/>
    </row>
    <row r="120" spans="1:11" x14ac:dyDescent="0.25">
      <c r="A120" s="6"/>
      <c r="B120" s="3"/>
      <c r="C120" s="6"/>
      <c r="D120" s="677"/>
      <c r="E120" s="6"/>
      <c r="F120" s="6"/>
      <c r="G120" s="6"/>
      <c r="H120" s="6"/>
    </row>
    <row r="121" spans="1:11" x14ac:dyDescent="0.25">
      <c r="A121" s="6"/>
      <c r="B121" s="3"/>
      <c r="C121" s="6"/>
      <c r="D121" s="677"/>
      <c r="E121" s="6"/>
      <c r="F121" s="6"/>
      <c r="G121" s="6"/>
      <c r="H121" s="6"/>
    </row>
    <row r="122" spans="1:11" x14ac:dyDescent="0.25">
      <c r="A122" s="6"/>
      <c r="B122" s="3"/>
      <c r="C122" s="6"/>
      <c r="D122" s="677"/>
      <c r="E122" s="6"/>
      <c r="F122" s="6"/>
      <c r="G122" s="6"/>
      <c r="H122" s="6"/>
    </row>
    <row r="123" spans="1:11" x14ac:dyDescent="0.25">
      <c r="A123" s="6"/>
      <c r="B123" s="3"/>
      <c r="C123" s="6"/>
      <c r="D123" s="677"/>
      <c r="E123" s="6"/>
      <c r="F123" s="6"/>
      <c r="G123" s="6"/>
      <c r="H123" s="6"/>
    </row>
    <row r="124" spans="1:11" x14ac:dyDescent="0.25">
      <c r="A124" s="6"/>
      <c r="B124" s="3"/>
      <c r="C124" s="6"/>
      <c r="D124" s="677"/>
      <c r="E124" s="6"/>
      <c r="F124" s="6"/>
      <c r="G124" s="6"/>
      <c r="H124" s="6"/>
    </row>
    <row r="125" spans="1:11" x14ac:dyDescent="0.25">
      <c r="A125" s="6"/>
      <c r="B125" s="3"/>
      <c r="C125" s="6"/>
      <c r="D125" s="677"/>
      <c r="E125" s="6"/>
      <c r="F125" s="6"/>
      <c r="G125" s="6"/>
      <c r="H125" s="6"/>
    </row>
    <row r="126" spans="1:11" x14ac:dyDescent="0.25">
      <c r="A126" s="6"/>
      <c r="B126" s="3"/>
      <c r="C126" s="6"/>
      <c r="D126" s="677"/>
      <c r="E126" s="6"/>
      <c r="F126" s="6"/>
      <c r="G126" s="6"/>
      <c r="H126" s="6"/>
    </row>
    <row r="127" spans="1:11" x14ac:dyDescent="0.25">
      <c r="A127" t="s">
        <v>3478</v>
      </c>
      <c r="B127" s="81"/>
      <c r="C127" s="81"/>
      <c r="K127" s="124"/>
    </row>
    <row r="128" spans="1:11" x14ac:dyDescent="0.25">
      <c r="A128" t="s">
        <v>3479</v>
      </c>
      <c r="B128" s="81"/>
      <c r="C128" s="81"/>
      <c r="K128" s="91"/>
    </row>
    <row r="129" spans="1:11" x14ac:dyDescent="0.25">
      <c r="A129" t="s">
        <v>3481</v>
      </c>
      <c r="B129" s="17"/>
      <c r="C129" s="17"/>
      <c r="D129" s="25"/>
      <c r="E129" s="24"/>
      <c r="F129" s="6"/>
      <c r="G129" s="6"/>
      <c r="H129" s="6"/>
      <c r="I129" s="6"/>
      <c r="K129" s="91"/>
    </row>
    <row r="130" spans="1:11" x14ac:dyDescent="0.25">
      <c r="A130" t="s">
        <v>3480</v>
      </c>
      <c r="B130" s="17"/>
      <c r="C130" s="17"/>
      <c r="D130" s="25"/>
      <c r="E130" s="24"/>
      <c r="F130" s="6"/>
      <c r="G130" s="6"/>
      <c r="H130" s="6"/>
      <c r="I130" s="6"/>
      <c r="K130" s="91"/>
    </row>
    <row r="131" spans="1:11" x14ac:dyDescent="0.25">
      <c r="A131" t="s">
        <v>3160</v>
      </c>
      <c r="B131" s="17"/>
      <c r="C131" s="17"/>
      <c r="D131" s="25"/>
      <c r="E131" s="24"/>
      <c r="F131" s="6"/>
      <c r="G131" s="6"/>
      <c r="H131" s="6"/>
      <c r="I131" s="6"/>
      <c r="K131" s="91"/>
    </row>
    <row r="132" spans="1:11" ht="14.25" customHeight="1" x14ac:dyDescent="0.3">
      <c r="A132" s="33"/>
      <c r="B132" s="8"/>
      <c r="C132" s="9"/>
      <c r="D132" s="27"/>
      <c r="K132" s="94"/>
    </row>
    <row r="133" spans="1:11" ht="14.25" customHeight="1" x14ac:dyDescent="0.3">
      <c r="A133" s="10"/>
      <c r="B133" s="8"/>
      <c r="C133" s="9"/>
      <c r="D133" s="27"/>
      <c r="K133" s="94"/>
    </row>
    <row r="134" spans="1:11" ht="18" x14ac:dyDescent="0.25">
      <c r="A134" s="590" t="s">
        <v>1698</v>
      </c>
      <c r="B134" s="81"/>
      <c r="C134" s="81"/>
    </row>
    <row r="135" spans="1:11" ht="18" x14ac:dyDescent="0.25">
      <c r="A135" s="590"/>
      <c r="B135" s="81"/>
      <c r="C135" s="81"/>
    </row>
    <row r="136" spans="1:11" x14ac:dyDescent="0.25">
      <c r="A136" t="s">
        <v>1153</v>
      </c>
      <c r="B136" s="81"/>
      <c r="C136" s="81"/>
      <c r="K136" s="124"/>
    </row>
    <row r="137" spans="1:11" x14ac:dyDescent="0.25">
      <c r="A137" t="s">
        <v>3482</v>
      </c>
      <c r="B137" s="81"/>
      <c r="C137" s="81"/>
      <c r="K137" s="91"/>
    </row>
    <row r="138" spans="1:11" x14ac:dyDescent="0.25">
      <c r="A138" t="s">
        <v>3483</v>
      </c>
      <c r="B138" s="17"/>
      <c r="C138" s="17"/>
      <c r="D138" s="25"/>
      <c r="E138" s="24"/>
      <c r="F138" s="6"/>
      <c r="G138" s="6"/>
      <c r="H138" s="6"/>
      <c r="I138" s="6"/>
      <c r="K138" s="91"/>
    </row>
    <row r="139" spans="1:11" x14ac:dyDescent="0.25">
      <c r="A139" t="s">
        <v>3484</v>
      </c>
      <c r="B139" s="17"/>
      <c r="C139" s="17"/>
      <c r="D139" s="25"/>
      <c r="E139" s="24"/>
      <c r="F139" s="6"/>
      <c r="G139" s="6"/>
      <c r="H139" s="6"/>
      <c r="I139" s="6"/>
      <c r="K139" s="91"/>
    </row>
    <row r="140" spans="1:11" x14ac:dyDescent="0.25">
      <c r="A140" t="s">
        <v>3485</v>
      </c>
      <c r="B140" s="17"/>
      <c r="C140" s="17"/>
      <c r="D140" s="25"/>
      <c r="E140" s="24"/>
      <c r="F140" s="6"/>
      <c r="G140" s="6"/>
      <c r="H140" s="6"/>
      <c r="I140" s="6"/>
      <c r="K140" s="91"/>
    </row>
    <row r="141" spans="1:11" x14ac:dyDescent="0.25">
      <c r="A141" t="s">
        <v>3161</v>
      </c>
      <c r="B141" s="17"/>
      <c r="C141" s="17"/>
      <c r="D141" s="25"/>
      <c r="E141" s="24"/>
      <c r="F141" s="6"/>
      <c r="G141" s="6"/>
      <c r="H141" s="6"/>
      <c r="I141" s="6"/>
      <c r="K141" s="91"/>
    </row>
    <row r="142" spans="1:11" x14ac:dyDescent="0.25">
      <c r="A142" t="s">
        <v>2718</v>
      </c>
      <c r="B142" s="17"/>
      <c r="C142" s="17"/>
      <c r="D142" s="25"/>
      <c r="E142" s="24"/>
      <c r="F142" s="6"/>
      <c r="G142" s="6"/>
      <c r="H142" s="6"/>
      <c r="I142" s="6"/>
      <c r="K142" s="91"/>
    </row>
    <row r="143" spans="1:11" x14ac:dyDescent="0.25">
      <c r="A143" t="s">
        <v>2717</v>
      </c>
      <c r="B143" s="17"/>
      <c r="C143" s="17"/>
      <c r="D143" s="25"/>
      <c r="E143" s="24"/>
      <c r="F143" s="6"/>
      <c r="G143" s="6"/>
      <c r="H143" s="6"/>
      <c r="I143" s="6"/>
      <c r="K143" s="91"/>
    </row>
    <row r="144" spans="1:11" x14ac:dyDescent="0.25">
      <c r="B144" s="17"/>
      <c r="C144" s="17"/>
      <c r="D144" s="25"/>
      <c r="E144" s="24"/>
      <c r="F144" s="6"/>
      <c r="G144" s="6"/>
      <c r="H144" s="6"/>
      <c r="I144" s="6"/>
      <c r="K144" s="91"/>
    </row>
    <row r="145" spans="1:11" ht="15.75" x14ac:dyDescent="0.25">
      <c r="A145" s="1443" t="s">
        <v>1264</v>
      </c>
      <c r="B145" s="17"/>
      <c r="C145" s="17"/>
      <c r="D145" s="25"/>
      <c r="E145" s="24"/>
      <c r="F145" s="6"/>
      <c r="G145" s="6"/>
      <c r="H145" s="6"/>
      <c r="I145" s="6"/>
      <c r="K145" s="91"/>
    </row>
    <row r="146" spans="1:11" x14ac:dyDescent="0.25">
      <c r="A146" t="s">
        <v>3162</v>
      </c>
      <c r="B146" s="17"/>
      <c r="C146" s="17"/>
      <c r="D146" s="25"/>
      <c r="E146" s="24"/>
      <c r="F146" s="6"/>
      <c r="G146" s="6"/>
      <c r="H146" s="6"/>
      <c r="I146" s="6"/>
      <c r="K146" s="91"/>
    </row>
    <row r="147" spans="1:11" x14ac:dyDescent="0.25">
      <c r="A147" t="s">
        <v>3163</v>
      </c>
      <c r="B147" s="17"/>
      <c r="C147" s="17"/>
      <c r="D147" s="25"/>
      <c r="E147" s="24"/>
      <c r="F147" s="6"/>
      <c r="G147" s="6"/>
      <c r="H147" s="6"/>
      <c r="I147" s="6"/>
      <c r="K147" s="91"/>
    </row>
    <row r="148" spans="1:11" x14ac:dyDescent="0.25">
      <c r="A148" t="s">
        <v>2993</v>
      </c>
      <c r="B148" s="17"/>
      <c r="C148" s="17"/>
      <c r="D148" s="25"/>
      <c r="E148" s="24"/>
      <c r="F148" s="6"/>
      <c r="G148" s="6"/>
      <c r="H148" s="6"/>
      <c r="I148" s="6"/>
      <c r="K148" s="91"/>
    </row>
    <row r="149" spans="1:11" x14ac:dyDescent="0.25">
      <c r="A149" t="s">
        <v>1154</v>
      </c>
      <c r="B149" s="17"/>
      <c r="C149" s="17"/>
      <c r="D149" s="25"/>
      <c r="E149" s="24"/>
      <c r="F149" s="6"/>
      <c r="G149" s="6"/>
      <c r="H149" s="6"/>
      <c r="I149" s="6"/>
      <c r="K149" s="91"/>
    </row>
    <row r="150" spans="1:11" x14ac:dyDescent="0.25">
      <c r="A150" t="s">
        <v>3569</v>
      </c>
      <c r="B150" s="17"/>
      <c r="C150" s="17"/>
      <c r="D150" s="25"/>
      <c r="E150" s="24"/>
      <c r="F150" s="6"/>
      <c r="G150" s="6"/>
      <c r="H150" s="6"/>
      <c r="I150" s="6"/>
      <c r="K150" s="91"/>
    </row>
    <row r="151" spans="1:11" x14ac:dyDescent="0.25">
      <c r="A151" t="s">
        <v>3570</v>
      </c>
      <c r="B151" s="17"/>
      <c r="C151" s="17"/>
      <c r="D151" s="25"/>
      <c r="E151" s="24"/>
      <c r="F151" s="6"/>
      <c r="G151" s="6"/>
      <c r="H151" s="6"/>
      <c r="I151" s="6"/>
      <c r="K151" s="91"/>
    </row>
    <row r="152" spans="1:11" x14ac:dyDescent="0.25">
      <c r="B152" s="17"/>
      <c r="C152" s="17"/>
      <c r="D152" s="25"/>
      <c r="E152" s="24"/>
      <c r="F152" s="6"/>
      <c r="G152" s="6"/>
      <c r="H152" s="6"/>
      <c r="I152" s="6"/>
      <c r="K152" s="91"/>
    </row>
    <row r="153" spans="1:11" x14ac:dyDescent="0.25">
      <c r="A153" t="s">
        <v>3571</v>
      </c>
      <c r="B153" s="17"/>
      <c r="C153" s="17"/>
      <c r="D153" s="25"/>
      <c r="E153" s="24"/>
      <c r="F153" s="6"/>
      <c r="G153" s="6"/>
      <c r="H153" s="6"/>
      <c r="I153" s="6"/>
      <c r="K153" s="91"/>
    </row>
    <row r="154" spans="1:11" x14ac:dyDescent="0.25">
      <c r="A154" t="s">
        <v>3572</v>
      </c>
      <c r="B154" s="17"/>
      <c r="C154" s="17"/>
      <c r="D154" s="25"/>
      <c r="E154" s="24"/>
      <c r="F154" s="6"/>
      <c r="G154" s="6"/>
      <c r="H154" s="6"/>
      <c r="I154" s="6"/>
      <c r="K154" s="91"/>
    </row>
    <row r="155" spans="1:11" x14ac:dyDescent="0.25">
      <c r="A155" t="s">
        <v>3573</v>
      </c>
      <c r="B155" s="17"/>
      <c r="C155" s="17"/>
      <c r="D155" s="25"/>
      <c r="E155" s="24"/>
      <c r="F155" s="6"/>
      <c r="G155" s="6"/>
      <c r="H155" s="6"/>
      <c r="I155" s="6"/>
      <c r="K155" s="92"/>
    </row>
    <row r="156" spans="1:11" x14ac:dyDescent="0.25">
      <c r="A156" t="s">
        <v>3068</v>
      </c>
      <c r="B156" s="17"/>
      <c r="C156" s="17"/>
      <c r="D156" s="25"/>
      <c r="E156" s="24"/>
      <c r="F156" s="6"/>
      <c r="G156" s="6"/>
      <c r="H156" s="6"/>
      <c r="I156" s="6"/>
      <c r="K156" s="92"/>
    </row>
    <row r="157" spans="1:11" x14ac:dyDescent="0.25">
      <c r="B157" s="17"/>
      <c r="C157" s="17"/>
      <c r="D157" s="25"/>
      <c r="E157" s="24"/>
      <c r="F157" s="6"/>
      <c r="G157" s="6"/>
      <c r="H157" s="6"/>
      <c r="I157" s="6"/>
      <c r="K157" s="92"/>
    </row>
    <row r="158" spans="1:11" ht="15.75" x14ac:dyDescent="0.25">
      <c r="A158" s="1443" t="s">
        <v>1265</v>
      </c>
      <c r="B158" s="17"/>
      <c r="C158" s="17"/>
      <c r="D158" s="25"/>
      <c r="E158" s="24"/>
      <c r="F158" s="6"/>
      <c r="G158" s="6"/>
      <c r="H158" s="6"/>
      <c r="I158" s="6"/>
      <c r="K158" s="92"/>
    </row>
    <row r="159" spans="1:11" x14ac:dyDescent="0.25">
      <c r="A159" s="67" t="s">
        <v>3486</v>
      </c>
      <c r="B159" s="3"/>
      <c r="C159" s="3"/>
      <c r="D159" s="25"/>
      <c r="E159" s="24"/>
      <c r="F159" s="66"/>
      <c r="G159" s="66"/>
      <c r="H159" s="66"/>
      <c r="I159" s="66"/>
      <c r="J159" s="67"/>
      <c r="K159" s="1366"/>
    </row>
    <row r="160" spans="1:11" x14ac:dyDescent="0.25">
      <c r="A160" s="67" t="s">
        <v>3497</v>
      </c>
      <c r="B160" s="3"/>
      <c r="C160" s="3"/>
      <c r="D160" s="25"/>
      <c r="E160" s="24"/>
      <c r="F160" s="66"/>
      <c r="G160" s="66"/>
      <c r="H160" s="66"/>
      <c r="I160" s="66"/>
      <c r="J160" s="67"/>
      <c r="K160" s="1366"/>
    </row>
    <row r="161" spans="1:11" x14ac:dyDescent="0.25">
      <c r="A161" s="67" t="s">
        <v>2668</v>
      </c>
      <c r="B161" s="3"/>
      <c r="C161" s="3"/>
      <c r="D161" s="25"/>
      <c r="E161" s="24"/>
      <c r="F161" s="66"/>
      <c r="G161" s="66"/>
      <c r="H161" s="66"/>
      <c r="I161" s="66"/>
      <c r="J161" s="67"/>
      <c r="K161" s="1366"/>
    </row>
    <row r="162" spans="1:11" ht="15.75" customHeight="1" x14ac:dyDescent="0.25">
      <c r="A162" t="s">
        <v>3516</v>
      </c>
      <c r="B162" s="3"/>
      <c r="C162" s="3"/>
      <c r="D162" s="25"/>
      <c r="E162" s="24"/>
      <c r="F162" s="6"/>
      <c r="G162" s="6"/>
      <c r="H162" s="6"/>
      <c r="I162" s="6"/>
      <c r="K162" s="1366"/>
    </row>
    <row r="163" spans="1:11" x14ac:dyDescent="0.25">
      <c r="A163" t="s">
        <v>3517</v>
      </c>
      <c r="B163" s="3"/>
      <c r="C163" s="3"/>
      <c r="D163" s="25"/>
      <c r="E163" s="24"/>
      <c r="F163" s="6"/>
      <c r="G163" s="6"/>
      <c r="H163" s="6"/>
      <c r="I163" s="6"/>
      <c r="K163" s="1366"/>
    </row>
    <row r="164" spans="1:11" x14ac:dyDescent="0.25">
      <c r="A164" t="s">
        <v>3518</v>
      </c>
      <c r="B164" s="3"/>
      <c r="C164" s="3"/>
      <c r="D164" s="25"/>
      <c r="E164" s="24"/>
      <c r="F164" s="6"/>
      <c r="G164" s="6"/>
      <c r="H164" s="6"/>
      <c r="I164" s="6"/>
      <c r="K164" s="1366"/>
    </row>
    <row r="165" spans="1:11" x14ac:dyDescent="0.25">
      <c r="A165" t="s">
        <v>3519</v>
      </c>
      <c r="B165" s="3"/>
      <c r="C165" s="3"/>
      <c r="D165" s="25"/>
      <c r="E165" s="24"/>
      <c r="F165" s="6"/>
      <c r="G165" s="6"/>
      <c r="H165" s="6"/>
      <c r="I165" s="6"/>
      <c r="K165" s="1366"/>
    </row>
    <row r="166" spans="1:11" x14ac:dyDescent="0.25">
      <c r="A166" t="s">
        <v>3521</v>
      </c>
      <c r="B166" s="3"/>
      <c r="C166" s="3"/>
      <c r="D166" s="25"/>
      <c r="E166" s="24"/>
      <c r="F166" s="6"/>
      <c r="G166" s="6"/>
      <c r="H166" s="6"/>
      <c r="I166" s="6"/>
      <c r="K166" s="1366"/>
    </row>
    <row r="167" spans="1:11" x14ac:dyDescent="0.25">
      <c r="A167" t="s">
        <v>3520</v>
      </c>
      <c r="B167" s="3"/>
      <c r="C167" s="3"/>
      <c r="G167" s="180" t="s">
        <v>34</v>
      </c>
    </row>
    <row r="168" spans="1:11" x14ac:dyDescent="0.25">
      <c r="A168" s="6" t="s">
        <v>3498</v>
      </c>
      <c r="B168" s="3"/>
      <c r="C168" s="3"/>
      <c r="F168" s="180"/>
      <c r="G168" s="6"/>
      <c r="H168" s="6"/>
      <c r="K168" s="1366"/>
    </row>
    <row r="169" spans="1:11" x14ac:dyDescent="0.25">
      <c r="A169" s="6"/>
      <c r="B169" s="3"/>
      <c r="C169" s="3"/>
      <c r="F169" s="180"/>
      <c r="G169" s="6"/>
      <c r="H169" s="6"/>
      <c r="K169" s="1366"/>
    </row>
    <row r="170" spans="1:11" x14ac:dyDescent="0.25">
      <c r="A170" t="s">
        <v>2739</v>
      </c>
      <c r="B170" s="3"/>
      <c r="C170" s="3"/>
      <c r="F170" s="180"/>
      <c r="G170" s="6"/>
      <c r="H170" s="6"/>
      <c r="K170" s="1366"/>
    </row>
    <row r="171" spans="1:11" x14ac:dyDescent="0.25">
      <c r="A171" t="s">
        <v>3499</v>
      </c>
      <c r="B171" s="3"/>
      <c r="C171" s="3"/>
      <c r="F171" s="180"/>
      <c r="G171" s="6"/>
      <c r="H171" s="6"/>
      <c r="K171" s="1366"/>
    </row>
    <row r="172" spans="1:11" x14ac:dyDescent="0.25">
      <c r="A172" s="1317" t="s">
        <v>3218</v>
      </c>
      <c r="B172" s="3"/>
      <c r="C172" s="3"/>
      <c r="F172" s="180"/>
      <c r="G172" s="6"/>
      <c r="H172" s="6"/>
      <c r="K172" s="1366"/>
    </row>
    <row r="173" spans="1:11" x14ac:dyDescent="0.25">
      <c r="A173" t="s">
        <v>3219</v>
      </c>
      <c r="B173" s="3"/>
      <c r="C173" s="3"/>
      <c r="F173" s="180"/>
      <c r="G173" s="6"/>
      <c r="H173" s="6"/>
      <c r="K173" s="1366"/>
    </row>
    <row r="174" spans="1:11" x14ac:dyDescent="0.25">
      <c r="A174" t="s">
        <v>3220</v>
      </c>
      <c r="B174" s="3"/>
      <c r="C174" s="3"/>
      <c r="F174" s="180"/>
      <c r="G174" s="6"/>
      <c r="H174" s="6"/>
      <c r="K174" s="1366"/>
    </row>
    <row r="175" spans="1:11" x14ac:dyDescent="0.25">
      <c r="A175" t="s">
        <v>3763</v>
      </c>
      <c r="B175" s="3"/>
      <c r="C175" s="3"/>
      <c r="F175" s="180"/>
      <c r="G175" s="6"/>
      <c r="H175" s="6"/>
      <c r="K175" s="1366"/>
    </row>
    <row r="176" spans="1:11" x14ac:dyDescent="0.25">
      <c r="A176" t="s">
        <v>3764</v>
      </c>
      <c r="B176" s="3"/>
      <c r="C176" s="3"/>
      <c r="D176" s="25"/>
      <c r="E176" s="24"/>
      <c r="F176" s="6"/>
      <c r="G176" s="6"/>
      <c r="H176" s="6"/>
      <c r="I176" s="6"/>
      <c r="K176" s="1366"/>
    </row>
    <row r="177" spans="1:11" x14ac:dyDescent="0.25">
      <c r="B177" s="3"/>
      <c r="C177" s="3"/>
      <c r="D177" s="25"/>
      <c r="E177" s="24"/>
      <c r="F177" s="6"/>
      <c r="G177" s="6"/>
      <c r="H177" s="6"/>
      <c r="I177" s="6"/>
      <c r="K177" s="1366"/>
    </row>
    <row r="178" spans="1:11" x14ac:dyDescent="0.25">
      <c r="A178" t="s">
        <v>3500</v>
      </c>
      <c r="B178" s="3"/>
      <c r="C178" s="3"/>
      <c r="D178" s="25"/>
      <c r="E178" s="24"/>
      <c r="F178" s="6"/>
      <c r="G178" s="6"/>
      <c r="H178" s="6"/>
      <c r="I178" s="6"/>
    </row>
    <row r="179" spans="1:11" x14ac:dyDescent="0.25">
      <c r="A179" t="s">
        <v>3505</v>
      </c>
      <c r="B179" s="3"/>
      <c r="C179" s="3"/>
      <c r="D179" s="25"/>
      <c r="E179" s="24"/>
      <c r="F179" s="6"/>
      <c r="G179" s="6"/>
      <c r="H179" s="6"/>
      <c r="I179" s="6"/>
    </row>
    <row r="180" spans="1:11" x14ac:dyDescent="0.25">
      <c r="A180" t="s">
        <v>3765</v>
      </c>
      <c r="B180" s="3"/>
      <c r="C180" s="3"/>
      <c r="D180" s="25"/>
      <c r="E180" s="24"/>
      <c r="F180" s="6"/>
      <c r="G180" s="6"/>
      <c r="H180" s="6"/>
      <c r="I180" s="6"/>
    </row>
    <row r="181" spans="1:11" x14ac:dyDescent="0.25">
      <c r="A181" t="s">
        <v>3766</v>
      </c>
      <c r="B181" s="3"/>
      <c r="C181" s="3"/>
      <c r="D181" s="25"/>
      <c r="E181" s="24"/>
      <c r="F181" s="6"/>
      <c r="G181" s="6"/>
      <c r="H181" s="6"/>
      <c r="I181" s="6"/>
    </row>
    <row r="182" spans="1:11" x14ac:dyDescent="0.25">
      <c r="B182" s="3"/>
      <c r="C182" s="3"/>
      <c r="D182" s="25"/>
      <c r="E182" s="24"/>
      <c r="F182" s="6"/>
      <c r="G182" s="6"/>
      <c r="H182" s="6"/>
      <c r="I182" s="6"/>
    </row>
    <row r="183" spans="1:11" x14ac:dyDescent="0.25">
      <c r="B183" s="17"/>
      <c r="C183" s="17"/>
      <c r="D183" s="25"/>
      <c r="E183" s="24"/>
      <c r="F183" s="6"/>
      <c r="G183" s="6"/>
      <c r="H183" s="6"/>
      <c r="I183" s="6"/>
    </row>
    <row r="184" spans="1:11" ht="18.75" x14ac:dyDescent="0.3">
      <c r="A184" s="1402" t="s">
        <v>3113</v>
      </c>
      <c r="B184" s="17"/>
      <c r="C184" s="17"/>
      <c r="D184" s="25"/>
      <c r="E184" s="24"/>
      <c r="F184" s="6"/>
      <c r="G184" s="6"/>
      <c r="H184" s="6"/>
      <c r="I184" s="6"/>
    </row>
    <row r="185" spans="1:11" s="1367" customFormat="1" ht="15.75" x14ac:dyDescent="0.25">
      <c r="A185" s="1367" t="s">
        <v>3235</v>
      </c>
      <c r="B185" s="95"/>
      <c r="C185" s="95"/>
      <c r="D185" s="3639"/>
      <c r="E185" s="3640"/>
      <c r="F185" s="3298"/>
      <c r="G185" s="3298"/>
      <c r="H185" s="3298"/>
      <c r="I185" s="3298"/>
    </row>
    <row r="186" spans="1:11" s="1367" customFormat="1" ht="15.75" x14ac:dyDescent="0.25">
      <c r="A186" s="1367" t="s">
        <v>3236</v>
      </c>
      <c r="B186" s="95"/>
      <c r="C186" s="95"/>
      <c r="D186" s="3639"/>
      <c r="E186" s="3640"/>
      <c r="F186" s="3298"/>
      <c r="G186" s="3298"/>
      <c r="H186" s="3298"/>
      <c r="I186" s="3298"/>
    </row>
    <row r="187" spans="1:11" x14ac:dyDescent="0.25">
      <c r="A187" s="67" t="s">
        <v>3227</v>
      </c>
      <c r="B187" s="17"/>
      <c r="C187" s="17"/>
      <c r="D187" s="25"/>
      <c r="E187" s="24"/>
      <c r="F187" s="6"/>
      <c r="G187" s="6"/>
      <c r="H187" s="6"/>
      <c r="I187" s="6"/>
    </row>
    <row r="188" spans="1:11" x14ac:dyDescent="0.25">
      <c r="A188" s="67" t="s">
        <v>3228</v>
      </c>
      <c r="B188" s="17"/>
      <c r="C188" s="17"/>
      <c r="D188" s="25"/>
      <c r="E188" s="24"/>
      <c r="F188" s="6"/>
      <c r="G188" s="6"/>
      <c r="H188" s="6"/>
      <c r="I188" s="6"/>
    </row>
    <row r="189" spans="1:11" x14ac:dyDescent="0.25">
      <c r="A189" s="67" t="s">
        <v>3501</v>
      </c>
      <c r="B189" s="17"/>
      <c r="C189" s="17"/>
      <c r="D189" s="25"/>
      <c r="E189" s="24"/>
      <c r="F189" s="6"/>
      <c r="G189" s="6"/>
      <c r="H189" s="6"/>
      <c r="I189" s="6"/>
    </row>
    <row r="190" spans="1:11" x14ac:dyDescent="0.25">
      <c r="A190" s="67" t="s">
        <v>3230</v>
      </c>
      <c r="B190" s="17"/>
      <c r="C190" s="17"/>
      <c r="D190" s="25"/>
      <c r="E190" s="24"/>
      <c r="F190" s="6"/>
      <c r="G190" s="6"/>
      <c r="H190" s="6"/>
      <c r="I190" s="6"/>
    </row>
    <row r="191" spans="1:11" x14ac:dyDescent="0.25">
      <c r="A191" s="67" t="s">
        <v>3231</v>
      </c>
      <c r="B191" s="17"/>
      <c r="C191" s="17"/>
      <c r="D191" s="25"/>
      <c r="E191" s="24"/>
      <c r="F191" s="6"/>
      <c r="G191" s="6"/>
      <c r="H191" s="6"/>
      <c r="I191" s="6"/>
    </row>
    <row r="192" spans="1:11" x14ac:dyDescent="0.25">
      <c r="A192" s="67" t="s">
        <v>3232</v>
      </c>
      <c r="B192" s="17"/>
      <c r="C192" s="17"/>
      <c r="D192" s="25"/>
      <c r="E192" s="24"/>
      <c r="F192" s="6"/>
      <c r="G192" s="6"/>
      <c r="H192" s="6"/>
      <c r="I192" s="6"/>
    </row>
    <row r="193" spans="1:9" x14ac:dyDescent="0.25">
      <c r="A193" s="67" t="s">
        <v>3233</v>
      </c>
      <c r="B193" s="17"/>
      <c r="C193" s="17"/>
      <c r="D193" s="25"/>
      <c r="E193" s="24"/>
      <c r="F193" s="6"/>
      <c r="G193" s="6"/>
      <c r="H193" s="6"/>
      <c r="I193" s="6"/>
    </row>
    <row r="194" spans="1:9" x14ac:dyDescent="0.25">
      <c r="A194" s="67" t="s">
        <v>3234</v>
      </c>
      <c r="B194" s="17"/>
      <c r="C194" s="17"/>
      <c r="D194" s="25"/>
      <c r="E194" s="24"/>
      <c r="F194" s="6"/>
      <c r="G194" s="6"/>
      <c r="H194" s="6"/>
      <c r="I194" s="6"/>
    </row>
    <row r="195" spans="1:9" x14ac:dyDescent="0.25">
      <c r="A195" s="67"/>
      <c r="B195" s="17"/>
      <c r="C195" s="17"/>
      <c r="D195" s="25"/>
      <c r="E195" s="24"/>
      <c r="F195" s="6"/>
      <c r="G195" s="6"/>
      <c r="H195" s="6"/>
      <c r="I195" s="6"/>
    </row>
    <row r="196" spans="1:9" x14ac:dyDescent="0.25">
      <c r="B196" s="17"/>
      <c r="C196" s="17"/>
      <c r="D196" s="25"/>
      <c r="E196" s="24"/>
      <c r="F196" s="6"/>
      <c r="G196" s="6"/>
      <c r="H196" s="6"/>
      <c r="I196" s="6"/>
    </row>
    <row r="197" spans="1:9" ht="18.75" x14ac:dyDescent="0.3">
      <c r="A197" s="94" t="s">
        <v>3503</v>
      </c>
      <c r="B197" s="17"/>
      <c r="C197" s="17"/>
      <c r="D197" s="25"/>
      <c r="E197" s="24"/>
      <c r="F197" s="6"/>
      <c r="G197" s="6"/>
      <c r="H197" s="6"/>
      <c r="I197" s="6"/>
    </row>
    <row r="198" spans="1:9" x14ac:dyDescent="0.25">
      <c r="A198" t="s">
        <v>3171</v>
      </c>
      <c r="B198" s="17"/>
      <c r="C198" s="17"/>
      <c r="D198" s="25"/>
      <c r="E198" s="24"/>
      <c r="F198" s="6"/>
      <c r="G198" s="6"/>
      <c r="H198" s="6"/>
      <c r="I198" s="6"/>
    </row>
    <row r="199" spans="1:9" x14ac:dyDescent="0.25">
      <c r="A199" t="s">
        <v>3172</v>
      </c>
      <c r="B199" s="17"/>
      <c r="C199" s="17"/>
      <c r="D199" s="25"/>
      <c r="E199" s="24"/>
      <c r="F199" s="6"/>
      <c r="G199" s="6"/>
      <c r="H199" s="6"/>
      <c r="I199" s="6"/>
    </row>
    <row r="200" spans="1:9" x14ac:dyDescent="0.25">
      <c r="A200" t="s">
        <v>3506</v>
      </c>
      <c r="B200" s="17"/>
      <c r="C200" s="17"/>
      <c r="D200" s="25"/>
      <c r="E200" s="24"/>
      <c r="F200" s="6"/>
      <c r="G200" s="6"/>
      <c r="H200" s="6"/>
      <c r="I200" s="6"/>
    </row>
    <row r="201" spans="1:9" x14ac:dyDescent="0.25">
      <c r="A201" t="s">
        <v>3507</v>
      </c>
      <c r="B201" s="17"/>
      <c r="C201" s="17"/>
      <c r="D201" s="25"/>
      <c r="E201" s="24"/>
      <c r="F201" s="6"/>
      <c r="G201" s="6"/>
      <c r="H201" s="6"/>
      <c r="I201" s="6"/>
    </row>
    <row r="202" spans="1:9" x14ac:dyDescent="0.25">
      <c r="A202" t="s">
        <v>3173</v>
      </c>
      <c r="B202" s="17"/>
      <c r="C202" s="17"/>
      <c r="D202" s="25"/>
      <c r="E202" s="24"/>
      <c r="F202" s="6"/>
      <c r="G202" s="6"/>
      <c r="H202" s="6"/>
      <c r="I202" s="6"/>
    </row>
    <row r="203" spans="1:9" x14ac:dyDescent="0.25">
      <c r="A203" t="s">
        <v>2737</v>
      </c>
      <c r="B203" s="17"/>
      <c r="C203" s="17"/>
      <c r="D203" s="25"/>
      <c r="E203" s="24"/>
      <c r="F203" s="6"/>
      <c r="G203" s="6"/>
      <c r="H203" s="6"/>
      <c r="I203" s="6"/>
    </row>
    <row r="204" spans="1:9" x14ac:dyDescent="0.25">
      <c r="B204" s="17"/>
      <c r="C204" s="17"/>
      <c r="D204" s="25"/>
      <c r="E204" s="24"/>
      <c r="F204" s="6"/>
      <c r="G204" s="6"/>
      <c r="H204" s="6"/>
      <c r="I204" s="6"/>
    </row>
    <row r="205" spans="1:9" ht="15.75" x14ac:dyDescent="0.25">
      <c r="A205" s="1443" t="s">
        <v>1271</v>
      </c>
      <c r="B205" s="17"/>
      <c r="C205" s="17"/>
      <c r="D205" s="25"/>
      <c r="E205" s="24"/>
      <c r="F205" s="6"/>
      <c r="G205" s="6"/>
      <c r="H205" s="6"/>
      <c r="I205" s="6"/>
    </row>
    <row r="206" spans="1:9" x14ac:dyDescent="0.25">
      <c r="A206" t="s">
        <v>3508</v>
      </c>
      <c r="B206" s="17"/>
      <c r="C206" s="17"/>
      <c r="D206" s="25"/>
      <c r="E206" s="24"/>
      <c r="F206" s="6"/>
      <c r="G206" s="6"/>
      <c r="H206" s="6"/>
      <c r="I206" s="6"/>
    </row>
    <row r="207" spans="1:9" x14ac:dyDescent="0.25">
      <c r="A207" t="s">
        <v>3509</v>
      </c>
      <c r="B207" s="17"/>
      <c r="C207" s="17"/>
      <c r="D207" s="25"/>
      <c r="E207" s="24"/>
      <c r="F207" s="6"/>
      <c r="G207" s="6"/>
      <c r="H207" s="6"/>
      <c r="I207" s="6"/>
    </row>
    <row r="208" spans="1:9" x14ac:dyDescent="0.25">
      <c r="A208" t="s">
        <v>3510</v>
      </c>
      <c r="B208" s="17"/>
      <c r="C208" s="17"/>
      <c r="D208" s="25"/>
      <c r="E208" s="24"/>
      <c r="F208" s="6"/>
      <c r="G208" s="6"/>
      <c r="H208" s="6"/>
      <c r="I208" s="6"/>
    </row>
    <row r="209" spans="1:9" x14ac:dyDescent="0.25">
      <c r="A209" t="s">
        <v>3511</v>
      </c>
      <c r="B209" s="17"/>
      <c r="C209" s="17"/>
      <c r="D209" s="25"/>
      <c r="E209" s="24"/>
      <c r="F209" s="6"/>
      <c r="G209" s="6"/>
      <c r="H209" s="6"/>
      <c r="I209" s="6"/>
    </row>
    <row r="210" spans="1:9" x14ac:dyDescent="0.25">
      <c r="A210" t="s">
        <v>3512</v>
      </c>
      <c r="B210" s="17"/>
      <c r="C210" s="17"/>
      <c r="D210" s="25"/>
      <c r="E210" s="24"/>
      <c r="F210" s="6"/>
      <c r="G210" s="6"/>
      <c r="H210" s="6"/>
      <c r="I210" s="6"/>
    </row>
    <row r="211" spans="1:9" x14ac:dyDescent="0.25">
      <c r="A211" t="s">
        <v>3513</v>
      </c>
      <c r="B211" s="17"/>
      <c r="C211" s="17"/>
      <c r="D211" s="25"/>
      <c r="E211" s="24"/>
      <c r="F211" s="6"/>
      <c r="G211" s="6"/>
      <c r="H211" s="6"/>
      <c r="I211" s="6"/>
    </row>
    <row r="212" spans="1:9" s="1443" customFormat="1" ht="15.75" x14ac:dyDescent="0.25">
      <c r="A212" t="s">
        <v>3522</v>
      </c>
      <c r="B212" s="164"/>
      <c r="C212" s="164"/>
      <c r="D212" s="1580"/>
      <c r="E212" s="1581"/>
      <c r="F212" s="1582"/>
      <c r="G212" s="1582"/>
      <c r="H212" s="1582"/>
      <c r="I212" s="1582"/>
    </row>
    <row r="213" spans="1:9" s="1443" customFormat="1" ht="15" customHeight="1" x14ac:dyDescent="0.25">
      <c r="A213" t="s">
        <v>3514</v>
      </c>
      <c r="B213" s="164"/>
      <c r="C213" s="164"/>
      <c r="D213" s="1580"/>
      <c r="E213" s="1581"/>
      <c r="F213" s="1582"/>
      <c r="G213" s="1582"/>
      <c r="H213" s="1582"/>
      <c r="I213" s="1582"/>
    </row>
    <row r="214" spans="1:9" s="1443" customFormat="1" ht="15" customHeight="1" x14ac:dyDescent="0.25">
      <c r="A214" t="s">
        <v>3515</v>
      </c>
      <c r="B214" s="164"/>
      <c r="C214" s="164"/>
      <c r="D214" s="1580"/>
      <c r="E214" s="1581"/>
      <c r="F214" s="1582"/>
      <c r="G214" s="1582"/>
      <c r="H214" s="1582"/>
      <c r="I214" s="1582"/>
    </row>
    <row r="215" spans="1:9" x14ac:dyDescent="0.25">
      <c r="B215" s="17"/>
      <c r="C215" s="17"/>
      <c r="D215" s="25"/>
      <c r="E215" s="24"/>
      <c r="F215" s="6"/>
      <c r="G215" s="6"/>
      <c r="H215" s="6"/>
      <c r="I215" s="6"/>
    </row>
    <row r="216" spans="1:9" ht="15.75" x14ac:dyDescent="0.25">
      <c r="A216" s="1443" t="s">
        <v>1272</v>
      </c>
      <c r="B216" s="17"/>
      <c r="C216" s="17"/>
      <c r="D216" s="25"/>
      <c r="E216" s="24"/>
      <c r="F216" s="6"/>
      <c r="G216" s="6"/>
      <c r="H216" s="6"/>
      <c r="I216" s="6"/>
    </row>
    <row r="217" spans="1:9" x14ac:dyDescent="0.25">
      <c r="A217" t="s">
        <v>976</v>
      </c>
      <c r="B217" s="17"/>
      <c r="C217" s="17"/>
      <c r="D217" s="25"/>
      <c r="E217" s="24"/>
      <c r="F217" s="6"/>
      <c r="G217" s="6"/>
      <c r="H217" s="6"/>
      <c r="I217" s="6"/>
    </row>
    <row r="218" spans="1:9" x14ac:dyDescent="0.25">
      <c r="A218" t="s">
        <v>1181</v>
      </c>
      <c r="B218" s="17"/>
      <c r="C218" s="17"/>
      <c r="D218" s="25"/>
      <c r="E218" s="24"/>
      <c r="F218" s="6"/>
      <c r="G218" s="6"/>
      <c r="H218" s="6"/>
      <c r="I218" s="6"/>
    </row>
    <row r="219" spans="1:9" x14ac:dyDescent="0.25">
      <c r="A219" t="s">
        <v>3174</v>
      </c>
      <c r="B219" s="17"/>
      <c r="C219" s="17"/>
      <c r="D219" s="25"/>
      <c r="E219" s="24"/>
      <c r="F219" s="6"/>
      <c r="G219" s="6"/>
      <c r="H219" s="6"/>
      <c r="I219" s="6"/>
    </row>
    <row r="220" spans="1:9" x14ac:dyDescent="0.25">
      <c r="A220" t="s">
        <v>3175</v>
      </c>
      <c r="B220" s="17"/>
      <c r="C220" s="17"/>
      <c r="D220" s="25"/>
      <c r="E220" s="24"/>
      <c r="F220" s="6"/>
      <c r="G220" s="6"/>
      <c r="H220" s="6"/>
      <c r="I220" s="6"/>
    </row>
    <row r="221" spans="1:9" x14ac:dyDescent="0.25">
      <c r="A221" t="s">
        <v>3176</v>
      </c>
      <c r="B221" s="17"/>
      <c r="C221" s="17"/>
      <c r="D221" s="25"/>
      <c r="E221" s="24"/>
      <c r="F221" s="6"/>
      <c r="G221" s="6"/>
      <c r="H221" s="6"/>
      <c r="I221" s="6"/>
    </row>
    <row r="222" spans="1:9" x14ac:dyDescent="0.25">
      <c r="A222" t="s">
        <v>3560</v>
      </c>
      <c r="B222" s="17"/>
      <c r="C222" s="17"/>
      <c r="D222" s="25"/>
      <c r="E222" s="24"/>
      <c r="F222" s="6"/>
      <c r="G222" s="6"/>
      <c r="H222" s="6"/>
      <c r="I222" s="6"/>
    </row>
    <row r="223" spans="1:9" s="1443" customFormat="1" ht="15.75" x14ac:dyDescent="0.25">
      <c r="A223" t="s">
        <v>3177</v>
      </c>
      <c r="B223" s="164"/>
      <c r="C223" s="164"/>
      <c r="D223" s="1580"/>
      <c r="E223" s="1581"/>
      <c r="F223" s="1582"/>
      <c r="G223" s="1582"/>
      <c r="H223" s="1582"/>
      <c r="I223" s="1582"/>
    </row>
    <row r="224" spans="1:9" x14ac:dyDescent="0.25">
      <c r="B224" s="17"/>
      <c r="C224" s="17"/>
      <c r="D224" s="25"/>
      <c r="E224" s="24"/>
      <c r="F224" s="6"/>
      <c r="G224" s="6"/>
      <c r="H224" s="6"/>
      <c r="I224" s="6"/>
    </row>
    <row r="225" spans="1:9" ht="15.75" x14ac:dyDescent="0.25">
      <c r="A225" s="1443" t="s">
        <v>3072</v>
      </c>
      <c r="B225" s="17"/>
      <c r="C225" s="17"/>
      <c r="D225" s="25"/>
      <c r="E225" s="24"/>
      <c r="F225" s="6"/>
      <c r="G225" s="6"/>
      <c r="H225" s="6"/>
      <c r="I225" s="6"/>
    </row>
    <row r="226" spans="1:9" x14ac:dyDescent="0.25">
      <c r="A226" t="s">
        <v>3016</v>
      </c>
      <c r="B226" s="17"/>
      <c r="C226" s="17"/>
      <c r="D226" s="25"/>
      <c r="E226" s="24"/>
      <c r="F226" s="6"/>
      <c r="G226" s="6"/>
      <c r="H226" s="6"/>
      <c r="I226" s="6"/>
    </row>
    <row r="227" spans="1:9" x14ac:dyDescent="0.25">
      <c r="A227" t="s">
        <v>3178</v>
      </c>
      <c r="B227" s="17"/>
      <c r="C227" s="17"/>
      <c r="D227" s="25"/>
      <c r="E227" s="24"/>
      <c r="F227" s="6"/>
      <c r="G227" s="6"/>
      <c r="H227" s="6"/>
      <c r="I227" s="6"/>
    </row>
    <row r="228" spans="1:9" x14ac:dyDescent="0.25">
      <c r="A228" t="s">
        <v>3179</v>
      </c>
      <c r="B228" s="17"/>
      <c r="C228" s="17"/>
      <c r="D228" s="25"/>
      <c r="E228" s="24"/>
      <c r="F228" s="6"/>
      <c r="G228" s="6"/>
      <c r="H228" s="6"/>
      <c r="I228" s="6"/>
    </row>
    <row r="229" spans="1:9" x14ac:dyDescent="0.25">
      <c r="A229" t="s">
        <v>3180</v>
      </c>
      <c r="B229" s="17"/>
      <c r="C229" s="17"/>
      <c r="D229" s="25"/>
      <c r="E229" s="24"/>
      <c r="F229" s="6"/>
      <c r="G229" s="6"/>
      <c r="H229" s="6"/>
      <c r="I229" s="6"/>
    </row>
    <row r="230" spans="1:9" x14ac:dyDescent="0.25">
      <c r="B230" s="17"/>
      <c r="C230" s="17"/>
      <c r="D230" s="25"/>
      <c r="E230" s="24"/>
      <c r="F230" s="6"/>
      <c r="G230" s="6"/>
      <c r="H230" s="6"/>
      <c r="I230" s="6"/>
    </row>
    <row r="231" spans="1:9" ht="15.75" x14ac:dyDescent="0.25">
      <c r="A231" s="1443" t="s">
        <v>3107</v>
      </c>
      <c r="B231" s="17"/>
      <c r="C231" s="17"/>
      <c r="D231" s="25"/>
      <c r="E231" s="24"/>
      <c r="F231" s="6"/>
      <c r="G231" s="6"/>
      <c r="H231" s="6"/>
      <c r="I231" s="6"/>
    </row>
    <row r="232" spans="1:9" x14ac:dyDescent="0.25">
      <c r="A232" t="s">
        <v>3017</v>
      </c>
      <c r="B232" s="17"/>
      <c r="C232" s="17"/>
      <c r="D232" s="25"/>
      <c r="E232" s="24"/>
      <c r="F232" s="6"/>
      <c r="G232" s="6"/>
      <c r="H232" s="6"/>
      <c r="I232" s="6"/>
    </row>
    <row r="233" spans="1:9" x14ac:dyDescent="0.25">
      <c r="A233" t="s">
        <v>3561</v>
      </c>
      <c r="B233" s="17"/>
      <c r="C233" s="17"/>
      <c r="D233" s="25"/>
      <c r="E233" s="24"/>
      <c r="F233" s="6"/>
      <c r="G233" s="6"/>
      <c r="H233" s="6"/>
      <c r="I233" s="6"/>
    </row>
    <row r="234" spans="1:9" x14ac:dyDescent="0.25">
      <c r="A234" t="s">
        <v>3523</v>
      </c>
      <c r="B234" s="17"/>
      <c r="C234" s="17"/>
      <c r="D234" s="25"/>
      <c r="E234" s="24"/>
      <c r="F234" s="6"/>
      <c r="G234" s="6"/>
      <c r="H234" s="6"/>
      <c r="I234" s="6"/>
    </row>
    <row r="235" spans="1:9" x14ac:dyDescent="0.25">
      <c r="A235" t="s">
        <v>3524</v>
      </c>
      <c r="B235" s="17"/>
      <c r="C235" s="17"/>
      <c r="D235" s="25"/>
      <c r="E235" s="24"/>
      <c r="F235" s="6"/>
      <c r="G235" s="6"/>
      <c r="H235" s="6"/>
      <c r="I235" s="6"/>
    </row>
    <row r="236" spans="1:9" x14ac:dyDescent="0.25">
      <c r="A236" t="s">
        <v>3018</v>
      </c>
      <c r="B236" s="17"/>
      <c r="C236" s="17"/>
      <c r="D236" s="25"/>
      <c r="E236" s="24"/>
      <c r="F236" s="6"/>
      <c r="G236" s="6"/>
      <c r="H236" s="6"/>
      <c r="I236" s="6"/>
    </row>
    <row r="237" spans="1:9" x14ac:dyDescent="0.25">
      <c r="A237" t="s">
        <v>3526</v>
      </c>
      <c r="B237" s="17"/>
      <c r="C237" s="17"/>
      <c r="D237" s="25"/>
      <c r="E237" s="24"/>
      <c r="F237" s="6"/>
      <c r="G237" s="6"/>
      <c r="H237" s="6"/>
      <c r="I237" s="6"/>
    </row>
    <row r="238" spans="1:9" x14ac:dyDescent="0.25">
      <c r="A238" t="s">
        <v>3525</v>
      </c>
      <c r="B238" s="17"/>
      <c r="C238" s="17"/>
      <c r="D238" s="25"/>
      <c r="E238" s="24"/>
      <c r="F238" s="6"/>
      <c r="G238" s="6"/>
      <c r="H238" s="6"/>
      <c r="I238" s="6"/>
    </row>
    <row r="239" spans="1:9" x14ac:dyDescent="0.25">
      <c r="A239" t="s">
        <v>3562</v>
      </c>
      <c r="B239" s="17"/>
      <c r="C239" s="17"/>
      <c r="D239" s="25"/>
      <c r="E239" s="24"/>
      <c r="F239" s="6"/>
      <c r="G239" s="6"/>
      <c r="H239" s="6"/>
      <c r="I239" s="6"/>
    </row>
    <row r="240" spans="1:9" x14ac:dyDescent="0.25">
      <c r="B240" s="17"/>
      <c r="C240" s="17"/>
      <c r="D240" s="25"/>
      <c r="E240" s="24"/>
      <c r="F240" s="6"/>
      <c r="G240" s="6"/>
      <c r="H240" s="6"/>
      <c r="I240" s="6"/>
    </row>
    <row r="241" spans="1:9" x14ac:dyDescent="0.25">
      <c r="B241" s="17"/>
      <c r="C241" s="17"/>
      <c r="D241" s="25"/>
      <c r="E241" s="24"/>
      <c r="F241" s="6"/>
      <c r="G241" s="6"/>
      <c r="H241" s="6"/>
      <c r="I241" s="6"/>
    </row>
    <row r="242" spans="1:9" ht="18.75" x14ac:dyDescent="0.3">
      <c r="A242" s="94" t="s">
        <v>975</v>
      </c>
      <c r="B242" s="17"/>
      <c r="C242" s="17"/>
      <c r="D242" s="25"/>
      <c r="E242" s="24"/>
      <c r="F242" s="6"/>
      <c r="G242" s="6"/>
      <c r="H242" s="6"/>
      <c r="I242" s="6"/>
    </row>
    <row r="243" spans="1:9" ht="15.75" x14ac:dyDescent="0.25">
      <c r="A243" s="1317" t="s">
        <v>3181</v>
      </c>
      <c r="B243" s="3"/>
      <c r="C243" s="3"/>
      <c r="D243" s="25"/>
      <c r="E243" s="24"/>
      <c r="F243" s="6"/>
      <c r="G243" s="6"/>
      <c r="H243" s="6"/>
      <c r="I243" s="6"/>
    </row>
    <row r="244" spans="1:9" x14ac:dyDescent="0.25">
      <c r="A244" s="1317" t="s">
        <v>3182</v>
      </c>
      <c r="B244" s="3"/>
      <c r="C244" s="3"/>
      <c r="D244" s="25"/>
      <c r="E244" s="24"/>
      <c r="F244" s="6"/>
      <c r="G244" s="6"/>
      <c r="H244" s="6"/>
      <c r="I244" s="6"/>
    </row>
    <row r="245" spans="1:9" x14ac:dyDescent="0.25">
      <c r="A245" s="1317" t="s">
        <v>3183</v>
      </c>
      <c r="B245" s="3"/>
      <c r="C245" s="3"/>
      <c r="D245" s="25"/>
      <c r="E245" s="24"/>
      <c r="F245" s="6"/>
      <c r="G245" s="6"/>
      <c r="H245" s="6"/>
      <c r="I245" s="6"/>
    </row>
    <row r="246" spans="1:9" x14ac:dyDescent="0.25">
      <c r="A246" s="1317" t="s">
        <v>3238</v>
      </c>
      <c r="B246" s="3"/>
      <c r="C246" s="3"/>
      <c r="D246" s="25"/>
      <c r="E246" s="24"/>
      <c r="F246" s="6"/>
      <c r="G246" s="6"/>
      <c r="H246" s="6"/>
      <c r="I246" s="6"/>
    </row>
    <row r="247" spans="1:9" x14ac:dyDescent="0.25">
      <c r="A247" s="1317"/>
      <c r="B247" s="17"/>
      <c r="C247" s="17"/>
      <c r="D247" s="25"/>
      <c r="E247" s="24"/>
      <c r="F247" s="6"/>
      <c r="G247" s="6"/>
      <c r="H247" s="937"/>
      <c r="I247" s="6"/>
    </row>
    <row r="248" spans="1:9" s="1443" customFormat="1" ht="15.75" x14ac:dyDescent="0.25">
      <c r="A248" s="221" t="s">
        <v>3527</v>
      </c>
      <c r="B248" s="164"/>
      <c r="C248" s="164"/>
      <c r="D248" s="1580"/>
      <c r="E248" s="1581"/>
      <c r="F248" s="1582"/>
      <c r="G248" s="1582"/>
      <c r="H248" s="1582"/>
      <c r="I248" s="1582"/>
    </row>
    <row r="249" spans="1:9" x14ac:dyDescent="0.25">
      <c r="A249" s="1317" t="s">
        <v>3184</v>
      </c>
      <c r="B249" s="17"/>
      <c r="C249" s="17"/>
      <c r="D249" s="25"/>
      <c r="E249" s="24"/>
      <c r="F249" s="6"/>
      <c r="G249" s="6"/>
      <c r="H249" s="6"/>
      <c r="I249" s="6"/>
    </row>
    <row r="250" spans="1:9" x14ac:dyDescent="0.25">
      <c r="A250" s="1317" t="s">
        <v>3061</v>
      </c>
      <c r="B250" s="17"/>
      <c r="C250" s="17"/>
      <c r="D250" s="25"/>
      <c r="E250" s="24"/>
      <c r="F250" s="6"/>
      <c r="G250" s="6"/>
      <c r="H250" s="6"/>
      <c r="I250" s="6"/>
    </row>
    <row r="251" spans="1:9" x14ac:dyDescent="0.25">
      <c r="A251" s="1317" t="s">
        <v>3185</v>
      </c>
      <c r="B251" s="17"/>
      <c r="C251" s="17"/>
      <c r="D251" s="25"/>
      <c r="E251" s="24"/>
      <c r="F251" s="6"/>
      <c r="G251" s="6"/>
      <c r="H251" s="6"/>
      <c r="I251" s="6"/>
    </row>
    <row r="252" spans="1:9" x14ac:dyDescent="0.25">
      <c r="A252" s="1317" t="s">
        <v>3186</v>
      </c>
      <c r="B252" s="17"/>
      <c r="C252" s="17"/>
      <c r="D252" s="25"/>
      <c r="E252" s="24"/>
      <c r="F252" s="6"/>
      <c r="G252" s="6"/>
      <c r="H252" s="6"/>
      <c r="I252" s="6"/>
    </row>
    <row r="253" spans="1:9" x14ac:dyDescent="0.25">
      <c r="A253" s="1317"/>
      <c r="B253" s="17"/>
      <c r="C253" s="17"/>
      <c r="D253" s="25"/>
      <c r="E253" s="24"/>
      <c r="F253" s="6"/>
      <c r="G253" s="6"/>
      <c r="H253" s="6"/>
      <c r="I253" s="6"/>
    </row>
    <row r="254" spans="1:9" ht="15.75" x14ac:dyDescent="0.25">
      <c r="A254" s="221" t="s">
        <v>3187</v>
      </c>
      <c r="B254" s="17"/>
      <c r="C254" s="17"/>
      <c r="D254" s="25"/>
      <c r="E254" s="24"/>
      <c r="F254" s="6"/>
      <c r="G254" s="6"/>
      <c r="H254" s="6"/>
      <c r="I254" s="6"/>
    </row>
    <row r="255" spans="1:9" x14ac:dyDescent="0.25">
      <c r="A255" s="1317" t="s">
        <v>3528</v>
      </c>
      <c r="B255" s="17"/>
      <c r="C255" s="17"/>
      <c r="D255" s="25"/>
      <c r="E255" s="24"/>
      <c r="F255" s="6"/>
      <c r="G255" s="6"/>
      <c r="H255" s="6"/>
      <c r="I255" s="6"/>
    </row>
    <row r="256" spans="1:9" x14ac:dyDescent="0.25">
      <c r="A256" t="s">
        <v>918</v>
      </c>
      <c r="B256" s="17"/>
      <c r="C256" s="17"/>
      <c r="D256" s="25"/>
      <c r="E256" s="24"/>
      <c r="F256" s="6"/>
      <c r="G256" s="6"/>
      <c r="H256" s="6"/>
      <c r="I256" s="6"/>
    </row>
    <row r="257" spans="1:9" x14ac:dyDescent="0.25">
      <c r="B257" s="17"/>
      <c r="C257" s="17"/>
      <c r="D257" s="25"/>
      <c r="E257" s="24"/>
      <c r="F257" s="6"/>
      <c r="G257" s="6"/>
      <c r="H257" s="6"/>
      <c r="I257" s="6"/>
    </row>
    <row r="258" spans="1:9" ht="15.75" x14ac:dyDescent="0.25">
      <c r="A258" s="221" t="s">
        <v>3073</v>
      </c>
      <c r="B258" s="17"/>
      <c r="C258" s="17"/>
      <c r="D258" s="25"/>
      <c r="E258" s="24"/>
      <c r="F258" s="6"/>
      <c r="G258" s="6"/>
      <c r="H258" s="6"/>
      <c r="I258" s="6"/>
    </row>
    <row r="259" spans="1:9" x14ac:dyDescent="0.25">
      <c r="A259" s="1317" t="s">
        <v>3529</v>
      </c>
      <c r="B259" s="17"/>
      <c r="C259" s="17"/>
      <c r="D259" s="25"/>
      <c r="E259" s="24"/>
      <c r="F259" s="6"/>
      <c r="G259" s="6"/>
      <c r="H259" s="6"/>
      <c r="I259" s="6"/>
    </row>
    <row r="260" spans="1:9" x14ac:dyDescent="0.25">
      <c r="A260" s="1317" t="s">
        <v>3188</v>
      </c>
      <c r="B260" s="17"/>
      <c r="C260" s="17"/>
      <c r="D260" s="25"/>
      <c r="E260" s="24"/>
      <c r="F260" s="6"/>
      <c r="G260" s="6"/>
      <c r="H260" s="6"/>
      <c r="I260" s="6"/>
    </row>
    <row r="261" spans="1:9" x14ac:dyDescent="0.25">
      <c r="A261" s="1317" t="s">
        <v>3189</v>
      </c>
      <c r="B261" s="17"/>
      <c r="C261" s="17"/>
      <c r="D261" s="25"/>
      <c r="E261" s="24"/>
      <c r="F261" s="6"/>
      <c r="G261" s="6"/>
      <c r="H261" s="6"/>
      <c r="I261" s="6"/>
    </row>
    <row r="262" spans="1:9" x14ac:dyDescent="0.25">
      <c r="A262" s="1317"/>
      <c r="B262" s="17"/>
      <c r="C262" s="17"/>
      <c r="D262" s="25"/>
      <c r="E262" s="24"/>
      <c r="F262" s="6"/>
      <c r="G262" s="6"/>
      <c r="H262" s="6"/>
      <c r="I262" s="6"/>
    </row>
    <row r="263" spans="1:9" ht="15.75" x14ac:dyDescent="0.25">
      <c r="A263" s="221" t="s">
        <v>3530</v>
      </c>
      <c r="B263" s="17"/>
      <c r="C263" s="17"/>
      <c r="D263" s="25"/>
      <c r="E263" s="24"/>
      <c r="F263" s="6"/>
      <c r="G263" s="6"/>
      <c r="H263" s="6"/>
      <c r="I263" s="6"/>
    </row>
    <row r="264" spans="1:9" x14ac:dyDescent="0.25">
      <c r="A264" s="1317" t="s">
        <v>3531</v>
      </c>
      <c r="B264" s="17"/>
      <c r="D264" s="25"/>
      <c r="E264" s="24"/>
      <c r="F264" s="6"/>
      <c r="G264" s="6"/>
      <c r="H264" s="6"/>
      <c r="I264" s="6"/>
    </row>
    <row r="265" spans="1:9" x14ac:dyDescent="0.25">
      <c r="A265" s="1317" t="s">
        <v>3190</v>
      </c>
      <c r="B265" s="17"/>
      <c r="D265" s="25"/>
      <c r="E265" s="24"/>
      <c r="F265" s="6"/>
      <c r="G265" s="6"/>
      <c r="H265" s="6"/>
      <c r="I265" s="6"/>
    </row>
    <row r="266" spans="1:9" x14ac:dyDescent="0.25">
      <c r="A266" s="1317" t="s">
        <v>3532</v>
      </c>
      <c r="B266" s="17"/>
      <c r="D266" s="25"/>
      <c r="E266" s="24"/>
      <c r="F266" s="6"/>
      <c r="G266" s="6"/>
      <c r="H266" s="6"/>
      <c r="I266" s="6"/>
    </row>
    <row r="267" spans="1:9" x14ac:dyDescent="0.25">
      <c r="A267" s="1317"/>
      <c r="B267" s="17"/>
      <c r="D267" s="25"/>
      <c r="E267" s="24"/>
      <c r="F267" s="6"/>
      <c r="G267" s="6"/>
      <c r="H267" s="6"/>
      <c r="I267" s="6"/>
    </row>
    <row r="268" spans="1:9" x14ac:dyDescent="0.25">
      <c r="A268" s="1317" t="s">
        <v>3237</v>
      </c>
      <c r="B268" s="17"/>
      <c r="D268" s="25"/>
      <c r="E268" s="24"/>
      <c r="F268" s="6"/>
      <c r="G268" s="6"/>
      <c r="H268" s="6"/>
      <c r="I268" s="6"/>
    </row>
    <row r="269" spans="1:9" x14ac:dyDescent="0.25">
      <c r="A269" s="1317"/>
      <c r="B269" s="17"/>
      <c r="D269" s="25"/>
      <c r="E269" s="24"/>
      <c r="F269" s="6"/>
      <c r="G269" s="6"/>
      <c r="H269" s="6"/>
      <c r="I269" s="6"/>
    </row>
    <row r="270" spans="1:9" x14ac:dyDescent="0.25">
      <c r="A270" s="1317"/>
      <c r="B270" s="17"/>
      <c r="D270" s="25"/>
      <c r="E270" s="24"/>
      <c r="F270" s="6"/>
      <c r="G270" s="6"/>
      <c r="H270" s="6"/>
      <c r="I270" s="6"/>
    </row>
    <row r="271" spans="1:9" ht="18.75" x14ac:dyDescent="0.3">
      <c r="A271" s="3636" t="s">
        <v>3084</v>
      </c>
      <c r="B271" s="17"/>
      <c r="D271" s="25"/>
      <c r="E271" s="24"/>
      <c r="F271" s="6"/>
      <c r="G271" s="6"/>
      <c r="H271" s="6"/>
      <c r="I271" s="6"/>
    </row>
    <row r="272" spans="1:9" ht="15.75" x14ac:dyDescent="0.25">
      <c r="A272" s="767" t="s">
        <v>3062</v>
      </c>
      <c r="B272" s="17"/>
      <c r="D272" s="25"/>
      <c r="E272" s="24"/>
      <c r="F272" s="6"/>
      <c r="G272" s="6"/>
      <c r="H272" s="6"/>
      <c r="I272" s="6"/>
    </row>
    <row r="273" spans="1:9" ht="15.75" x14ac:dyDescent="0.25">
      <c r="A273" s="767" t="s">
        <v>3063</v>
      </c>
      <c r="B273" s="17"/>
      <c r="D273" s="25"/>
      <c r="E273" s="24"/>
      <c r="F273" s="6"/>
      <c r="G273" s="6"/>
      <c r="H273" s="6"/>
      <c r="I273" s="6"/>
    </row>
    <row r="274" spans="1:9" ht="15.75" x14ac:dyDescent="0.25">
      <c r="A274" s="767"/>
      <c r="B274" s="17"/>
      <c r="D274" s="25"/>
      <c r="E274" s="24"/>
      <c r="F274" s="6"/>
      <c r="G274" s="6"/>
      <c r="H274" s="6"/>
      <c r="I274" s="6"/>
    </row>
    <row r="275" spans="1:9" x14ac:dyDescent="0.25">
      <c r="A275" s="1317" t="s">
        <v>965</v>
      </c>
      <c r="B275" s="17"/>
      <c r="D275" s="25"/>
      <c r="E275" s="1053" t="s">
        <v>3533</v>
      </c>
      <c r="F275" s="6"/>
      <c r="G275" s="6"/>
      <c r="H275" s="6"/>
      <c r="I275" s="6"/>
    </row>
    <row r="276" spans="1:9" x14ac:dyDescent="0.25">
      <c r="A276" s="1317" t="s">
        <v>1729</v>
      </c>
      <c r="B276" s="3"/>
      <c r="C276" s="978" t="s">
        <v>1730</v>
      </c>
      <c r="D276" s="2101"/>
      <c r="E276" s="1053" t="s">
        <v>3534</v>
      </c>
      <c r="F276" s="6"/>
      <c r="G276" s="6"/>
      <c r="H276" s="6"/>
      <c r="I276" s="6"/>
    </row>
    <row r="277" spans="1:9" x14ac:dyDescent="0.25">
      <c r="A277" s="1317"/>
      <c r="B277" s="3"/>
      <c r="D277" s="25"/>
      <c r="E277" s="24"/>
      <c r="F277" s="6"/>
      <c r="G277" s="6"/>
      <c r="H277" s="6"/>
      <c r="I277" s="6"/>
    </row>
    <row r="278" spans="1:9" x14ac:dyDescent="0.25">
      <c r="A278" s="1317" t="s">
        <v>3064</v>
      </c>
      <c r="B278" s="3"/>
      <c r="D278" s="1396"/>
      <c r="E278" s="1053" t="s">
        <v>3533</v>
      </c>
      <c r="F278" s="6"/>
      <c r="G278" s="6"/>
      <c r="H278" s="6"/>
      <c r="I278" s="6"/>
    </row>
    <row r="279" spans="1:9" x14ac:dyDescent="0.25">
      <c r="A279" s="91"/>
      <c r="B279" s="17"/>
      <c r="D279" s="25"/>
      <c r="E279" s="24"/>
      <c r="F279" s="6"/>
      <c r="G279" s="6"/>
      <c r="H279" s="6"/>
      <c r="I279" s="6"/>
    </row>
    <row r="280" spans="1:9" x14ac:dyDescent="0.25">
      <c r="A280" s="1296" t="s">
        <v>2738</v>
      </c>
      <c r="B280" s="643"/>
      <c r="C280" s="935"/>
      <c r="D280" s="25"/>
      <c r="E280" s="1053"/>
      <c r="F280" s="66"/>
      <c r="G280" s="6"/>
      <c r="H280" s="6"/>
      <c r="I280" s="6"/>
    </row>
    <row r="281" spans="1:9" x14ac:dyDescent="0.25">
      <c r="A281" s="1296" t="s">
        <v>872</v>
      </c>
      <c r="B281" s="643"/>
      <c r="C281" s="1025" t="s">
        <v>870</v>
      </c>
      <c r="D281" s="1404"/>
      <c r="E281" s="1053" t="s">
        <v>3535</v>
      </c>
      <c r="F281" s="66"/>
      <c r="G281" s="6"/>
      <c r="H281" s="6"/>
      <c r="I281" s="6"/>
    </row>
    <row r="282" spans="1:9" x14ac:dyDescent="0.25">
      <c r="A282" s="1317" t="s">
        <v>3191</v>
      </c>
      <c r="B282" s="17"/>
      <c r="D282" s="25"/>
      <c r="E282" s="24"/>
      <c r="F282" s="6"/>
      <c r="G282" s="6"/>
      <c r="H282" s="6"/>
      <c r="I282" s="6"/>
    </row>
    <row r="283" spans="1:9" s="6" customFormat="1" x14ac:dyDescent="0.25">
      <c r="A283" s="64"/>
      <c r="B283" s="17"/>
      <c r="D283" s="25"/>
      <c r="E283" s="24"/>
    </row>
    <row r="284" spans="1:9" x14ac:dyDescent="0.25">
      <c r="A284" s="754" t="s">
        <v>325</v>
      </c>
      <c r="B284" s="643"/>
      <c r="C284" s="935" t="s">
        <v>1103</v>
      </c>
      <c r="D284" s="1391"/>
      <c r="E284" s="1053" t="s">
        <v>3536</v>
      </c>
      <c r="F284" s="66"/>
      <c r="G284" s="6"/>
      <c r="H284" s="6"/>
      <c r="I284" s="6"/>
    </row>
    <row r="285" spans="1:9" x14ac:dyDescent="0.25">
      <c r="A285" s="1317" t="s">
        <v>3192</v>
      </c>
      <c r="B285" s="643"/>
      <c r="C285" s="935"/>
      <c r="D285" s="1093"/>
      <c r="E285" s="1053"/>
      <c r="F285" s="66"/>
      <c r="G285" s="6"/>
      <c r="H285" s="6"/>
      <c r="I285" s="6"/>
    </row>
    <row r="286" spans="1:9" x14ac:dyDescent="0.25">
      <c r="B286" s="17"/>
      <c r="C286" s="17"/>
      <c r="D286" s="25"/>
      <c r="E286" s="24"/>
      <c r="F286" s="6"/>
      <c r="G286" s="6"/>
      <c r="H286" s="6"/>
      <c r="I286" s="6"/>
    </row>
    <row r="287" spans="1:9" x14ac:dyDescent="0.25">
      <c r="A287" s="588" t="s">
        <v>324</v>
      </c>
      <c r="B287" s="17"/>
      <c r="C287" s="935" t="s">
        <v>1104</v>
      </c>
      <c r="D287" s="1392"/>
      <c r="E287" s="1053" t="s">
        <v>3537</v>
      </c>
      <c r="F287" s="6"/>
      <c r="G287" s="6"/>
      <c r="H287" s="6"/>
      <c r="I287" s="6"/>
    </row>
    <row r="288" spans="1:9" x14ac:dyDescent="0.25">
      <c r="A288" s="588"/>
      <c r="B288" s="17"/>
      <c r="C288" s="935" t="s">
        <v>1105</v>
      </c>
      <c r="D288" s="1392"/>
      <c r="E288" s="1053" t="s">
        <v>3538</v>
      </c>
      <c r="F288" s="6"/>
      <c r="G288" s="6"/>
      <c r="H288" s="6"/>
      <c r="I288" s="6"/>
    </row>
    <row r="289" spans="1:11" x14ac:dyDescent="0.25">
      <c r="A289" s="588"/>
      <c r="B289" s="17"/>
      <c r="C289" s="935" t="s">
        <v>1106</v>
      </c>
      <c r="D289" s="1392"/>
      <c r="E289" s="1053" t="s">
        <v>3539</v>
      </c>
      <c r="F289" s="6"/>
      <c r="G289" s="6"/>
      <c r="H289" s="6"/>
      <c r="I289" s="6"/>
    </row>
    <row r="290" spans="1:11" x14ac:dyDescent="0.25">
      <c r="A290" s="588"/>
      <c r="B290" s="17"/>
      <c r="C290" s="935"/>
      <c r="D290" s="25"/>
      <c r="E290" s="24"/>
      <c r="F290" s="6"/>
      <c r="G290" s="6"/>
      <c r="H290" s="6"/>
      <c r="I290" s="6"/>
    </row>
    <row r="291" spans="1:11" x14ac:dyDescent="0.25">
      <c r="A291" s="91" t="s">
        <v>131</v>
      </c>
      <c r="B291" s="643"/>
      <c r="C291" s="936"/>
      <c r="D291" s="25"/>
      <c r="E291" s="1052"/>
      <c r="F291" s="66"/>
      <c r="G291" s="6"/>
      <c r="H291" s="6"/>
      <c r="I291" s="6"/>
    </row>
    <row r="292" spans="1:11" ht="14.25" customHeight="1" x14ac:dyDescent="0.25">
      <c r="A292" s="754" t="s">
        <v>612</v>
      </c>
      <c r="C292" s="935" t="s">
        <v>1449</v>
      </c>
      <c r="D292" s="1393"/>
      <c r="E292" s="1053" t="s">
        <v>3540</v>
      </c>
      <c r="F292" s="66"/>
      <c r="G292" s="6"/>
      <c r="H292" s="6"/>
      <c r="I292" s="6"/>
    </row>
    <row r="293" spans="1:11" x14ac:dyDescent="0.25">
      <c r="C293" s="935" t="s">
        <v>2813</v>
      </c>
      <c r="D293" s="1393"/>
      <c r="E293" s="1053" t="s">
        <v>3541</v>
      </c>
      <c r="F293" s="66"/>
      <c r="G293" s="6"/>
      <c r="H293" s="6"/>
      <c r="I293" s="6"/>
    </row>
    <row r="294" spans="1:11" x14ac:dyDescent="0.25">
      <c r="A294" s="754"/>
      <c r="C294" s="935" t="s">
        <v>1450</v>
      </c>
      <c r="D294" s="1393"/>
      <c r="E294" s="1053" t="s">
        <v>3542</v>
      </c>
      <c r="F294" s="66"/>
      <c r="G294" s="6"/>
      <c r="H294" s="6"/>
      <c r="I294" s="6"/>
    </row>
    <row r="295" spans="1:11" x14ac:dyDescent="0.25">
      <c r="A295" s="754"/>
      <c r="C295" s="935" t="s">
        <v>1107</v>
      </c>
      <c r="D295" s="1393"/>
      <c r="E295" s="1053" t="s">
        <v>3543</v>
      </c>
      <c r="F295" s="66"/>
      <c r="G295" s="6"/>
      <c r="H295" s="6"/>
      <c r="I295" s="6"/>
    </row>
    <row r="296" spans="1:11" x14ac:dyDescent="0.25">
      <c r="A296" s="754"/>
      <c r="C296" s="935"/>
      <c r="D296" s="25"/>
      <c r="E296" s="1052"/>
      <c r="F296" s="66"/>
      <c r="G296" s="6"/>
      <c r="H296" s="6"/>
      <c r="I296" s="6"/>
    </row>
    <row r="297" spans="1:11" x14ac:dyDescent="0.25">
      <c r="A297" s="64" t="s">
        <v>733</v>
      </c>
      <c r="C297" s="935"/>
      <c r="D297" s="25"/>
      <c r="E297" s="1052"/>
      <c r="F297" s="66"/>
      <c r="G297" s="6"/>
      <c r="H297" s="6"/>
      <c r="I297" s="6"/>
    </row>
    <row r="298" spans="1:11" x14ac:dyDescent="0.25">
      <c r="A298" s="754" t="s">
        <v>613</v>
      </c>
      <c r="C298" s="937" t="s">
        <v>1108</v>
      </c>
      <c r="D298" s="1394"/>
      <c r="E298" s="1053" t="s">
        <v>3544</v>
      </c>
      <c r="F298" s="66"/>
      <c r="G298" s="6"/>
      <c r="H298" s="6"/>
      <c r="I298" s="6"/>
    </row>
    <row r="299" spans="1:11" ht="15.75" x14ac:dyDescent="0.25">
      <c r="A299" s="754"/>
      <c r="C299" s="937" t="s">
        <v>1100</v>
      </c>
      <c r="D299" s="1394"/>
      <c r="E299" s="1053" t="s">
        <v>3545</v>
      </c>
      <c r="F299" s="66"/>
      <c r="G299" s="6"/>
      <c r="H299" s="952"/>
      <c r="I299" s="33"/>
      <c r="J299" s="33"/>
      <c r="K299" s="953"/>
    </row>
    <row r="300" spans="1:11" x14ac:dyDescent="0.25">
      <c r="A300" s="754"/>
      <c r="C300" s="937" t="s">
        <v>1099</v>
      </c>
      <c r="D300" s="1394"/>
      <c r="E300" s="1053" t="s">
        <v>3546</v>
      </c>
      <c r="F300" s="66"/>
      <c r="G300" s="6"/>
      <c r="H300" s="6"/>
      <c r="I300" s="6"/>
    </row>
    <row r="301" spans="1:11" x14ac:dyDescent="0.25">
      <c r="A301" s="754"/>
      <c r="C301" s="937"/>
      <c r="D301" s="25"/>
      <c r="E301" s="1052"/>
      <c r="F301" s="66"/>
      <c r="G301" s="6"/>
      <c r="H301" s="6"/>
      <c r="I301" s="6"/>
    </row>
    <row r="302" spans="1:11" x14ac:dyDescent="0.25">
      <c r="A302" s="754" t="s">
        <v>132</v>
      </c>
      <c r="C302" s="827"/>
      <c r="D302" s="25"/>
      <c r="E302" s="1052"/>
      <c r="F302" s="66"/>
      <c r="G302" s="6"/>
      <c r="H302" s="6"/>
      <c r="I302" s="6"/>
    </row>
    <row r="303" spans="1:11" x14ac:dyDescent="0.25">
      <c r="A303" s="754" t="s">
        <v>614</v>
      </c>
      <c r="B303" s="643"/>
      <c r="C303" s="937" t="s">
        <v>1098</v>
      </c>
      <c r="D303" s="1395"/>
      <c r="E303" s="1053" t="s">
        <v>3547</v>
      </c>
      <c r="F303" s="66"/>
      <c r="G303" s="6"/>
      <c r="H303" s="6"/>
      <c r="I303" s="6"/>
    </row>
    <row r="304" spans="1:11" x14ac:dyDescent="0.25">
      <c r="B304" s="643"/>
      <c r="C304" s="937"/>
      <c r="D304" s="25"/>
      <c r="E304" s="1052"/>
      <c r="F304" s="66"/>
      <c r="G304" s="6"/>
      <c r="H304" s="6"/>
      <c r="I304" s="6"/>
    </row>
    <row r="305" spans="1:11" x14ac:dyDescent="0.25">
      <c r="A305" s="1296" t="s">
        <v>3193</v>
      </c>
      <c r="B305" s="643"/>
      <c r="C305" s="827"/>
      <c r="D305" s="25"/>
      <c r="E305" s="1052"/>
      <c r="F305" s="66"/>
      <c r="G305" s="6"/>
      <c r="H305" s="6"/>
      <c r="I305" s="6"/>
    </row>
    <row r="306" spans="1:11" x14ac:dyDescent="0.25">
      <c r="A306" s="1317" t="s">
        <v>734</v>
      </c>
      <c r="B306" s="643"/>
      <c r="C306" s="827"/>
      <c r="D306" s="25"/>
      <c r="E306" s="1052"/>
      <c r="F306" s="66"/>
      <c r="G306" s="6"/>
      <c r="H306" s="6"/>
      <c r="I306" s="6"/>
    </row>
    <row r="307" spans="1:11" x14ac:dyDescent="0.25">
      <c r="A307" s="1296" t="s">
        <v>1182</v>
      </c>
      <c r="B307" s="643"/>
      <c r="C307" s="935" t="s">
        <v>1097</v>
      </c>
      <c r="D307" s="1395"/>
      <c r="E307" s="1053" t="s">
        <v>3548</v>
      </c>
      <c r="F307" s="66"/>
      <c r="G307" s="6"/>
      <c r="H307" s="6"/>
      <c r="I307" s="6"/>
    </row>
    <row r="308" spans="1:11" x14ac:dyDescent="0.25">
      <c r="A308" s="754"/>
      <c r="B308" s="643"/>
      <c r="C308" s="935"/>
      <c r="D308" s="25"/>
      <c r="E308" s="1052"/>
      <c r="F308" s="66"/>
      <c r="G308" s="6"/>
      <c r="H308" s="6"/>
      <c r="I308" s="6"/>
    </row>
    <row r="309" spans="1:11" x14ac:dyDescent="0.25">
      <c r="A309" s="754" t="s">
        <v>328</v>
      </c>
      <c r="C309" s="827"/>
      <c r="D309" s="25"/>
      <c r="E309" s="1052"/>
      <c r="F309" s="66"/>
      <c r="G309" s="6"/>
      <c r="H309" s="6"/>
      <c r="I309" s="6"/>
    </row>
    <row r="310" spans="1:11" x14ac:dyDescent="0.25">
      <c r="A310" s="1317" t="s">
        <v>3550</v>
      </c>
      <c r="C310" s="827"/>
      <c r="D310" s="25"/>
      <c r="E310" s="1052"/>
      <c r="F310" s="66"/>
      <c r="G310" s="6"/>
      <c r="H310" s="6"/>
      <c r="I310" s="6"/>
    </row>
    <row r="311" spans="1:11" x14ac:dyDescent="0.25">
      <c r="A311" s="754" t="s">
        <v>329</v>
      </c>
      <c r="B311" s="643"/>
      <c r="C311" s="190" t="s">
        <v>1101</v>
      </c>
      <c r="D311" s="1392"/>
      <c r="E311" s="1053" t="s">
        <v>3549</v>
      </c>
      <c r="F311" s="66"/>
      <c r="G311" s="6"/>
      <c r="H311" s="6"/>
      <c r="I311" s="6"/>
    </row>
    <row r="312" spans="1:11" x14ac:dyDescent="0.25">
      <c r="A312" s="754"/>
      <c r="B312" s="643"/>
      <c r="C312" s="937"/>
      <c r="D312" s="25"/>
      <c r="E312" s="24"/>
      <c r="F312" s="6"/>
      <c r="G312" s="6"/>
      <c r="H312" s="6"/>
      <c r="I312" s="6"/>
    </row>
    <row r="313" spans="1:11" x14ac:dyDescent="0.25">
      <c r="A313" t="s">
        <v>33</v>
      </c>
      <c r="B313" s="17"/>
      <c r="C313" s="17"/>
      <c r="D313" s="25"/>
      <c r="E313" s="24"/>
      <c r="F313" s="6"/>
      <c r="G313" s="6"/>
      <c r="H313" s="6"/>
      <c r="I313" s="6"/>
    </row>
    <row r="314" spans="1:11" x14ac:dyDescent="0.25">
      <c r="A314" t="s">
        <v>3066</v>
      </c>
      <c r="B314" s="17"/>
      <c r="C314" s="17"/>
      <c r="D314" s="25"/>
      <c r="E314" s="24"/>
      <c r="F314" s="6"/>
      <c r="G314" s="6"/>
      <c r="H314" s="6"/>
      <c r="I314" s="6"/>
    </row>
    <row r="315" spans="1:11" x14ac:dyDescent="0.25">
      <c r="A315" s="978" t="s">
        <v>3067</v>
      </c>
      <c r="B315" s="17"/>
      <c r="C315" s="17"/>
      <c r="D315" s="25"/>
      <c r="E315" s="24"/>
      <c r="F315" s="6"/>
      <c r="G315" s="6"/>
      <c r="H315" s="6"/>
      <c r="I315" s="6"/>
    </row>
    <row r="317" spans="1:11" x14ac:dyDescent="0.25">
      <c r="A317" s="1155" t="s">
        <v>3127</v>
      </c>
      <c r="B317" s="5"/>
      <c r="C317" s="5"/>
      <c r="D317" s="25"/>
      <c r="E317" s="24"/>
      <c r="F317" s="1156"/>
      <c r="G317" s="1156"/>
      <c r="H317" s="1156"/>
      <c r="I317" s="1156"/>
      <c r="J317" s="1155"/>
      <c r="K317" s="1155"/>
    </row>
    <row r="318" spans="1:11" x14ac:dyDescent="0.25">
      <c r="A318" s="67" t="s">
        <v>2740</v>
      </c>
      <c r="B318" s="5"/>
      <c r="C318" s="5"/>
      <c r="D318" s="25"/>
      <c r="E318" s="24"/>
      <c r="F318" s="1156"/>
      <c r="G318" s="1156"/>
      <c r="H318" s="1156"/>
      <c r="I318" s="1156"/>
      <c r="J318" s="1155"/>
      <c r="K318" s="1155"/>
    </row>
    <row r="319" spans="1:11" x14ac:dyDescent="0.25">
      <c r="A319" t="s">
        <v>3194</v>
      </c>
      <c r="B319" s="5"/>
      <c r="C319" s="5"/>
      <c r="D319" s="25"/>
      <c r="E319" s="24"/>
      <c r="F319" s="1156"/>
      <c r="G319" s="1156"/>
      <c r="H319" s="1156"/>
      <c r="I319" s="1156"/>
      <c r="J319" s="1155"/>
      <c r="K319" s="1155"/>
    </row>
    <row r="320" spans="1:11" x14ac:dyDescent="0.25">
      <c r="A320" t="s">
        <v>1736</v>
      </c>
      <c r="B320" s="3"/>
      <c r="C320" s="3"/>
      <c r="D320" s="25"/>
      <c r="E320" s="24"/>
      <c r="F320" s="6"/>
      <c r="G320" s="6"/>
      <c r="H320" s="6"/>
      <c r="I320" s="6"/>
    </row>
    <row r="321" spans="1:9" x14ac:dyDescent="0.25">
      <c r="B321" s="272"/>
      <c r="C321" s="17"/>
      <c r="D321" s="25"/>
      <c r="E321" s="24"/>
      <c r="F321" s="6"/>
      <c r="G321" s="6"/>
      <c r="H321" s="6"/>
      <c r="I321" s="6"/>
    </row>
    <row r="322" spans="1:9" x14ac:dyDescent="0.25">
      <c r="B322" s="17"/>
      <c r="C322" s="17"/>
      <c r="D322" s="25"/>
      <c r="E322" s="24"/>
      <c r="F322" s="6"/>
      <c r="G322" s="6"/>
      <c r="H322" s="6"/>
      <c r="I322" s="6"/>
    </row>
    <row r="323" spans="1:9" s="222" customFormat="1" ht="18.75" x14ac:dyDescent="0.3">
      <c r="A323" s="94" t="s">
        <v>3086</v>
      </c>
      <c r="B323" s="5"/>
      <c r="C323" s="5"/>
      <c r="D323" s="25"/>
      <c r="E323" s="24"/>
      <c r="F323" s="223"/>
      <c r="G323" s="223"/>
      <c r="H323" s="223"/>
      <c r="I323" s="223"/>
    </row>
    <row r="324" spans="1:9" s="222" customFormat="1" x14ac:dyDescent="0.25">
      <c r="A324" t="s">
        <v>3487</v>
      </c>
      <c r="B324" s="5"/>
      <c r="C324" s="5"/>
      <c r="D324" s="25"/>
      <c r="E324" s="24"/>
      <c r="F324" s="223"/>
      <c r="G324" s="223"/>
      <c r="H324" s="63"/>
      <c r="I324" s="223"/>
    </row>
    <row r="325" spans="1:9" s="222" customFormat="1" x14ac:dyDescent="0.25">
      <c r="A325" t="s">
        <v>3075</v>
      </c>
      <c r="B325" s="5"/>
      <c r="C325" s="5"/>
      <c r="D325" s="25"/>
      <c r="E325" s="24"/>
      <c r="F325" s="223"/>
      <c r="G325" s="223"/>
      <c r="H325" s="63"/>
      <c r="I325" s="223"/>
    </row>
    <row r="326" spans="1:9" s="222" customFormat="1" x14ac:dyDescent="0.25">
      <c r="A326" t="s">
        <v>3551</v>
      </c>
      <c r="B326" s="5"/>
      <c r="C326" s="5"/>
      <c r="D326" s="25"/>
      <c r="E326" s="24"/>
      <c r="F326" s="223"/>
      <c r="G326" s="223"/>
      <c r="H326" s="223"/>
      <c r="I326" s="223"/>
    </row>
    <row r="327" spans="1:9" s="222" customFormat="1" x14ac:dyDescent="0.25">
      <c r="A327" t="s">
        <v>3126</v>
      </c>
      <c r="B327" s="5"/>
      <c r="C327" s="5"/>
      <c r="D327" s="25"/>
      <c r="E327" s="24"/>
      <c r="F327" s="223"/>
      <c r="G327" s="223"/>
      <c r="H327" s="223"/>
      <c r="I327" s="223"/>
    </row>
    <row r="328" spans="1:9" s="222" customFormat="1" x14ac:dyDescent="0.25">
      <c r="A328"/>
      <c r="B328" s="5"/>
      <c r="C328" s="5"/>
      <c r="D328" s="25"/>
      <c r="E328" s="24"/>
      <c r="F328" s="223"/>
      <c r="G328" s="223"/>
      <c r="H328" s="223"/>
      <c r="I328" s="223"/>
    </row>
    <row r="329" spans="1:9" s="222" customFormat="1" x14ac:dyDescent="0.25">
      <c r="A329" s="152" t="s">
        <v>3488</v>
      </c>
      <c r="B329" s="5"/>
      <c r="C329" s="5"/>
      <c r="D329" s="25"/>
      <c r="E329" s="24"/>
      <c r="F329" s="223"/>
      <c r="G329" s="223"/>
      <c r="H329" s="223"/>
      <c r="I329" s="223"/>
    </row>
    <row r="330" spans="1:9" s="222" customFormat="1" x14ac:dyDescent="0.25">
      <c r="A330" s="152" t="s">
        <v>3489</v>
      </c>
      <c r="B330" s="5"/>
      <c r="C330" s="5"/>
      <c r="D330" s="25"/>
      <c r="E330" s="24"/>
      <c r="F330" s="223"/>
      <c r="G330" s="223"/>
      <c r="H330" s="223"/>
      <c r="I330" s="223"/>
    </row>
    <row r="331" spans="1:9" s="222" customFormat="1" x14ac:dyDescent="0.25">
      <c r="A331"/>
      <c r="B331" s="5"/>
      <c r="C331" s="5"/>
      <c r="D331" s="25"/>
      <c r="E331" s="24"/>
      <c r="F331" s="223"/>
      <c r="G331" s="223"/>
      <c r="H331" s="223"/>
      <c r="I331" s="223"/>
    </row>
    <row r="332" spans="1:9" s="222" customFormat="1" x14ac:dyDescent="0.25">
      <c r="A332" t="s">
        <v>3077</v>
      </c>
      <c r="B332" s="5"/>
      <c r="C332" s="5"/>
      <c r="D332" s="25"/>
      <c r="E332" s="24"/>
      <c r="F332" s="223"/>
      <c r="G332" s="223"/>
      <c r="H332" s="223"/>
      <c r="I332" s="223"/>
    </row>
    <row r="333" spans="1:9" s="222" customFormat="1" x14ac:dyDescent="0.25">
      <c r="A333" t="s">
        <v>3125</v>
      </c>
      <c r="B333" s="5"/>
      <c r="C333" s="5"/>
      <c r="D333" s="25"/>
      <c r="E333" s="24"/>
      <c r="F333" s="223"/>
      <c r="G333" s="223"/>
      <c r="H333" s="223"/>
      <c r="I333" s="223"/>
    </row>
    <row r="334" spans="1:9" s="222" customFormat="1" x14ac:dyDescent="0.25">
      <c r="A334" s="67"/>
      <c r="B334" s="5"/>
      <c r="C334" s="5"/>
      <c r="D334" s="25"/>
      <c r="E334" s="24"/>
      <c r="F334" s="223"/>
      <c r="G334" s="223"/>
      <c r="H334" s="223"/>
      <c r="I334" s="223"/>
    </row>
    <row r="335" spans="1:9" s="222" customFormat="1" x14ac:dyDescent="0.25">
      <c r="A335" s="1155" t="s">
        <v>3490</v>
      </c>
      <c r="B335" s="5"/>
      <c r="C335" s="5"/>
      <c r="D335" s="25"/>
      <c r="E335" s="24"/>
      <c r="F335" s="223"/>
      <c r="G335" s="223"/>
      <c r="H335" s="223"/>
      <c r="I335" s="223"/>
    </row>
    <row r="336" spans="1:9" s="222" customFormat="1" x14ac:dyDescent="0.25">
      <c r="A336" s="1155" t="s">
        <v>3074</v>
      </c>
      <c r="B336" s="5"/>
      <c r="C336" s="5"/>
      <c r="D336" s="25"/>
      <c r="E336" s="24"/>
      <c r="F336" s="223"/>
      <c r="G336" s="223"/>
      <c r="H336" s="223"/>
      <c r="I336" s="223"/>
    </row>
    <row r="337" spans="1:11" s="222" customFormat="1" x14ac:dyDescent="0.25">
      <c r="A337" s="1155" t="s">
        <v>3076</v>
      </c>
      <c r="B337" s="5"/>
      <c r="C337" s="5"/>
      <c r="D337" s="25"/>
      <c r="E337" s="24"/>
      <c r="F337" s="223"/>
      <c r="G337" s="223"/>
      <c r="H337" s="223"/>
      <c r="I337" s="223"/>
    </row>
    <row r="338" spans="1:11" s="222" customFormat="1" x14ac:dyDescent="0.25">
      <c r="A338"/>
      <c r="B338" s="5"/>
      <c r="C338" s="5"/>
      <c r="D338" s="25"/>
      <c r="E338" s="24"/>
      <c r="F338" s="223"/>
      <c r="G338" s="223"/>
      <c r="H338" s="223"/>
      <c r="I338" s="223"/>
    </row>
    <row r="339" spans="1:11" s="222" customFormat="1" x14ac:dyDescent="0.25">
      <c r="A339" t="s">
        <v>3552</v>
      </c>
      <c r="B339" s="5"/>
      <c r="C339" s="5"/>
      <c r="D339" s="25"/>
      <c r="E339" s="24"/>
      <c r="F339" s="223"/>
      <c r="G339" s="223"/>
      <c r="H339" s="223"/>
      <c r="I339" s="223"/>
    </row>
    <row r="340" spans="1:11" x14ac:dyDescent="0.25">
      <c r="A340" t="s">
        <v>2741</v>
      </c>
      <c r="B340" s="3"/>
      <c r="C340" s="3"/>
      <c r="D340" s="25"/>
      <c r="E340" s="24"/>
      <c r="F340" s="6"/>
      <c r="G340" s="6"/>
      <c r="H340" s="6"/>
      <c r="I340" s="6"/>
    </row>
    <row r="341" spans="1:11" x14ac:dyDescent="0.25">
      <c r="A341" t="s">
        <v>3195</v>
      </c>
      <c r="B341" s="3"/>
      <c r="C341" s="3"/>
      <c r="D341" s="25"/>
      <c r="E341" s="24"/>
      <c r="F341" s="6"/>
      <c r="G341" s="6"/>
      <c r="H341" s="6"/>
      <c r="I341" s="6"/>
    </row>
    <row r="342" spans="1:11" x14ac:dyDescent="0.25">
      <c r="A342" t="s">
        <v>1737</v>
      </c>
      <c r="B342" s="3"/>
      <c r="C342" s="3"/>
      <c r="D342" s="25"/>
      <c r="E342" s="24"/>
      <c r="F342" s="6"/>
      <c r="G342" s="6"/>
      <c r="H342" s="6"/>
      <c r="I342" s="6"/>
    </row>
    <row r="343" spans="1:11" x14ac:dyDescent="0.25">
      <c r="A343" t="s">
        <v>3196</v>
      </c>
      <c r="B343" s="3"/>
      <c r="C343" s="3"/>
      <c r="D343" s="25"/>
      <c r="E343" s="24"/>
      <c r="F343" s="6"/>
      <c r="G343" s="6"/>
      <c r="H343" s="6"/>
      <c r="I343" s="6"/>
    </row>
    <row r="344" spans="1:11" x14ac:dyDescent="0.25">
      <c r="A344" t="s">
        <v>3553</v>
      </c>
      <c r="B344" s="3"/>
      <c r="C344" s="3"/>
      <c r="D344" s="25"/>
      <c r="E344" s="24"/>
      <c r="F344" s="6"/>
      <c r="G344" s="6"/>
      <c r="H344" s="6"/>
      <c r="I344" s="6"/>
    </row>
    <row r="345" spans="1:11" x14ac:dyDescent="0.25">
      <c r="A345" t="s">
        <v>3555</v>
      </c>
      <c r="B345" s="3"/>
      <c r="C345" s="3"/>
      <c r="D345" s="25"/>
      <c r="E345" s="24"/>
      <c r="F345" s="6"/>
      <c r="G345" s="6"/>
      <c r="H345" s="6"/>
      <c r="I345" s="6"/>
    </row>
    <row r="346" spans="1:11" x14ac:dyDescent="0.25">
      <c r="A346" t="s">
        <v>3554</v>
      </c>
      <c r="B346" s="3"/>
      <c r="C346" s="3"/>
      <c r="D346" s="25"/>
      <c r="E346" s="24"/>
      <c r="F346" s="6"/>
      <c r="G346" s="6"/>
      <c r="H346" s="6"/>
      <c r="I346" s="6"/>
    </row>
    <row r="347" spans="1:11" x14ac:dyDescent="0.25">
      <c r="B347" s="3"/>
      <c r="C347" s="3"/>
      <c r="D347" s="25"/>
      <c r="E347" s="24"/>
      <c r="F347" s="6"/>
      <c r="G347" s="6"/>
      <c r="H347" s="6"/>
      <c r="I347" s="6"/>
    </row>
    <row r="348" spans="1:11" ht="15.75" x14ac:dyDescent="0.25">
      <c r="A348" s="1443" t="s">
        <v>1273</v>
      </c>
      <c r="B348" s="17"/>
      <c r="C348" s="17"/>
      <c r="D348" s="25"/>
      <c r="E348" s="24"/>
      <c r="F348" s="6"/>
      <c r="G348" s="6"/>
      <c r="H348" s="6"/>
      <c r="I348" s="6"/>
    </row>
    <row r="349" spans="1:11" x14ac:dyDescent="0.25">
      <c r="A349" t="s">
        <v>1183</v>
      </c>
      <c r="B349" s="17"/>
      <c r="C349" s="17"/>
      <c r="D349" s="25"/>
      <c r="E349" s="24"/>
      <c r="F349" s="6"/>
      <c r="G349" s="6"/>
      <c r="H349" s="6"/>
      <c r="I349" s="6"/>
    </row>
    <row r="350" spans="1:11" x14ac:dyDescent="0.25">
      <c r="A350" t="s">
        <v>1731</v>
      </c>
      <c r="B350" s="17"/>
      <c r="C350" s="17"/>
      <c r="D350" s="25"/>
      <c r="E350" s="24"/>
      <c r="F350" s="6"/>
      <c r="G350" s="6"/>
      <c r="H350" s="6"/>
      <c r="I350" s="6"/>
    </row>
    <row r="351" spans="1:11" x14ac:dyDescent="0.25">
      <c r="A351" t="s">
        <v>1732</v>
      </c>
      <c r="B351" s="17"/>
      <c r="C351" s="17"/>
      <c r="D351" s="25"/>
      <c r="E351" s="24"/>
      <c r="F351" s="6"/>
      <c r="G351" s="6"/>
      <c r="H351" s="6"/>
      <c r="I351" s="6"/>
      <c r="K351" s="64"/>
    </row>
    <row r="352" spans="1:11" x14ac:dyDescent="0.25">
      <c r="A352" t="s">
        <v>1733</v>
      </c>
      <c r="B352" s="17"/>
      <c r="C352" s="17"/>
      <c r="D352" s="25"/>
      <c r="E352" s="24"/>
      <c r="F352" s="6"/>
      <c r="G352" s="6"/>
      <c r="H352" s="6"/>
      <c r="I352" s="6"/>
      <c r="K352" s="1296"/>
    </row>
    <row r="353" spans="1:11" x14ac:dyDescent="0.25">
      <c r="A353" t="s">
        <v>3491</v>
      </c>
      <c r="B353" s="17"/>
      <c r="C353" s="17"/>
      <c r="D353" s="25"/>
      <c r="E353" s="24"/>
      <c r="F353" s="6"/>
      <c r="G353" s="6"/>
      <c r="H353" s="6"/>
      <c r="I353" s="6"/>
      <c r="K353" s="1296"/>
    </row>
    <row r="354" spans="1:11" x14ac:dyDescent="0.25">
      <c r="A354" t="s">
        <v>3197</v>
      </c>
      <c r="B354" s="17"/>
      <c r="C354" s="17"/>
      <c r="D354" s="25"/>
      <c r="E354" s="24"/>
      <c r="F354" s="6"/>
      <c r="G354" s="6"/>
      <c r="H354" s="6"/>
      <c r="I354" s="6"/>
    </row>
    <row r="355" spans="1:11" x14ac:dyDescent="0.25">
      <c r="B355" s="17"/>
      <c r="C355" s="17"/>
      <c r="D355" s="25"/>
      <c r="E355" s="24"/>
      <c r="F355" s="6"/>
      <c r="G355" s="6"/>
      <c r="H355" s="6"/>
      <c r="I355" s="6"/>
    </row>
    <row r="356" spans="1:11" ht="15.75" x14ac:dyDescent="0.25">
      <c r="A356" s="1443" t="s">
        <v>1839</v>
      </c>
      <c r="B356" s="17"/>
      <c r="C356" s="17"/>
      <c r="D356" s="25"/>
      <c r="E356" s="24"/>
      <c r="F356" s="6"/>
      <c r="G356" s="6"/>
      <c r="H356" s="6"/>
      <c r="I356" s="6"/>
    </row>
    <row r="357" spans="1:11" x14ac:dyDescent="0.25">
      <c r="A357" t="s">
        <v>3556</v>
      </c>
      <c r="B357" s="17"/>
      <c r="C357" s="17"/>
      <c r="D357" s="25"/>
      <c r="E357" s="24"/>
      <c r="F357" s="6"/>
      <c r="G357" s="6"/>
      <c r="H357" s="6"/>
      <c r="I357" s="6"/>
    </row>
    <row r="358" spans="1:11" x14ac:dyDescent="0.25">
      <c r="A358" t="s">
        <v>3557</v>
      </c>
      <c r="B358" s="17"/>
      <c r="C358" s="17"/>
      <c r="D358" s="25"/>
      <c r="E358" s="24"/>
      <c r="F358" s="6"/>
      <c r="G358" s="6"/>
      <c r="H358" s="6"/>
      <c r="I358" s="6"/>
    </row>
    <row r="359" spans="1:11" x14ac:dyDescent="0.25">
      <c r="B359" s="3"/>
      <c r="C359" s="3"/>
      <c r="D359" s="25"/>
      <c r="E359" s="24"/>
      <c r="F359" s="6"/>
      <c r="G359" s="6"/>
      <c r="H359" s="6"/>
      <c r="I359" s="6"/>
    </row>
    <row r="360" spans="1:11" x14ac:dyDescent="0.25">
      <c r="A360" s="1317"/>
      <c r="B360" s="81"/>
      <c r="C360" s="81"/>
    </row>
    <row r="361" spans="1:11" ht="18.75" x14ac:dyDescent="0.3">
      <c r="A361" s="94" t="s">
        <v>3088</v>
      </c>
      <c r="B361" s="81"/>
      <c r="C361" s="81"/>
    </row>
    <row r="362" spans="1:11" x14ac:dyDescent="0.25">
      <c r="A362" s="67" t="s">
        <v>3198</v>
      </c>
      <c r="B362" s="81"/>
      <c r="C362" s="81"/>
    </row>
    <row r="363" spans="1:11" x14ac:dyDescent="0.25">
      <c r="A363" s="67" t="s">
        <v>3558</v>
      </c>
      <c r="B363" s="81"/>
      <c r="C363" s="81"/>
    </row>
    <row r="364" spans="1:11" x14ac:dyDescent="0.25">
      <c r="A364" s="67" t="s">
        <v>3559</v>
      </c>
      <c r="B364" s="81"/>
      <c r="C364" s="81"/>
    </row>
    <row r="365" spans="1:11" x14ac:dyDescent="0.25">
      <c r="A365" s="1317" t="s">
        <v>3079</v>
      </c>
      <c r="B365" s="81"/>
      <c r="C365" s="81"/>
    </row>
    <row r="366" spans="1:11" x14ac:dyDescent="0.25">
      <c r="B366" s="3"/>
      <c r="C366" s="3"/>
      <c r="D366" s="25"/>
      <c r="E366" s="24"/>
      <c r="F366" s="6"/>
      <c r="G366" s="6"/>
      <c r="H366" s="6"/>
      <c r="I366" s="6"/>
    </row>
    <row r="367" spans="1:11" ht="15.75" x14ac:dyDescent="0.25">
      <c r="A367" s="1367" t="s">
        <v>3114</v>
      </c>
      <c r="B367" s="3"/>
      <c r="C367" s="3"/>
      <c r="D367" s="25"/>
      <c r="E367" s="24"/>
      <c r="F367" s="6"/>
      <c r="G367" s="6"/>
      <c r="H367" s="6"/>
      <c r="I367" s="6"/>
    </row>
    <row r="368" spans="1:11" ht="15.75" x14ac:dyDescent="0.25">
      <c r="A368" s="1367" t="s">
        <v>3115</v>
      </c>
      <c r="B368" s="3"/>
      <c r="C368" s="3"/>
      <c r="D368" s="25"/>
      <c r="E368" s="24"/>
      <c r="F368" s="6"/>
      <c r="G368" s="6"/>
      <c r="H368" s="6"/>
      <c r="I368" s="6"/>
    </row>
    <row r="369" spans="1:9" ht="15.75" x14ac:dyDescent="0.25">
      <c r="A369" s="1367" t="s">
        <v>2309</v>
      </c>
      <c r="B369" s="3"/>
      <c r="C369" s="3"/>
      <c r="E369" s="1649" t="s">
        <v>1248</v>
      </c>
      <c r="H369" s="6"/>
      <c r="I369" s="6"/>
    </row>
    <row r="370" spans="1:9" ht="15.75" x14ac:dyDescent="0.25">
      <c r="A370" s="1367" t="s">
        <v>3033</v>
      </c>
      <c r="B370" s="3"/>
      <c r="C370" s="3"/>
      <c r="E370" s="1649" t="s">
        <v>1403</v>
      </c>
      <c r="H370" s="6"/>
      <c r="I370" s="6"/>
    </row>
    <row r="371" spans="1:9" ht="16.5" thickBot="1" x14ac:dyDescent="0.3">
      <c r="A371" s="1367"/>
      <c r="B371" s="3"/>
      <c r="C371" s="3"/>
      <c r="E371" s="1649"/>
      <c r="F371" s="6"/>
      <c r="G371" s="6"/>
      <c r="H371" s="6"/>
      <c r="I371" s="6"/>
    </row>
    <row r="372" spans="1:9" x14ac:dyDescent="0.25">
      <c r="B372" s="2102" t="s">
        <v>1832</v>
      </c>
      <c r="C372" s="701"/>
      <c r="D372" s="3635" t="s">
        <v>1404</v>
      </c>
      <c r="E372" s="2103"/>
      <c r="F372" s="701"/>
      <c r="G372" s="701"/>
      <c r="H372" s="745"/>
      <c r="I372" s="6"/>
    </row>
    <row r="373" spans="1:9" ht="15.75" thickBot="1" x14ac:dyDescent="0.3">
      <c r="B373" s="2104" t="s">
        <v>2984</v>
      </c>
      <c r="C373" s="707"/>
      <c r="D373" s="1346" t="s">
        <v>3078</v>
      </c>
      <c r="E373" s="2105"/>
      <c r="F373" s="707"/>
      <c r="G373" s="707"/>
      <c r="H373" s="747"/>
      <c r="I373" s="6"/>
    </row>
    <row r="374" spans="1:9" x14ac:dyDescent="0.25">
      <c r="A374" s="67"/>
      <c r="C374" s="2106"/>
      <c r="E374" s="24"/>
      <c r="F374" s="6"/>
      <c r="G374" s="6"/>
      <c r="H374" s="6"/>
      <c r="I374" s="6"/>
    </row>
    <row r="375" spans="1:9" x14ac:dyDescent="0.25">
      <c r="A375" t="s">
        <v>3081</v>
      </c>
      <c r="B375" s="3"/>
      <c r="C375" s="3"/>
      <c r="D375" s="25"/>
      <c r="E375" s="24"/>
      <c r="F375" s="6"/>
      <c r="G375" s="6"/>
      <c r="H375" s="6"/>
      <c r="I375" s="6"/>
    </row>
    <row r="376" spans="1:9" x14ac:dyDescent="0.25">
      <c r="A376" t="s">
        <v>3082</v>
      </c>
      <c r="B376" s="3"/>
      <c r="C376" s="3"/>
      <c r="D376" s="25"/>
      <c r="E376" s="24"/>
      <c r="F376" s="6"/>
      <c r="G376" s="6"/>
      <c r="H376" s="6"/>
      <c r="I376" s="6"/>
    </row>
    <row r="377" spans="1:9" x14ac:dyDescent="0.25">
      <c r="A377" t="s">
        <v>3080</v>
      </c>
      <c r="B377" s="3"/>
      <c r="C377" s="3"/>
      <c r="D377" s="25"/>
      <c r="E377" s="24"/>
      <c r="F377" s="6"/>
      <c r="G377" s="6"/>
      <c r="H377" s="6"/>
      <c r="I377" s="6"/>
    </row>
    <row r="378" spans="1:9" x14ac:dyDescent="0.25">
      <c r="A378" s="67" t="s">
        <v>3034</v>
      </c>
      <c r="B378" s="3"/>
      <c r="C378" s="3"/>
      <c r="D378" s="25"/>
      <c r="E378" s="24"/>
      <c r="F378" s="6"/>
      <c r="G378" s="6"/>
      <c r="H378" s="6"/>
      <c r="I378" s="6"/>
    </row>
    <row r="379" spans="1:9" x14ac:dyDescent="0.25">
      <c r="A379" s="67"/>
      <c r="B379" s="3"/>
      <c r="C379" s="3"/>
      <c r="D379" s="25"/>
      <c r="E379" s="24"/>
      <c r="F379" s="6"/>
      <c r="G379" s="6"/>
      <c r="H379" s="6"/>
      <c r="I379" s="6"/>
    </row>
    <row r="380" spans="1:9" ht="15.75" x14ac:dyDescent="0.25">
      <c r="A380" s="1443" t="s">
        <v>3199</v>
      </c>
      <c r="B380" s="3"/>
      <c r="C380" s="3"/>
      <c r="D380" s="25"/>
      <c r="E380" s="24"/>
      <c r="F380" s="6"/>
      <c r="G380" s="6"/>
      <c r="H380" s="6"/>
      <c r="I380" s="6"/>
    </row>
    <row r="381" spans="1:9" x14ac:dyDescent="0.25">
      <c r="A381" t="s">
        <v>3200</v>
      </c>
      <c r="B381" s="3"/>
      <c r="C381" s="3"/>
      <c r="D381" s="25"/>
      <c r="E381" s="24"/>
      <c r="F381" s="6"/>
      <c r="G381" s="6"/>
      <c r="H381" s="6"/>
      <c r="I381" s="6"/>
    </row>
    <row r="382" spans="1:9" x14ac:dyDescent="0.25">
      <c r="A382" s="121" t="s">
        <v>3201</v>
      </c>
      <c r="B382" s="3"/>
      <c r="C382" s="3"/>
      <c r="D382" s="25"/>
      <c r="E382" s="24"/>
      <c r="F382" s="6"/>
      <c r="G382" s="6"/>
      <c r="H382" s="6"/>
      <c r="I382" s="6"/>
    </row>
    <row r="383" spans="1:9" x14ac:dyDescent="0.25">
      <c r="A383" t="s">
        <v>3202</v>
      </c>
      <c r="B383" s="3"/>
      <c r="C383" s="3"/>
      <c r="D383" s="25"/>
      <c r="E383" s="24"/>
      <c r="F383" s="6"/>
      <c r="G383" s="6"/>
      <c r="H383" s="6"/>
      <c r="I383" s="6"/>
    </row>
    <row r="384" spans="1:9" x14ac:dyDescent="0.25">
      <c r="A384" t="s">
        <v>3492</v>
      </c>
      <c r="B384" s="3"/>
      <c r="C384" s="3"/>
      <c r="D384" s="25"/>
      <c r="E384" s="24"/>
      <c r="F384" s="6"/>
      <c r="G384" s="6"/>
      <c r="H384" s="6"/>
      <c r="I384" s="6"/>
    </row>
    <row r="385" spans="1:10" x14ac:dyDescent="0.25">
      <c r="A385" t="s">
        <v>1734</v>
      </c>
      <c r="B385" s="3"/>
      <c r="C385" s="3"/>
      <c r="D385" s="25"/>
      <c r="E385" s="24"/>
      <c r="F385" s="6"/>
      <c r="G385" s="6"/>
      <c r="H385" s="6"/>
      <c r="I385" s="6"/>
    </row>
    <row r="386" spans="1:10" x14ac:dyDescent="0.25">
      <c r="A386" t="s">
        <v>3203</v>
      </c>
      <c r="B386" s="3"/>
      <c r="C386" s="3"/>
      <c r="D386" s="25"/>
      <c r="E386" s="24"/>
      <c r="F386" s="6"/>
      <c r="G386" s="6"/>
      <c r="H386" s="6"/>
      <c r="I386" s="6"/>
    </row>
    <row r="387" spans="1:10" x14ac:dyDescent="0.25">
      <c r="A387" t="s">
        <v>3204</v>
      </c>
      <c r="B387" s="3"/>
      <c r="C387" s="3"/>
      <c r="D387" s="25"/>
      <c r="E387" s="24"/>
      <c r="F387" s="6"/>
      <c r="G387" s="6"/>
      <c r="H387" s="6"/>
      <c r="I387" s="6"/>
    </row>
    <row r="388" spans="1:10" x14ac:dyDescent="0.25">
      <c r="A388" t="s">
        <v>1735</v>
      </c>
      <c r="B388" s="81"/>
      <c r="C388" s="81"/>
    </row>
    <row r="389" spans="1:10" x14ac:dyDescent="0.25">
      <c r="A389" s="67"/>
      <c r="B389" s="17"/>
      <c r="C389" s="17"/>
      <c r="D389" s="25"/>
      <c r="E389" s="24"/>
      <c r="F389" s="6"/>
      <c r="G389" s="6"/>
      <c r="H389" s="6"/>
      <c r="I389" s="6"/>
    </row>
    <row r="390" spans="1:10" ht="18.75" x14ac:dyDescent="0.3">
      <c r="A390" s="87" t="s">
        <v>3083</v>
      </c>
      <c r="B390" s="798"/>
      <c r="C390" s="798"/>
      <c r="D390" s="799"/>
      <c r="E390" s="800"/>
      <c r="F390" s="26"/>
      <c r="G390" s="26"/>
      <c r="H390" s="26"/>
      <c r="I390" s="26"/>
      <c r="J390" s="26"/>
    </row>
    <row r="391" spans="1:10" x14ac:dyDescent="0.25">
      <c r="A391" s="3627" t="s">
        <v>340</v>
      </c>
      <c r="B391" s="798"/>
      <c r="C391" s="798"/>
      <c r="D391" s="3626"/>
      <c r="E391" s="800"/>
      <c r="F391" s="26"/>
      <c r="G391" s="26"/>
      <c r="H391" s="26"/>
      <c r="I391" s="26"/>
      <c r="J391" s="26"/>
    </row>
    <row r="392" spans="1:10" x14ac:dyDescent="0.25">
      <c r="A392" s="3627" t="s">
        <v>2846</v>
      </c>
      <c r="B392" s="798"/>
      <c r="C392" s="798"/>
      <c r="D392" s="799"/>
      <c r="E392" s="800"/>
      <c r="F392" s="26"/>
      <c r="G392" s="26"/>
      <c r="H392" s="26"/>
      <c r="I392" s="26"/>
      <c r="J392" s="26"/>
    </row>
    <row r="393" spans="1:10" x14ac:dyDescent="0.25">
      <c r="A393" s="3627" t="s">
        <v>2847</v>
      </c>
      <c r="B393" s="798"/>
      <c r="C393" s="798"/>
      <c r="D393" s="799"/>
      <c r="E393" s="800"/>
      <c r="F393" s="26"/>
      <c r="G393" s="26"/>
      <c r="H393" s="26"/>
      <c r="I393" s="26"/>
      <c r="J393" s="26"/>
    </row>
    <row r="394" spans="1:10" x14ac:dyDescent="0.25">
      <c r="A394" s="3627" t="s">
        <v>3205</v>
      </c>
      <c r="B394" s="798"/>
      <c r="C394" s="798"/>
      <c r="D394" s="799"/>
      <c r="E394" s="800"/>
      <c r="F394" s="26"/>
      <c r="G394" s="26"/>
      <c r="H394" s="26"/>
      <c r="I394" s="26"/>
      <c r="J394" s="26"/>
    </row>
    <row r="395" spans="1:10" x14ac:dyDescent="0.25">
      <c r="A395" s="3627" t="s">
        <v>3099</v>
      </c>
      <c r="B395" s="798"/>
      <c r="C395" s="798"/>
      <c r="D395" s="799"/>
      <c r="E395" s="800"/>
      <c r="F395" s="26"/>
      <c r="G395" s="26"/>
      <c r="H395" s="26"/>
      <c r="I395" s="26"/>
      <c r="J395" s="26"/>
    </row>
    <row r="396" spans="1:10" x14ac:dyDescent="0.25">
      <c r="A396" s="3627" t="s">
        <v>2848</v>
      </c>
      <c r="B396" s="798"/>
      <c r="C396" s="798"/>
      <c r="D396" s="799"/>
      <c r="E396" s="800"/>
      <c r="F396" s="26"/>
      <c r="G396" s="26"/>
      <c r="H396" s="26"/>
      <c r="I396" s="26"/>
      <c r="J396" s="26"/>
    </row>
    <row r="397" spans="1:10" x14ac:dyDescent="0.25">
      <c r="A397" s="3627" t="s">
        <v>3116</v>
      </c>
      <c r="B397" s="798"/>
      <c r="C397" s="798"/>
      <c r="D397" s="799"/>
      <c r="E397" s="800"/>
      <c r="F397" s="26"/>
      <c r="G397" s="26"/>
      <c r="H397" s="26"/>
      <c r="I397" s="26"/>
      <c r="J397" s="26"/>
    </row>
    <row r="398" spans="1:10" x14ac:dyDescent="0.25">
      <c r="A398" s="3627" t="s">
        <v>2850</v>
      </c>
      <c r="B398" s="798"/>
      <c r="C398" s="798"/>
      <c r="D398" s="799"/>
      <c r="E398" s="800"/>
      <c r="F398" s="26"/>
      <c r="G398" s="26"/>
      <c r="H398" s="26"/>
      <c r="I398" s="26"/>
      <c r="J398" s="26"/>
    </row>
    <row r="399" spans="1:10" x14ac:dyDescent="0.25">
      <c r="A399" s="3627" t="s">
        <v>3473</v>
      </c>
      <c r="B399" s="798"/>
      <c r="C399" s="798"/>
      <c r="D399" s="799"/>
      <c r="E399" s="800"/>
      <c r="F399" s="26"/>
      <c r="G399" s="26"/>
      <c r="H399" s="26"/>
      <c r="I399" s="26"/>
      <c r="J399" s="26"/>
    </row>
    <row r="400" spans="1:10" x14ac:dyDescent="0.25">
      <c r="A400" s="3627" t="s">
        <v>2849</v>
      </c>
      <c r="B400" s="798"/>
      <c r="C400" s="798"/>
      <c r="D400" s="799"/>
      <c r="E400" s="800"/>
      <c r="F400" s="26"/>
      <c r="G400" s="26"/>
      <c r="H400" s="26"/>
      <c r="I400" s="26"/>
      <c r="J400" s="26"/>
    </row>
    <row r="401" spans="1:10" x14ac:dyDescent="0.25">
      <c r="B401" s="17"/>
      <c r="C401" s="17"/>
      <c r="D401" s="25"/>
      <c r="E401" s="24"/>
      <c r="F401" s="6"/>
      <c r="G401" s="6"/>
      <c r="H401" s="6"/>
      <c r="I401" s="6"/>
    </row>
    <row r="402" spans="1:10" x14ac:dyDescent="0.25">
      <c r="A402" s="92"/>
      <c r="B402" s="17"/>
      <c r="C402" s="17"/>
      <c r="D402" s="25"/>
      <c r="E402" s="24"/>
      <c r="F402" s="6"/>
      <c r="G402" s="6"/>
      <c r="H402" s="6"/>
      <c r="I402" s="6"/>
    </row>
    <row r="403" spans="1:10" s="124" customFormat="1" ht="18.75" x14ac:dyDescent="0.3">
      <c r="A403" s="94" t="s">
        <v>3239</v>
      </c>
      <c r="B403" s="102"/>
      <c r="C403" s="102"/>
      <c r="D403" s="125"/>
      <c r="E403" s="126"/>
      <c r="F403" s="127"/>
      <c r="G403" s="127"/>
      <c r="H403" s="127"/>
      <c r="I403" s="127"/>
    </row>
    <row r="404" spans="1:10" s="767" customFormat="1" ht="15.75" x14ac:dyDescent="0.25">
      <c r="A404" s="767" t="s">
        <v>3216</v>
      </c>
      <c r="B404" s="95"/>
      <c r="C404" s="95"/>
      <c r="D404" s="3639"/>
      <c r="E404" s="3640"/>
      <c r="F404" s="95"/>
      <c r="G404" s="95"/>
      <c r="H404" s="95"/>
      <c r="I404" s="95"/>
    </row>
    <row r="405" spans="1:10" s="1317" customFormat="1" x14ac:dyDescent="0.25">
      <c r="A405" s="1317" t="s">
        <v>3213</v>
      </c>
      <c r="B405" s="1296"/>
      <c r="C405" s="1296"/>
      <c r="D405" s="1400"/>
      <c r="E405" s="1401"/>
      <c r="F405" s="1296"/>
      <c r="G405" s="1296"/>
      <c r="H405" s="1296"/>
      <c r="I405" s="1296"/>
    </row>
    <row r="406" spans="1:10" s="1317" customFormat="1" x14ac:dyDescent="0.25">
      <c r="A406" s="1317" t="s">
        <v>3206</v>
      </c>
      <c r="B406" s="1296"/>
      <c r="C406" s="1296"/>
      <c r="D406" s="1400"/>
      <c r="E406" s="1401"/>
      <c r="F406" s="1296"/>
      <c r="G406" s="1296"/>
      <c r="H406" s="1296"/>
      <c r="I406" s="1296"/>
    </row>
    <row r="407" spans="1:10" s="124" customFormat="1" x14ac:dyDescent="0.25">
      <c r="A407" s="1317" t="s">
        <v>3208</v>
      </c>
      <c r="B407" s="102"/>
      <c r="C407" s="102"/>
      <c r="D407" s="125"/>
      <c r="E407" s="126"/>
      <c r="F407" s="127"/>
      <c r="G407" s="127"/>
      <c r="H407" s="127"/>
      <c r="I407" s="127"/>
    </row>
    <row r="408" spans="1:10" s="1317" customFormat="1" x14ac:dyDescent="0.25">
      <c r="A408" s="1317" t="s">
        <v>3207</v>
      </c>
      <c r="B408" s="1296"/>
      <c r="C408" s="1296"/>
      <c r="D408" s="1400"/>
      <c r="E408" s="1401"/>
      <c r="F408" s="1296"/>
      <c r="G408" s="1296"/>
      <c r="H408" s="1296"/>
      <c r="I408" s="1296"/>
    </row>
    <row r="409" spans="1:10" s="1317" customFormat="1" x14ac:dyDescent="0.25">
      <c r="B409" s="1296"/>
      <c r="C409" s="1296"/>
      <c r="D409" s="1400"/>
      <c r="E409" s="1401"/>
      <c r="F409" s="1296"/>
      <c r="G409" s="1296"/>
      <c r="H409" s="1296"/>
      <c r="I409" s="1296"/>
    </row>
    <row r="410" spans="1:10" s="221" customFormat="1" ht="15.75" x14ac:dyDescent="0.25">
      <c r="A410" s="221" t="s">
        <v>1270</v>
      </c>
      <c r="B410" s="164"/>
      <c r="C410" s="164"/>
      <c r="D410" s="1580"/>
      <c r="E410" s="1581"/>
      <c r="F410" s="164"/>
      <c r="G410" s="164"/>
      <c r="H410" s="164"/>
      <c r="I410" s="164"/>
    </row>
    <row r="411" spans="1:10" s="124" customFormat="1" x14ac:dyDescent="0.25">
      <c r="A411" s="1317" t="s">
        <v>3250</v>
      </c>
      <c r="B411" s="102"/>
      <c r="C411" s="102"/>
      <c r="D411" s="125"/>
      <c r="E411" s="126"/>
      <c r="F411" s="127"/>
      <c r="G411" s="937" t="s">
        <v>1104</v>
      </c>
      <c r="H411" s="1296" t="s">
        <v>3251</v>
      </c>
      <c r="I411" s="127"/>
    </row>
    <row r="412" spans="1:10" s="124" customFormat="1" x14ac:dyDescent="0.25">
      <c r="A412" s="1317" t="s">
        <v>3564</v>
      </c>
      <c r="B412" s="102"/>
      <c r="C412" s="102"/>
      <c r="D412" s="125"/>
      <c r="E412" s="126"/>
      <c r="F412" s="127"/>
      <c r="G412" s="127"/>
      <c r="H412" s="127"/>
      <c r="I412" s="127"/>
      <c r="J412" s="978" t="s">
        <v>3252</v>
      </c>
    </row>
    <row r="413" spans="1:10" s="124" customFormat="1" x14ac:dyDescent="0.25">
      <c r="A413" s="1317" t="s">
        <v>3253</v>
      </c>
      <c r="B413" s="937" t="s">
        <v>1106</v>
      </c>
      <c r="C413" s="1296" t="s">
        <v>3254</v>
      </c>
      <c r="D413" s="125"/>
      <c r="E413" s="126"/>
      <c r="F413" s="127"/>
      <c r="G413" s="127"/>
      <c r="H413" s="127"/>
      <c r="I413" s="127"/>
    </row>
    <row r="414" spans="1:10" ht="14.25" customHeight="1" x14ac:dyDescent="0.25">
      <c r="A414" s="1317" t="s">
        <v>3209</v>
      </c>
      <c r="B414" s="17"/>
      <c r="C414" s="17"/>
      <c r="D414" s="25"/>
      <c r="E414" s="24"/>
      <c r="F414" s="6"/>
      <c r="G414" s="6"/>
      <c r="H414" s="6"/>
      <c r="I414" s="6"/>
    </row>
    <row r="415" spans="1:10" ht="14.25" customHeight="1" x14ac:dyDescent="0.25">
      <c r="A415" s="1317" t="s">
        <v>3210</v>
      </c>
      <c r="B415" s="17"/>
      <c r="C415" s="17"/>
      <c r="D415" s="25"/>
      <c r="E415" s="24"/>
      <c r="F415" s="6"/>
      <c r="G415" s="6"/>
      <c r="H415" s="6"/>
      <c r="I415" s="6"/>
    </row>
    <row r="416" spans="1:10" ht="14.25" customHeight="1" x14ac:dyDescent="0.25">
      <c r="A416" s="1317" t="s">
        <v>3211</v>
      </c>
      <c r="B416" s="17"/>
      <c r="C416" s="17"/>
      <c r="D416" s="25"/>
      <c r="E416" s="24"/>
      <c r="F416" s="6"/>
      <c r="G416" s="6"/>
      <c r="H416" s="6"/>
      <c r="I416" s="6"/>
    </row>
    <row r="417" spans="1:9" ht="14.25" customHeight="1" x14ac:dyDescent="0.25">
      <c r="A417" s="1317" t="s">
        <v>3065</v>
      </c>
      <c r="B417" s="17"/>
      <c r="C417" s="17"/>
      <c r="D417" s="25"/>
      <c r="E417" s="24"/>
      <c r="F417" s="6"/>
      <c r="G417" s="6"/>
      <c r="H417" s="6"/>
      <c r="I417" s="6"/>
    </row>
    <row r="418" spans="1:9" ht="14.25" customHeight="1" x14ac:dyDescent="0.25">
      <c r="A418" s="1317"/>
      <c r="B418" s="17"/>
      <c r="C418" s="17"/>
      <c r="D418" s="25"/>
      <c r="E418" s="24"/>
      <c r="F418" s="6"/>
      <c r="G418" s="6"/>
      <c r="H418" s="6"/>
      <c r="I418" s="6"/>
    </row>
    <row r="419" spans="1:9" ht="14.25" customHeight="1" x14ac:dyDescent="0.25">
      <c r="A419" s="221" t="s">
        <v>3097</v>
      </c>
      <c r="B419" s="17"/>
      <c r="C419" s="17"/>
      <c r="D419" s="25"/>
      <c r="E419" s="24"/>
      <c r="F419" s="6"/>
      <c r="G419" s="6"/>
      <c r="H419" s="6"/>
      <c r="I419" s="6"/>
    </row>
    <row r="420" spans="1:9" x14ac:dyDescent="0.25">
      <c r="A420" s="1317" t="s">
        <v>3212</v>
      </c>
      <c r="B420" s="17"/>
      <c r="C420" s="17"/>
      <c r="D420" s="25"/>
      <c r="E420" s="24"/>
      <c r="F420" s="6"/>
      <c r="G420" s="6"/>
      <c r="H420" s="6"/>
      <c r="I420" s="6"/>
    </row>
    <row r="421" spans="1:9" x14ac:dyDescent="0.25">
      <c r="A421" s="1317" t="s">
        <v>3214</v>
      </c>
      <c r="B421" s="17"/>
      <c r="C421" s="17"/>
      <c r="D421" s="25"/>
      <c r="E421" s="24"/>
      <c r="F421" s="6"/>
      <c r="G421" s="6"/>
      <c r="H421" s="6"/>
      <c r="I421" s="6"/>
    </row>
    <row r="422" spans="1:9" x14ac:dyDescent="0.25">
      <c r="A422" s="1317" t="s">
        <v>3215</v>
      </c>
      <c r="B422" s="17"/>
      <c r="C422" s="17"/>
      <c r="D422" s="25"/>
      <c r="E422" s="24"/>
      <c r="F422" s="6"/>
      <c r="G422" s="6"/>
      <c r="H422" s="6"/>
      <c r="I422" s="6"/>
    </row>
    <row r="423" spans="1:9" x14ac:dyDescent="0.25">
      <c r="A423" s="121" t="s">
        <v>2744</v>
      </c>
      <c r="B423" s="17"/>
      <c r="C423" s="17"/>
      <c r="D423" s="25"/>
      <c r="E423" s="24"/>
      <c r="F423" s="6"/>
      <c r="G423" s="6"/>
      <c r="H423" s="6"/>
      <c r="I423" s="6"/>
    </row>
    <row r="424" spans="1:9" x14ac:dyDescent="0.25">
      <c r="A424" s="1317" t="s">
        <v>2745</v>
      </c>
      <c r="B424" s="17"/>
      <c r="C424" s="17"/>
      <c r="D424" s="25"/>
      <c r="E424" s="24"/>
      <c r="F424" s="6"/>
      <c r="G424" s="6"/>
      <c r="H424" s="6"/>
      <c r="I424" s="6"/>
    </row>
    <row r="425" spans="1:9" x14ac:dyDescent="0.25">
      <c r="A425" s="1317" t="s">
        <v>2746</v>
      </c>
      <c r="B425" s="17"/>
      <c r="C425" s="17"/>
      <c r="D425" s="25"/>
      <c r="E425" s="24"/>
      <c r="F425" s="6"/>
      <c r="G425" s="6"/>
      <c r="H425" s="6"/>
      <c r="I425" s="6"/>
    </row>
    <row r="426" spans="1:9" x14ac:dyDescent="0.25">
      <c r="A426" s="91"/>
      <c r="B426" s="17"/>
      <c r="C426" s="17"/>
      <c r="D426" s="25"/>
      <c r="E426" s="24"/>
      <c r="F426" s="6"/>
      <c r="G426" s="6"/>
      <c r="H426" s="6"/>
      <c r="I426" s="6"/>
    </row>
    <row r="427" spans="1:9" x14ac:dyDescent="0.25">
      <c r="A427" s="121" t="s">
        <v>1463</v>
      </c>
      <c r="B427" s="17"/>
      <c r="C427" s="17"/>
      <c r="D427" s="25"/>
      <c r="E427" s="24"/>
      <c r="F427" s="6"/>
      <c r="G427" s="6"/>
      <c r="H427" s="6"/>
      <c r="I427" s="6"/>
    </row>
    <row r="428" spans="1:9" x14ac:dyDescent="0.25">
      <c r="A428" s="121"/>
      <c r="B428" s="17"/>
      <c r="C428" s="17"/>
      <c r="D428" s="25"/>
      <c r="E428" s="24"/>
      <c r="F428" s="6"/>
      <c r="G428" s="6"/>
      <c r="H428" s="6"/>
      <c r="I428" s="6"/>
    </row>
    <row r="429" spans="1:9" x14ac:dyDescent="0.25">
      <c r="A429" s="1317" t="s">
        <v>1739</v>
      </c>
      <c r="B429" s="17"/>
      <c r="C429" s="17"/>
      <c r="D429" s="25"/>
      <c r="E429" s="24"/>
      <c r="F429" s="6"/>
      <c r="G429" s="6"/>
      <c r="H429" s="6"/>
      <c r="I429" s="6"/>
    </row>
    <row r="430" spans="1:9" x14ac:dyDescent="0.25">
      <c r="A430" s="1317" t="s">
        <v>2814</v>
      </c>
      <c r="B430" s="17"/>
      <c r="C430" s="17"/>
      <c r="D430" s="25"/>
      <c r="E430" s="24"/>
      <c r="F430" s="6"/>
      <c r="G430" s="6"/>
      <c r="H430" s="6"/>
      <c r="I430" s="6"/>
    </row>
    <row r="431" spans="1:9" x14ac:dyDescent="0.25">
      <c r="A431" s="1317" t="s">
        <v>1740</v>
      </c>
      <c r="B431" s="17"/>
      <c r="C431" s="17"/>
      <c r="D431" s="25"/>
      <c r="E431" s="24"/>
      <c r="F431" s="6"/>
      <c r="G431" s="6"/>
      <c r="H431" s="6"/>
      <c r="I431" s="6"/>
    </row>
    <row r="432" spans="1:9" x14ac:dyDescent="0.25">
      <c r="A432" s="1317"/>
      <c r="B432" s="17"/>
      <c r="C432" s="17"/>
      <c r="D432" s="25"/>
      <c r="E432" s="24"/>
      <c r="F432" s="6"/>
      <c r="G432" s="6"/>
      <c r="H432" s="6"/>
      <c r="I432" s="6"/>
    </row>
    <row r="433" spans="1:10" s="1443" customFormat="1" ht="15.75" x14ac:dyDescent="0.25">
      <c r="A433" s="1443" t="s">
        <v>3098</v>
      </c>
      <c r="C433" s="164"/>
      <c r="D433" s="1580"/>
      <c r="E433" s="1581"/>
      <c r="F433" s="1582"/>
      <c r="G433" s="1582"/>
      <c r="H433" s="1582"/>
      <c r="I433" s="1582"/>
    </row>
    <row r="434" spans="1:10" x14ac:dyDescent="0.25">
      <c r="A434" s="1317" t="s">
        <v>1741</v>
      </c>
      <c r="C434" s="17"/>
      <c r="D434" s="25"/>
      <c r="E434" s="24"/>
      <c r="F434" s="6"/>
      <c r="G434" s="6"/>
      <c r="H434" s="6"/>
      <c r="I434" s="6"/>
    </row>
    <row r="435" spans="1:10" x14ac:dyDescent="0.25">
      <c r="A435" s="1317" t="s">
        <v>3249</v>
      </c>
      <c r="C435" s="17"/>
      <c r="D435" s="25"/>
      <c r="E435" s="24"/>
      <c r="F435" s="6"/>
      <c r="G435" s="937" t="s">
        <v>1103</v>
      </c>
      <c r="H435" s="6" t="s">
        <v>3566</v>
      </c>
      <c r="I435" s="6"/>
    </row>
    <row r="436" spans="1:10" x14ac:dyDescent="0.25">
      <c r="A436" s="1317" t="s">
        <v>3565</v>
      </c>
      <c r="C436" s="17"/>
      <c r="D436" s="25"/>
      <c r="E436" s="24"/>
      <c r="F436" s="6"/>
      <c r="G436" s="6"/>
      <c r="H436" s="6"/>
      <c r="I436" s="6"/>
    </row>
    <row r="437" spans="1:10" x14ac:dyDescent="0.25">
      <c r="A437" s="1317" t="s">
        <v>3247</v>
      </c>
      <c r="C437" s="17"/>
      <c r="D437" s="25"/>
      <c r="E437" s="24"/>
      <c r="F437" s="6"/>
      <c r="G437" s="937" t="s">
        <v>870</v>
      </c>
      <c r="H437" s="6"/>
      <c r="I437" s="6" t="s">
        <v>3248</v>
      </c>
    </row>
    <row r="438" spans="1:10" x14ac:dyDescent="0.25">
      <c r="A438" s="1317"/>
      <c r="B438" s="17"/>
      <c r="C438" s="17"/>
      <c r="D438" s="25"/>
      <c r="E438" s="24"/>
      <c r="F438" s="6"/>
      <c r="G438" s="6"/>
      <c r="H438" s="6"/>
      <c r="I438" s="6"/>
    </row>
    <row r="439" spans="1:10" ht="15.75" x14ac:dyDescent="0.25">
      <c r="A439" s="221" t="s">
        <v>1266</v>
      </c>
      <c r="B439" s="17"/>
      <c r="C439" s="17"/>
      <c r="D439" s="25"/>
      <c r="E439" s="24"/>
      <c r="F439" s="6"/>
      <c r="G439" s="6"/>
      <c r="H439" s="6"/>
      <c r="I439" s="6"/>
    </row>
    <row r="440" spans="1:10" x14ac:dyDescent="0.25">
      <c r="A440" s="1317" t="s">
        <v>1742</v>
      </c>
      <c r="B440" s="17"/>
      <c r="C440" s="17"/>
      <c r="D440" s="25"/>
      <c r="E440" s="24"/>
      <c r="F440" s="6"/>
      <c r="G440" s="6"/>
      <c r="H440" s="6"/>
      <c r="I440" s="6"/>
    </row>
    <row r="441" spans="1:10" x14ac:dyDescent="0.25">
      <c r="A441" s="1317" t="s">
        <v>1743</v>
      </c>
      <c r="B441" s="17"/>
      <c r="C441" s="17"/>
      <c r="D441" s="25"/>
      <c r="E441" s="24"/>
      <c r="F441" s="6"/>
      <c r="G441" s="6"/>
      <c r="H441" s="6"/>
      <c r="I441" s="6"/>
    </row>
    <row r="442" spans="1:10" x14ac:dyDescent="0.25">
      <c r="A442" s="1317" t="s">
        <v>1744</v>
      </c>
      <c r="B442" s="17"/>
      <c r="C442" s="17"/>
      <c r="D442" s="25"/>
      <c r="E442" s="24"/>
      <c r="F442" s="6"/>
      <c r="G442" s="6"/>
      <c r="H442" s="6"/>
      <c r="I442" s="6"/>
    </row>
    <row r="443" spans="1:10" x14ac:dyDescent="0.25">
      <c r="A443" s="1317" t="s">
        <v>3244</v>
      </c>
      <c r="B443" s="17"/>
      <c r="C443" s="17"/>
      <c r="D443" s="25"/>
      <c r="E443" s="24"/>
      <c r="F443" s="937" t="s">
        <v>577</v>
      </c>
      <c r="G443" s="1643" t="s">
        <v>3246</v>
      </c>
      <c r="H443" s="6"/>
      <c r="I443" s="6"/>
    </row>
    <row r="444" spans="1:10" x14ac:dyDescent="0.25">
      <c r="A444" t="s">
        <v>3245</v>
      </c>
      <c r="B444" s="17"/>
      <c r="C444" s="17"/>
      <c r="D444" s="25"/>
      <c r="E444" s="24"/>
      <c r="F444" s="6"/>
      <c r="G444" s="6"/>
      <c r="H444" s="6"/>
      <c r="I444" s="6"/>
    </row>
    <row r="445" spans="1:10" x14ac:dyDescent="0.25">
      <c r="B445" s="17"/>
      <c r="C445" s="17"/>
      <c r="D445" s="25"/>
      <c r="E445" s="24"/>
      <c r="F445" s="6"/>
      <c r="G445" s="6"/>
      <c r="H445" s="6"/>
      <c r="I445" s="6"/>
    </row>
    <row r="446" spans="1:10" ht="15.75" x14ac:dyDescent="0.25">
      <c r="A446" s="221" t="s">
        <v>3759</v>
      </c>
      <c r="B446" s="17"/>
      <c r="C446" s="17"/>
      <c r="D446" s="25"/>
      <c r="E446" s="24"/>
      <c r="F446" s="6"/>
      <c r="G446" s="705"/>
      <c r="H446" s="6"/>
      <c r="I446" s="6"/>
    </row>
    <row r="447" spans="1:10" x14ac:dyDescent="0.25">
      <c r="A447" s="1317" t="s">
        <v>3758</v>
      </c>
      <c r="B447" s="17"/>
      <c r="C447" s="17"/>
      <c r="D447" s="25"/>
      <c r="E447" s="24"/>
      <c r="F447" s="6"/>
      <c r="G447" s="6"/>
      <c r="H447" s="6"/>
      <c r="I447" s="6"/>
    </row>
    <row r="448" spans="1:10" ht="18.75" x14ac:dyDescent="0.3">
      <c r="B448" s="1029" t="s">
        <v>1358</v>
      </c>
      <c r="C448" s="1030"/>
      <c r="D448" s="1030"/>
      <c r="E448" s="88"/>
      <c r="F448" s="89"/>
      <c r="G448" s="89"/>
      <c r="H448" s="89"/>
      <c r="I448" s="89"/>
      <c r="J448" s="89"/>
    </row>
    <row r="449" spans="1:11" ht="18.75" x14ac:dyDescent="0.3">
      <c r="B449" s="1031" t="s">
        <v>1357</v>
      </c>
      <c r="C449" s="1030"/>
      <c r="D449" s="1030"/>
      <c r="E449" s="88"/>
      <c r="F449" s="89"/>
      <c r="G449" s="89"/>
      <c r="H449" s="89"/>
      <c r="I449" s="89"/>
      <c r="J449" s="89"/>
    </row>
    <row r="450" spans="1:11" ht="18.75" x14ac:dyDescent="0.3">
      <c r="B450" s="1031" t="s">
        <v>727</v>
      </c>
      <c r="C450" s="1030"/>
      <c r="D450" s="1030"/>
      <c r="E450" s="88"/>
      <c r="F450" s="89"/>
      <c r="G450" s="89"/>
      <c r="H450" s="89"/>
      <c r="I450" s="89"/>
      <c r="J450" s="89"/>
    </row>
    <row r="451" spans="1:11" ht="18.75" x14ac:dyDescent="0.3">
      <c r="B451" s="1032" t="s">
        <v>728</v>
      </c>
      <c r="C451" s="1030"/>
      <c r="D451" s="1030"/>
      <c r="E451" s="88"/>
      <c r="F451" s="89"/>
      <c r="G451" s="89"/>
      <c r="H451" s="89"/>
      <c r="I451" s="89"/>
      <c r="J451" s="89"/>
    </row>
    <row r="452" spans="1:11" ht="18.75" x14ac:dyDescent="0.3">
      <c r="B452" s="1033" t="s">
        <v>3095</v>
      </c>
      <c r="C452" s="1034"/>
      <c r="D452" s="1034"/>
      <c r="E452" s="3645"/>
      <c r="F452" s="3646"/>
      <c r="G452" s="3646"/>
      <c r="H452" s="3646"/>
      <c r="I452" s="501"/>
      <c r="J452" s="501"/>
    </row>
    <row r="453" spans="1:11" ht="18.75" x14ac:dyDescent="0.3">
      <c r="B453" s="1035" t="s">
        <v>3096</v>
      </c>
      <c r="C453" s="1034"/>
      <c r="D453" s="1034"/>
      <c r="E453" s="3645"/>
      <c r="F453" s="3646"/>
      <c r="G453" s="3646"/>
      <c r="H453" s="3646"/>
      <c r="I453" s="501"/>
      <c r="J453" s="501"/>
    </row>
    <row r="454" spans="1:11" ht="18.75" x14ac:dyDescent="0.3">
      <c r="B454" s="1397"/>
      <c r="C454" s="1398"/>
      <c r="D454" s="1398"/>
      <c r="E454" s="3647"/>
      <c r="F454" s="1421"/>
      <c r="G454" s="1421"/>
      <c r="H454" s="1421"/>
      <c r="I454" s="215"/>
      <c r="J454" s="215"/>
    </row>
    <row r="455" spans="1:11" ht="18.75" x14ac:dyDescent="0.3">
      <c r="A455" s="1398" t="s">
        <v>3760</v>
      </c>
      <c r="B455" s="1397"/>
      <c r="C455" s="1398"/>
      <c r="D455" s="1398"/>
      <c r="E455" s="1037"/>
      <c r="F455" s="600"/>
      <c r="G455" s="600"/>
      <c r="H455" s="600"/>
      <c r="I455" s="215"/>
      <c r="J455" s="215"/>
    </row>
    <row r="456" spans="1:11" ht="19.5" thickBot="1" x14ac:dyDescent="0.35">
      <c r="A456" s="1398"/>
      <c r="B456" s="1397"/>
      <c r="C456" s="1398"/>
      <c r="D456" s="1398"/>
      <c r="E456" s="1037"/>
      <c r="F456" s="600"/>
      <c r="G456" s="600"/>
      <c r="H456" s="600"/>
      <c r="I456" s="215"/>
      <c r="J456" s="215"/>
      <c r="K456" s="755"/>
    </row>
    <row r="457" spans="1:11" ht="19.5" thickBot="1" x14ac:dyDescent="0.35">
      <c r="A457" s="1064"/>
      <c r="B457" s="3648" t="s">
        <v>3240</v>
      </c>
      <c r="C457" s="1572"/>
      <c r="D457" s="1573"/>
      <c r="E457" s="1573"/>
      <c r="F457" s="1572"/>
      <c r="G457" s="1572"/>
      <c r="H457" s="1572"/>
      <c r="I457" s="1574"/>
    </row>
    <row r="458" spans="1:11" x14ac:dyDescent="0.25">
      <c r="B458" s="17"/>
      <c r="C458" s="17"/>
      <c r="D458" s="25"/>
      <c r="E458" s="24"/>
      <c r="F458" s="6"/>
      <c r="G458" s="6"/>
      <c r="H458" s="6"/>
      <c r="I458" s="6"/>
    </row>
    <row r="459" spans="1:11" x14ac:dyDescent="0.25">
      <c r="A459" s="91"/>
      <c r="B459" s="17"/>
      <c r="C459" s="17"/>
      <c r="D459" s="25"/>
      <c r="E459" s="24"/>
      <c r="F459" s="6"/>
      <c r="G459" s="6"/>
      <c r="H459" s="6"/>
      <c r="I459" s="6"/>
    </row>
    <row r="460" spans="1:11" ht="18.75" x14ac:dyDescent="0.3">
      <c r="A460" s="94" t="s">
        <v>3128</v>
      </c>
      <c r="B460" s="17"/>
      <c r="C460" s="17"/>
      <c r="D460" s="25"/>
      <c r="E460" s="24"/>
      <c r="F460" s="6"/>
      <c r="G460" s="6"/>
      <c r="H460" s="6"/>
      <c r="J460" s="1041"/>
    </row>
    <row r="461" spans="1:11" x14ac:dyDescent="0.25">
      <c r="B461" s="17"/>
      <c r="C461" s="17"/>
      <c r="D461" s="25"/>
      <c r="E461" s="24"/>
      <c r="F461" s="6"/>
      <c r="G461" s="6"/>
      <c r="H461" s="6"/>
      <c r="J461" s="1044"/>
    </row>
    <row r="462" spans="1:11" s="67" customFormat="1" x14ac:dyDescent="0.25">
      <c r="A462" s="937" t="s">
        <v>1155</v>
      </c>
      <c r="B462" s="67" t="s">
        <v>3094</v>
      </c>
      <c r="C462" s="64"/>
      <c r="D462" s="134"/>
      <c r="E462" s="149"/>
      <c r="F462" s="66"/>
      <c r="G462" s="66"/>
      <c r="H462" s="66"/>
      <c r="J462" s="1051"/>
    </row>
    <row r="463" spans="1:11" s="67" customFormat="1" x14ac:dyDescent="0.25">
      <c r="A463" t="s">
        <v>1745</v>
      </c>
      <c r="B463" s="64"/>
      <c r="C463" s="64"/>
      <c r="D463" s="134"/>
      <c r="E463" s="149"/>
      <c r="F463" s="66"/>
      <c r="G463" s="66"/>
      <c r="H463" s="66"/>
      <c r="J463" s="1051"/>
    </row>
    <row r="464" spans="1:11" s="67" customFormat="1" x14ac:dyDescent="0.25">
      <c r="A464" t="s">
        <v>1746</v>
      </c>
      <c r="B464" s="64"/>
      <c r="C464" s="64"/>
      <c r="D464" s="134"/>
      <c r="E464" s="149"/>
      <c r="F464" s="66"/>
      <c r="G464" s="66"/>
      <c r="H464" s="66"/>
      <c r="J464" s="1051"/>
    </row>
    <row r="465" spans="1:11" s="67" customFormat="1" x14ac:dyDescent="0.25">
      <c r="A465" t="s">
        <v>2747</v>
      </c>
      <c r="B465" s="64"/>
      <c r="C465" s="64"/>
      <c r="D465" s="134"/>
      <c r="E465" s="149"/>
      <c r="F465" s="66"/>
      <c r="G465" s="66"/>
      <c r="H465" s="66"/>
      <c r="J465" s="1051"/>
      <c r="K465" s="6"/>
    </row>
    <row r="466" spans="1:11" s="67" customFormat="1" x14ac:dyDescent="0.25">
      <c r="A466" t="s">
        <v>2748</v>
      </c>
      <c r="B466" s="64"/>
      <c r="C466" s="64"/>
      <c r="D466" s="134"/>
      <c r="E466" s="149"/>
      <c r="F466" s="66"/>
      <c r="G466" s="66"/>
      <c r="H466" s="66"/>
      <c r="J466" s="1051"/>
      <c r="K466" s="6"/>
    </row>
    <row r="467" spans="1:11" s="1064" customFormat="1" ht="15.75" x14ac:dyDescent="0.25">
      <c r="A467" s="1063"/>
      <c r="B467" s="1434"/>
      <c r="C467" s="1501"/>
      <c r="D467" s="1501"/>
      <c r="E467" s="215"/>
      <c r="F467" s="215"/>
      <c r="G467" s="215"/>
      <c r="H467" s="215"/>
      <c r="I467" s="215"/>
      <c r="J467" s="215"/>
      <c r="K467" s="755"/>
    </row>
    <row r="468" spans="1:11" s="67" customFormat="1" x14ac:dyDescent="0.25">
      <c r="B468" s="64"/>
      <c r="C468" s="64"/>
      <c r="D468" s="134"/>
      <c r="E468" s="149"/>
      <c r="F468" s="66"/>
      <c r="G468" s="66"/>
      <c r="H468" s="66"/>
      <c r="J468" s="1051"/>
      <c r="K468" s="92"/>
    </row>
    <row r="469" spans="1:11" ht="18.75" x14ac:dyDescent="0.3">
      <c r="A469" s="1050" t="s">
        <v>3093</v>
      </c>
      <c r="B469" s="81"/>
      <c r="C469" s="81"/>
      <c r="J469" s="6"/>
      <c r="K469" s="66"/>
    </row>
    <row r="470" spans="1:11" x14ac:dyDescent="0.25">
      <c r="A470" s="67" t="s">
        <v>3241</v>
      </c>
      <c r="B470" s="3649" t="s">
        <v>3242</v>
      </c>
      <c r="C470" s="1370" t="s">
        <v>3761</v>
      </c>
      <c r="J470" s="6"/>
      <c r="K470" s="66"/>
    </row>
    <row r="471" spans="1:11" x14ac:dyDescent="0.25">
      <c r="A471" s="67" t="s">
        <v>3762</v>
      </c>
      <c r="B471" s="81"/>
      <c r="C471" s="81"/>
      <c r="J471" s="978" t="s">
        <v>725</v>
      </c>
    </row>
    <row r="472" spans="1:11" x14ac:dyDescent="0.25">
      <c r="A472" s="1317" t="s">
        <v>3243</v>
      </c>
    </row>
    <row r="473" spans="1:11" x14ac:dyDescent="0.25">
      <c r="A473" s="1317"/>
    </row>
    <row r="474" spans="1:11" x14ac:dyDescent="0.25">
      <c r="A474" s="1317"/>
    </row>
    <row r="475" spans="1:11" s="1443" customFormat="1" ht="15.75" x14ac:dyDescent="0.25">
      <c r="B475" s="1471" t="s">
        <v>1751</v>
      </c>
      <c r="G475" s="1471" t="s">
        <v>1749</v>
      </c>
    </row>
    <row r="476" spans="1:11" ht="15.75" thickBot="1" x14ac:dyDescent="0.3">
      <c r="K476" s="1025"/>
    </row>
    <row r="477" spans="1:11" ht="19.5" thickTop="1" x14ac:dyDescent="0.3">
      <c r="A477" s="960" t="s">
        <v>486</v>
      </c>
      <c r="B477" s="946"/>
      <c r="C477" s="946"/>
      <c r="D477" s="947"/>
      <c r="E477" s="947"/>
      <c r="F477" s="946"/>
      <c r="G477" s="946"/>
      <c r="H477" s="949"/>
    </row>
    <row r="478" spans="1:11" ht="15.75" x14ac:dyDescent="0.25">
      <c r="A478" s="964" t="s">
        <v>736</v>
      </c>
      <c r="B478" s="944"/>
      <c r="C478" s="944"/>
      <c r="D478" s="945"/>
      <c r="E478" s="945"/>
      <c r="F478" s="944"/>
      <c r="G478" s="944"/>
      <c r="H478" s="950"/>
    </row>
    <row r="479" spans="1:11" x14ac:dyDescent="0.25">
      <c r="A479" s="1054"/>
      <c r="B479" s="943" t="s">
        <v>326</v>
      </c>
      <c r="C479" s="945"/>
      <c r="D479" s="945"/>
      <c r="E479" s="945"/>
      <c r="F479" s="944"/>
      <c r="G479" s="944"/>
      <c r="H479" s="950"/>
    </row>
    <row r="480" spans="1:11" x14ac:dyDescent="0.25">
      <c r="A480" s="1054"/>
      <c r="B480" s="1356" t="s">
        <v>870</v>
      </c>
      <c r="C480" s="1357"/>
      <c r="D480" s="1357"/>
      <c r="E480" s="945"/>
      <c r="F480" s="944"/>
      <c r="G480" s="944"/>
      <c r="H480" s="950"/>
    </row>
    <row r="481" spans="1:9" x14ac:dyDescent="0.25">
      <c r="A481" s="1054"/>
      <c r="B481" s="942" t="s">
        <v>1103</v>
      </c>
      <c r="C481" s="945"/>
      <c r="D481" s="945"/>
      <c r="E481" s="945"/>
      <c r="F481" s="944"/>
      <c r="G481" s="944"/>
      <c r="H481" s="950"/>
    </row>
    <row r="482" spans="1:9" x14ac:dyDescent="0.25">
      <c r="A482" s="1054" t="s">
        <v>154</v>
      </c>
      <c r="B482" s="942" t="s">
        <v>1104</v>
      </c>
      <c r="C482" s="945"/>
      <c r="D482" s="945"/>
      <c r="E482" s="945"/>
      <c r="F482" s="944"/>
      <c r="G482" s="944"/>
      <c r="H482" s="950"/>
    </row>
    <row r="483" spans="1:9" x14ac:dyDescent="0.25">
      <c r="A483" s="1054"/>
      <c r="B483" s="942" t="s">
        <v>1105</v>
      </c>
      <c r="C483" s="945"/>
      <c r="D483" s="945"/>
      <c r="E483" s="945"/>
      <c r="F483" s="944"/>
      <c r="G483" s="944"/>
      <c r="H483" s="950"/>
    </row>
    <row r="484" spans="1:9" x14ac:dyDescent="0.25">
      <c r="A484" s="1890"/>
      <c r="B484" s="942" t="s">
        <v>1106</v>
      </c>
      <c r="C484" s="1019"/>
      <c r="D484" s="945"/>
      <c r="E484" s="945"/>
      <c r="F484" s="944"/>
      <c r="G484" s="944"/>
      <c r="H484" s="950"/>
    </row>
    <row r="485" spans="1:9" x14ac:dyDescent="0.25">
      <c r="A485" s="1890"/>
      <c r="B485" s="942" t="s">
        <v>1449</v>
      </c>
      <c r="C485" s="1019"/>
      <c r="D485" s="945"/>
      <c r="E485" s="945"/>
      <c r="F485" s="944"/>
      <c r="G485" s="944"/>
      <c r="H485" s="950"/>
    </row>
    <row r="486" spans="1:9" x14ac:dyDescent="0.25">
      <c r="A486" s="1890"/>
      <c r="B486" s="942" t="s">
        <v>1462</v>
      </c>
      <c r="C486" s="1019"/>
      <c r="D486" s="945"/>
      <c r="E486" s="945"/>
      <c r="F486" s="944"/>
      <c r="G486" s="944"/>
      <c r="H486" s="950"/>
    </row>
    <row r="487" spans="1:9" x14ac:dyDescent="0.25">
      <c r="A487" s="1890"/>
      <c r="B487" s="942" t="s">
        <v>1450</v>
      </c>
      <c r="C487" s="1019"/>
      <c r="D487" s="945"/>
      <c r="E487" s="945"/>
      <c r="F487" s="944"/>
      <c r="G487" s="944"/>
      <c r="H487" s="950"/>
      <c r="I487" s="1020"/>
    </row>
    <row r="488" spans="1:9" x14ac:dyDescent="0.25">
      <c r="A488" s="1890"/>
      <c r="B488" s="942" t="s">
        <v>1107</v>
      </c>
      <c r="C488" s="1019"/>
      <c r="D488" s="945"/>
      <c r="E488" s="945"/>
      <c r="F488" s="944"/>
      <c r="G488" s="944"/>
      <c r="H488" s="950"/>
      <c r="I488" s="1020"/>
    </row>
    <row r="489" spans="1:9" x14ac:dyDescent="0.25">
      <c r="A489" s="1890"/>
      <c r="B489" s="943" t="s">
        <v>1108</v>
      </c>
      <c r="C489" s="1019"/>
      <c r="D489" s="945"/>
      <c r="E489" s="945"/>
      <c r="F489" s="944"/>
      <c r="G489" s="944"/>
      <c r="H489" s="950"/>
      <c r="I489" s="1020"/>
    </row>
    <row r="490" spans="1:9" x14ac:dyDescent="0.25">
      <c r="A490" s="1890"/>
      <c r="B490" s="943" t="s">
        <v>1100</v>
      </c>
      <c r="C490" s="1019"/>
      <c r="D490" s="945"/>
      <c r="E490" s="945"/>
      <c r="F490" s="944"/>
      <c r="G490" s="944"/>
      <c r="H490" s="950"/>
    </row>
    <row r="491" spans="1:9" x14ac:dyDescent="0.25">
      <c r="A491" s="1054"/>
      <c r="B491" s="943" t="s">
        <v>1099</v>
      </c>
      <c r="C491" s="945"/>
      <c r="D491" s="945"/>
      <c r="E491" s="945"/>
      <c r="F491" s="944"/>
      <c r="G491" s="944"/>
      <c r="H491" s="950"/>
    </row>
    <row r="492" spans="1:9" x14ac:dyDescent="0.25">
      <c r="A492" s="1054"/>
      <c r="B492" s="943" t="s">
        <v>1098</v>
      </c>
      <c r="C492" s="945"/>
      <c r="D492" s="945"/>
      <c r="E492" s="945"/>
      <c r="F492" s="944"/>
      <c r="G492" s="944"/>
      <c r="H492" s="950"/>
    </row>
    <row r="493" spans="1:9" x14ac:dyDescent="0.25">
      <c r="A493" s="1054"/>
      <c r="B493" s="942" t="s">
        <v>1097</v>
      </c>
      <c r="C493" s="945"/>
      <c r="D493" s="945"/>
      <c r="E493" s="945"/>
      <c r="F493" s="944"/>
      <c r="G493" s="944"/>
      <c r="H493" s="950"/>
    </row>
    <row r="494" spans="1:9" x14ac:dyDescent="0.25">
      <c r="A494" s="1054"/>
      <c r="B494" s="943" t="s">
        <v>1101</v>
      </c>
      <c r="C494" s="945"/>
      <c r="D494" s="945"/>
      <c r="E494" s="945"/>
      <c r="F494" s="944"/>
      <c r="G494" s="944"/>
      <c r="H494" s="950"/>
    </row>
    <row r="495" spans="1:9" x14ac:dyDescent="0.25">
      <c r="A495" s="1054"/>
      <c r="B495" s="943" t="s">
        <v>1102</v>
      </c>
      <c r="C495" s="945"/>
      <c r="D495" s="1019" t="s">
        <v>1762</v>
      </c>
      <c r="E495" s="945"/>
      <c r="F495" s="944"/>
      <c r="G495" s="944"/>
      <c r="H495" s="950"/>
    </row>
    <row r="496" spans="1:9" x14ac:dyDescent="0.25">
      <c r="A496" s="1083"/>
      <c r="B496" s="1081" t="s">
        <v>719</v>
      </c>
      <c r="C496" s="945"/>
      <c r="D496" s="1019" t="s">
        <v>1764</v>
      </c>
      <c r="E496" s="945"/>
      <c r="F496" s="944"/>
      <c r="G496" s="944"/>
      <c r="H496" s="950"/>
    </row>
    <row r="497" spans="1:8" x14ac:dyDescent="0.25">
      <c r="A497" s="1083"/>
      <c r="B497" s="1081" t="s">
        <v>720</v>
      </c>
      <c r="C497" s="945"/>
      <c r="D497" s="1019" t="s">
        <v>1289</v>
      </c>
      <c r="E497" s="945"/>
      <c r="F497" s="945"/>
      <c r="G497" s="945"/>
      <c r="H497" s="950"/>
    </row>
    <row r="498" spans="1:8" x14ac:dyDescent="0.25">
      <c r="A498" s="1083"/>
      <c r="B498" s="1081" t="s">
        <v>721</v>
      </c>
      <c r="C498" s="945"/>
      <c r="D498" s="945" t="s">
        <v>722</v>
      </c>
      <c r="E498" s="945"/>
      <c r="F498" s="945"/>
      <c r="G498" s="945"/>
      <c r="H498" s="950"/>
    </row>
    <row r="499" spans="1:8" x14ac:dyDescent="0.25">
      <c r="A499" s="1083"/>
      <c r="B499" s="1081" t="s">
        <v>725</v>
      </c>
      <c r="C499" s="945"/>
      <c r="D499" s="1019" t="s">
        <v>1763</v>
      </c>
      <c r="E499" s="945"/>
      <c r="F499" s="945"/>
      <c r="G499" s="945"/>
      <c r="H499" s="950"/>
    </row>
    <row r="500" spans="1:8" ht="15.75" thickBot="1" x14ac:dyDescent="0.3">
      <c r="A500" s="1088"/>
      <c r="B500" s="1089" t="s">
        <v>577</v>
      </c>
      <c r="C500" s="948"/>
      <c r="D500" s="1087" t="s">
        <v>578</v>
      </c>
      <c r="E500" s="948"/>
      <c r="F500" s="948"/>
      <c r="G500" s="948"/>
      <c r="H500" s="951"/>
    </row>
    <row r="501" spans="1:8" ht="15.75" thickTop="1" x14ac:dyDescent="0.25"/>
  </sheetData>
  <sheetProtection sheet="1" objects="1" scenarios="1"/>
  <phoneticPr fontId="0" type="noConversion"/>
  <hyperlinks>
    <hyperlink ref="C287" location="'S. Setup'!A1" display="Setup"/>
    <hyperlink ref="C288" location="'1. AgeData'!A1" display="1. AgeData"/>
    <hyperlink ref="C289" location="'2. TaxData'!A1" display="2. TaxData"/>
    <hyperlink ref="C293" location="'4. PensionData'!A1" display="4. PensionData"/>
    <hyperlink ref="C294" location="'5. SocSecData'!A1" display="5. SocSecData"/>
    <hyperlink ref="C292" location="'3. WorkData'!A1" display="3. WorkData"/>
    <hyperlink ref="C295" location="'6. AnnuityData'!A1" display="6. AnnuityData"/>
    <hyperlink ref="C298" location="'7. IRAdata'!A1" display="7. IRAdata"/>
    <hyperlink ref="C299" location="'8. RothData'!A1" display="8. RothData"/>
    <hyperlink ref="C300" location="'9. SavingsData'!A1" display="9. SavingsData"/>
    <hyperlink ref="C284" location="'R. Results'!A1" display="R. Results"/>
    <hyperlink ref="C307" location="'11. CashData'!A1" display="11. CashData"/>
    <hyperlink ref="C303" location="'10. ExpensesData'!A1" display="10. ExpensesData"/>
    <hyperlink ref="C311" location="'12. RMDtable'!A1" display="12. RMDtable"/>
    <hyperlink ref="A74" location="'Appendix A'!A1" display="Appendix A"/>
    <hyperlink ref="A75" location="'Appendix B'!A1" display="Appendix B"/>
    <hyperlink ref="A76" location="'Appendix C'!A1" display="Appendix C"/>
    <hyperlink ref="A77" location="'Appendix D'!A1" display="Appendix D"/>
    <hyperlink ref="B482" location="'S. Setup'!A1" display="Setup"/>
    <hyperlink ref="B483" location="'1. AgeData'!A1" display="AgeData"/>
    <hyperlink ref="B484" location="'2. TaxData'!A1" display="TaxData"/>
    <hyperlink ref="B486" location="'4. PensionData'!A1" display="4. PensionData"/>
    <hyperlink ref="B487" location="'5. SocSecData'!A1" display="5. SocSecData"/>
    <hyperlink ref="B485" location="'3. WorkData'!A1" display="3. WorkData"/>
    <hyperlink ref="B488" location="'6. AnnuityData'!A1" display="AnnuityData"/>
    <hyperlink ref="B489" location="'7. IRAdata'!A1" display="IRAdata"/>
    <hyperlink ref="B490" location="'8. RothData'!A1" display="RothData"/>
    <hyperlink ref="B491" location="'9. SavingsData'!A1" display="SavingsData"/>
    <hyperlink ref="B481" location="'R. Results'!A1" display="Results"/>
    <hyperlink ref="B493" location="'11. CashData'!A1" display="CashData"/>
    <hyperlink ref="B492" location="'10. ExpensesData'!A1" display="ExpensesData"/>
    <hyperlink ref="B494" location="'12. RMDtable'!A1" display="RMDtable"/>
    <hyperlink ref="B479" location="Introduction!A1" display="Introduction"/>
    <hyperlink ref="B499" location="'Appendix D'!A1" display="Appendix D"/>
    <hyperlink ref="B496" location="'Appendix A'!A1" display="Appendix A"/>
    <hyperlink ref="B497" location="'Appendix B'!A1" display="Appendix B"/>
    <hyperlink ref="B498" location="'Appendix C'!A1" display="Appendix C"/>
    <hyperlink ref="B500" location="FAQ!A1" display="FAQ"/>
    <hyperlink ref="A78" location="FAQ!A1" display="FAQ"/>
    <hyperlink ref="A71" location="Assumptions!A1" display="Assumptions"/>
    <hyperlink ref="C281" location="Assumptions!A1" display="Assumptions"/>
    <hyperlink ref="B480" location="Assumptions!A1" display="Assumptions"/>
    <hyperlink ref="B32" location="'Appendix D'!A1" display="Appendix D"/>
    <hyperlink ref="G475" location="Assumptions!A1" display="Next SIPT worksheet (Assumptions)"/>
    <hyperlink ref="B495" location="'RS. Resources'!A1" display="Resources"/>
    <hyperlink ref="E37" r:id="rId1"/>
    <hyperlink ref="D40" r:id="rId2"/>
    <hyperlink ref="A73" location="'RS. Resources'!A1" display="Resources"/>
    <hyperlink ref="A462" location="'Appendix A'!A1" display="Appendix A "/>
    <hyperlink ref="G167" r:id="rId3"/>
    <hyperlink ref="B475" location="Assumptions!A1" display="Next SIPT worksheet (Assumptions)"/>
    <hyperlink ref="I97" location="SimpleCalc!A1" display="SimpleCalc "/>
    <hyperlink ref="C276" location="SimpleCalc!A1" display="SimpleCalc"/>
    <hyperlink ref="H1" location="Assumptions!A1" display="Next SIPT worksheet (Assumptions)"/>
    <hyperlink ref="C1" location="Assumptions!A1" display="Next SIPT worksheet (Assumptions)"/>
    <hyperlink ref="A72" location="'R. Results'!A1" display="Results"/>
    <hyperlink ref="A315" location="'Appendix A'!A1" display="Appendix A."/>
    <hyperlink ref="B470" location="FAQ!A1" display="FAQ "/>
    <hyperlink ref="J471" location="'Appendix D'!A1" display="Appendix D"/>
    <hyperlink ref="F443" location="FAQ!A1" display="FAQ"/>
    <hyperlink ref="G437" location="Assumptions!A1" display="Assumptions"/>
    <hyperlink ref="G435" location="'R. Results'!A1" display="R. Results"/>
    <hyperlink ref="G411" location="'S. Setup'!A1" display="S. Setup"/>
    <hyperlink ref="J412" location="'1. AgeData'!A1" display="1. AgeData "/>
    <hyperlink ref="B413" location="'2. TaxData'!A1" display="2. TaxData"/>
  </hyperlinks>
  <printOptions headings="1" gridLines="1"/>
  <pageMargins left="0.7" right="0.7" top="0.75" bottom="0.75" header="0.3" footer="0.3"/>
  <pageSetup orientation="landscape" horizontalDpi="1200" verticalDpi="1200" r:id="rId4"/>
  <headerFooter>
    <oddHeader>&amp;L&amp;F&amp;C   &amp;D &amp;T&amp;R&amp;A &amp;P</oddHeader>
  </headerFooter>
  <drawing r:id="rId5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Q195"/>
  <sheetViews>
    <sheetView zoomScaleNormal="100" workbookViewId="0">
      <selection activeCell="A103" sqref="A103"/>
    </sheetView>
  </sheetViews>
  <sheetFormatPr defaultRowHeight="15" x14ac:dyDescent="0.25"/>
  <cols>
    <col min="1" max="1" width="6.140625" customWidth="1"/>
    <col min="2" max="2" width="6.5703125" customWidth="1"/>
    <col min="5" max="5" width="9.42578125" customWidth="1"/>
    <col min="8" max="8" width="10.5703125" bestFit="1" customWidth="1"/>
    <col min="10" max="10" width="8.42578125" customWidth="1"/>
    <col min="12" max="12" width="12.140625" customWidth="1"/>
    <col min="14" max="14" width="15" customWidth="1"/>
    <col min="15" max="15" width="11.140625" customWidth="1"/>
  </cols>
  <sheetData>
    <row r="1" spans="1:12" s="1382" customFormat="1" ht="15.75" x14ac:dyDescent="0.25">
      <c r="B1" s="978" t="s">
        <v>1440</v>
      </c>
      <c r="G1" s="978" t="s">
        <v>1441</v>
      </c>
    </row>
    <row r="2" spans="1:12" s="1382" customFormat="1" ht="15.75" x14ac:dyDescent="0.25">
      <c r="A2" s="1412"/>
      <c r="B2" s="1413"/>
      <c r="C2" s="1412"/>
      <c r="D2" s="1412"/>
      <c r="E2" s="1412"/>
      <c r="F2" s="1412"/>
      <c r="G2" s="1413"/>
      <c r="H2" s="1412"/>
      <c r="I2" s="1412"/>
      <c r="J2" s="1412"/>
      <c r="K2" s="1412"/>
      <c r="L2" s="1412"/>
    </row>
    <row r="3" spans="1:12" x14ac:dyDescent="0.25">
      <c r="A3" s="6"/>
    </row>
    <row r="4" spans="1:12" ht="18.75" x14ac:dyDescent="0.3">
      <c r="A4" s="163" t="s">
        <v>1439</v>
      </c>
    </row>
    <row r="5" spans="1:12" ht="18.75" x14ac:dyDescent="0.3">
      <c r="A5" s="144"/>
    </row>
    <row r="6" spans="1:12" ht="15.75" x14ac:dyDescent="0.25">
      <c r="A6" s="1582" t="s">
        <v>2989</v>
      </c>
    </row>
    <row r="7" spans="1:12" x14ac:dyDescent="0.25">
      <c r="A7" s="1296" t="s">
        <v>3711</v>
      </c>
    </row>
    <row r="8" spans="1:12" ht="16.5" thickBot="1" x14ac:dyDescent="0.3">
      <c r="A8" s="1582"/>
    </row>
    <row r="9" spans="1:12" ht="18.75" x14ac:dyDescent="0.3">
      <c r="A9" s="144"/>
      <c r="B9" s="627" t="str">
        <f>IF('S. Setup'!$K$37="used","You MUST edit this worksheet","You DO NOT HAVE TO edit this worksheet")</f>
        <v>You MUST edit this worksheet</v>
      </c>
      <c r="C9" s="628"/>
      <c r="D9" s="628"/>
      <c r="E9" s="628"/>
      <c r="F9" s="628"/>
      <c r="G9" s="629"/>
      <c r="H9" s="628"/>
      <c r="I9" s="628"/>
      <c r="J9" s="1687"/>
      <c r="K9" s="1689"/>
    </row>
    <row r="10" spans="1:12" ht="19.5" thickBot="1" x14ac:dyDescent="0.35">
      <c r="A10" s="144"/>
      <c r="B10" s="631" t="s">
        <v>584</v>
      </c>
      <c r="C10" s="632"/>
      <c r="D10" s="632"/>
      <c r="E10" s="632"/>
      <c r="F10" s="632"/>
      <c r="G10" s="632"/>
      <c r="H10" s="632"/>
      <c r="I10" s="632"/>
      <c r="J10" s="1688" t="str">
        <f>'S. Setup'!$K$37</f>
        <v>used</v>
      </c>
      <c r="K10" s="635"/>
    </row>
    <row r="11" spans="1:12" ht="18.75" x14ac:dyDescent="0.3">
      <c r="A11" s="144"/>
      <c r="B11" s="1097" t="s">
        <v>60</v>
      </c>
      <c r="C11" s="1097"/>
      <c r="D11" s="1097"/>
      <c r="E11" s="1097"/>
      <c r="F11" s="1097"/>
      <c r="G11" s="1097"/>
      <c r="H11" s="1097"/>
      <c r="I11" s="1388" t="s">
        <v>1104</v>
      </c>
      <c r="J11" s="735"/>
    </row>
    <row r="12" spans="1:12" ht="18.75" x14ac:dyDescent="0.3">
      <c r="A12" s="144"/>
      <c r="B12" s="712"/>
      <c r="C12" s="33"/>
      <c r="D12" s="33"/>
      <c r="E12" s="33"/>
      <c r="F12" s="33"/>
      <c r="G12" s="33"/>
      <c r="H12" s="33"/>
      <c r="I12" s="33"/>
      <c r="J12" s="735"/>
    </row>
    <row r="13" spans="1:12" ht="18.75" x14ac:dyDescent="0.3">
      <c r="A13" s="1022" t="s">
        <v>253</v>
      </c>
      <c r="B13" s="760"/>
      <c r="C13" s="750"/>
      <c r="D13" s="750"/>
      <c r="E13" s="750"/>
      <c r="F13" s="750"/>
      <c r="G13" s="750"/>
      <c r="H13" s="750"/>
      <c r="I13" s="750"/>
      <c r="J13" s="763"/>
      <c r="K13" s="675"/>
    </row>
    <row r="14" spans="1:12" ht="18.75" x14ac:dyDescent="0.3">
      <c r="A14" s="1365" t="s">
        <v>1439</v>
      </c>
      <c r="B14" s="989"/>
      <c r="C14" s="122"/>
      <c r="D14" s="122"/>
      <c r="E14" s="122"/>
      <c r="F14" s="122"/>
      <c r="G14" s="122"/>
      <c r="H14" s="33"/>
      <c r="I14" s="33"/>
      <c r="J14" s="735"/>
      <c r="K14" s="678"/>
    </row>
    <row r="15" spans="1:12" ht="18.75" x14ac:dyDescent="0.3">
      <c r="A15" s="1365" t="s">
        <v>1453</v>
      </c>
      <c r="B15" s="989"/>
      <c r="C15" s="122"/>
      <c r="D15" s="122"/>
      <c r="E15" s="122"/>
      <c r="F15" s="122"/>
      <c r="G15" s="122"/>
      <c r="H15" s="33"/>
      <c r="I15" s="33"/>
      <c r="J15" s="735"/>
      <c r="K15" s="678"/>
    </row>
    <row r="16" spans="1:12" ht="18.75" x14ac:dyDescent="0.3">
      <c r="A16" s="764" t="s">
        <v>3719</v>
      </c>
      <c r="B16" s="989"/>
      <c r="C16" s="122"/>
      <c r="D16" s="122"/>
      <c r="E16" s="122"/>
      <c r="F16" s="122"/>
      <c r="G16" s="122"/>
      <c r="H16" s="33"/>
      <c r="I16" s="33"/>
      <c r="J16" s="735"/>
      <c r="K16" s="678"/>
    </row>
    <row r="17" spans="1:12" ht="18.75" x14ac:dyDescent="0.3">
      <c r="A17" s="764" t="s">
        <v>3720</v>
      </c>
      <c r="B17" s="989"/>
      <c r="C17" s="122"/>
      <c r="D17" s="122"/>
      <c r="E17" s="122"/>
      <c r="F17" s="122"/>
      <c r="G17" s="122"/>
      <c r="H17" s="33"/>
      <c r="I17" s="33"/>
      <c r="J17" s="735"/>
      <c r="K17" s="678"/>
    </row>
    <row r="18" spans="1:12" ht="18.75" x14ac:dyDescent="0.3">
      <c r="A18" s="764" t="s">
        <v>1772</v>
      </c>
      <c r="B18" s="989"/>
      <c r="C18" s="122"/>
      <c r="D18" s="122"/>
      <c r="E18" s="122"/>
      <c r="F18" s="122"/>
      <c r="G18" s="122"/>
      <c r="H18" s="33"/>
      <c r="I18" s="33"/>
      <c r="J18" s="735"/>
      <c r="K18" s="678"/>
    </row>
    <row r="19" spans="1:12" x14ac:dyDescent="0.25">
      <c r="A19" s="66" t="s">
        <v>1773</v>
      </c>
      <c r="B19" s="748"/>
      <c r="C19" s="122"/>
      <c r="D19" s="122"/>
      <c r="E19" s="122"/>
      <c r="F19" s="122"/>
      <c r="G19" s="122"/>
      <c r="H19" s="122"/>
      <c r="I19" s="122"/>
      <c r="J19" s="1349"/>
      <c r="K19" s="1045"/>
    </row>
    <row r="20" spans="1:12" x14ac:dyDescent="0.25">
      <c r="A20" s="66" t="s">
        <v>1458</v>
      </c>
      <c r="B20" s="748"/>
      <c r="C20" s="122"/>
      <c r="D20" s="122"/>
      <c r="E20" s="122"/>
      <c r="F20" s="122"/>
      <c r="G20" s="122"/>
      <c r="H20" s="122"/>
      <c r="I20" s="122"/>
      <c r="J20" s="1349"/>
      <c r="K20" s="1045"/>
    </row>
    <row r="21" spans="1:12" x14ac:dyDescent="0.25">
      <c r="A21" s="66" t="s">
        <v>1774</v>
      </c>
      <c r="B21" s="748"/>
      <c r="C21" s="122"/>
      <c r="D21" s="122"/>
      <c r="E21" s="122"/>
      <c r="F21" s="122"/>
      <c r="G21" s="122"/>
      <c r="H21" s="122"/>
      <c r="I21" s="122"/>
      <c r="J21" s="1349"/>
      <c r="K21" s="1045"/>
    </row>
    <row r="22" spans="1:12" ht="18.75" x14ac:dyDescent="0.3">
      <c r="A22" s="1426" t="s">
        <v>1827</v>
      </c>
      <c r="B22" s="989"/>
      <c r="C22" s="122"/>
      <c r="D22" s="122"/>
      <c r="E22" s="122"/>
      <c r="F22" s="122"/>
      <c r="G22" s="122"/>
      <c r="H22" s="33"/>
      <c r="I22" s="33"/>
      <c r="J22" s="735"/>
      <c r="K22" s="678"/>
    </row>
    <row r="23" spans="1:12" ht="18.75" x14ac:dyDescent="0.3">
      <c r="A23" s="1363" t="s">
        <v>1460</v>
      </c>
      <c r="B23" s="1427"/>
      <c r="C23" s="1428"/>
      <c r="D23" s="1428"/>
      <c r="E23" s="1428"/>
      <c r="F23" s="1428"/>
      <c r="G23" s="1428"/>
      <c r="H23" s="753"/>
      <c r="I23" s="753"/>
      <c r="J23" s="766"/>
      <c r="K23" s="682"/>
    </row>
    <row r="24" spans="1:12" ht="18.75" x14ac:dyDescent="0.3">
      <c r="A24" s="144"/>
    </row>
    <row r="25" spans="1:12" x14ac:dyDescent="0.25">
      <c r="A25" s="1541" t="s">
        <v>3712</v>
      </c>
      <c r="B25" s="67"/>
    </row>
    <row r="26" spans="1:12" x14ac:dyDescent="0.25">
      <c r="A26" s="1541" t="s">
        <v>3713</v>
      </c>
      <c r="B26" s="67"/>
    </row>
    <row r="27" spans="1:12" x14ac:dyDescent="0.25">
      <c r="A27" s="1541" t="s">
        <v>3714</v>
      </c>
      <c r="B27" s="67"/>
    </row>
    <row r="28" spans="1:12" x14ac:dyDescent="0.25">
      <c r="A28" s="1296" t="s">
        <v>3715</v>
      </c>
    </row>
    <row r="29" spans="1:12" x14ac:dyDescent="0.25">
      <c r="A29" s="1296"/>
    </row>
    <row r="30" spans="1:12" ht="15.75" x14ac:dyDescent="0.25">
      <c r="A30" s="1296" t="s">
        <v>3304</v>
      </c>
    </row>
    <row r="31" spans="1:12" x14ac:dyDescent="0.25">
      <c r="A31" s="1296" t="s">
        <v>2794</v>
      </c>
      <c r="B31" s="67"/>
      <c r="C31" s="67"/>
      <c r="D31" s="67"/>
      <c r="E31" s="67"/>
      <c r="F31" s="67"/>
      <c r="G31" s="67"/>
      <c r="H31" s="67"/>
      <c r="I31" s="67"/>
      <c r="J31" s="67"/>
      <c r="K31" s="67"/>
      <c r="L31" s="67"/>
    </row>
    <row r="32" spans="1:12" x14ac:dyDescent="0.25">
      <c r="A32" s="1351" t="s">
        <v>3716</v>
      </c>
      <c r="B32" s="67"/>
      <c r="C32" s="67"/>
      <c r="D32" s="67"/>
      <c r="E32" s="67"/>
      <c r="F32" s="67"/>
      <c r="G32" s="67"/>
      <c r="H32" s="67"/>
      <c r="I32" s="67"/>
      <c r="J32" s="67"/>
      <c r="K32" s="67"/>
      <c r="L32" s="67"/>
    </row>
    <row r="33" spans="1:12" x14ac:dyDescent="0.25">
      <c r="A33" s="1351" t="s">
        <v>3717</v>
      </c>
      <c r="B33" s="67"/>
      <c r="C33" s="67"/>
      <c r="D33" s="67"/>
      <c r="E33" s="67"/>
      <c r="F33" s="67"/>
      <c r="G33" s="67"/>
      <c r="H33" s="67"/>
      <c r="I33" s="67"/>
      <c r="J33" s="67"/>
      <c r="K33" s="67"/>
      <c r="L33" s="67"/>
    </row>
    <row r="34" spans="1:12" x14ac:dyDescent="0.25">
      <c r="A34" s="1296" t="s">
        <v>1775</v>
      </c>
      <c r="B34" s="67"/>
      <c r="C34" s="67"/>
      <c r="D34" s="67"/>
      <c r="E34" s="67"/>
      <c r="F34" s="67"/>
      <c r="G34" s="67"/>
      <c r="H34" s="67"/>
      <c r="I34" s="67"/>
      <c r="J34" s="67"/>
      <c r="K34" s="67"/>
      <c r="L34" s="67"/>
    </row>
    <row r="35" spans="1:12" x14ac:dyDescent="0.25">
      <c r="A35" s="1296" t="s">
        <v>200</v>
      </c>
      <c r="B35" s="67"/>
      <c r="C35" s="67"/>
      <c r="D35" s="67"/>
      <c r="E35" s="67"/>
      <c r="F35" s="67"/>
      <c r="G35" s="67"/>
      <c r="H35" s="67"/>
      <c r="I35" s="67"/>
      <c r="J35" s="67"/>
      <c r="K35" s="67"/>
      <c r="L35" s="67"/>
    </row>
    <row r="36" spans="1:12" x14ac:dyDescent="0.25">
      <c r="A36" s="1296" t="s">
        <v>1776</v>
      </c>
      <c r="B36" s="67"/>
      <c r="C36" s="67"/>
      <c r="D36" s="67"/>
      <c r="E36" s="67"/>
      <c r="F36" s="67"/>
      <c r="G36" s="67"/>
      <c r="H36" s="67"/>
      <c r="I36" s="67"/>
      <c r="J36" s="67"/>
      <c r="K36" s="67"/>
      <c r="L36" s="67"/>
    </row>
    <row r="37" spans="1:12" x14ac:dyDescent="0.25">
      <c r="A37" s="1351" t="s">
        <v>865</v>
      </c>
      <c r="B37" s="67"/>
      <c r="C37" s="67"/>
      <c r="D37" s="67"/>
      <c r="E37" s="67"/>
      <c r="F37" s="67"/>
      <c r="G37" s="67"/>
      <c r="H37" s="67"/>
      <c r="I37" s="67"/>
      <c r="J37" s="67"/>
      <c r="K37" s="67"/>
      <c r="L37" s="67"/>
    </row>
    <row r="38" spans="1:12" x14ac:dyDescent="0.25">
      <c r="A38" s="1296" t="s">
        <v>1777</v>
      </c>
      <c r="B38" s="67"/>
      <c r="C38" s="67"/>
      <c r="D38" s="67"/>
      <c r="E38" s="67"/>
      <c r="F38" s="67"/>
      <c r="G38" s="67"/>
      <c r="H38" s="67"/>
      <c r="I38" s="67"/>
      <c r="J38" s="67"/>
      <c r="K38" s="67"/>
      <c r="L38" s="67"/>
    </row>
    <row r="39" spans="1:12" ht="16.5" customHeight="1" x14ac:dyDescent="0.25">
      <c r="A39" s="64"/>
      <c r="B39" s="1350" t="s">
        <v>2438</v>
      </c>
      <c r="C39" s="1350"/>
      <c r="D39" s="1350"/>
      <c r="E39" s="1149"/>
      <c r="F39" s="1149"/>
      <c r="G39" s="1149"/>
      <c r="H39" s="1149"/>
      <c r="I39" s="1149"/>
    </row>
    <row r="40" spans="1:12" s="215" customFormat="1" ht="15.75" x14ac:dyDescent="0.25">
      <c r="A40" s="93"/>
      <c r="B40" s="1647"/>
      <c r="C40" s="1647"/>
      <c r="D40" s="1647"/>
    </row>
    <row r="41" spans="1:12" ht="15.75" thickBot="1" x14ac:dyDescent="0.3"/>
    <row r="42" spans="1:12" ht="19.5" thickTop="1" x14ac:dyDescent="0.3">
      <c r="A42" s="265" t="s">
        <v>1780</v>
      </c>
      <c r="B42" s="14"/>
      <c r="C42" s="14"/>
      <c r="D42" s="14"/>
      <c r="E42" s="14"/>
      <c r="F42" s="36"/>
      <c r="G42" s="14"/>
      <c r="H42" s="14"/>
      <c r="I42" s="14"/>
      <c r="J42" s="14"/>
      <c r="K42" s="14"/>
      <c r="L42" s="16"/>
    </row>
    <row r="43" spans="1:12" ht="18.75" x14ac:dyDescent="0.3">
      <c r="A43" s="163"/>
      <c r="B43" s="165" t="s">
        <v>264</v>
      </c>
      <c r="C43" s="6"/>
      <c r="D43" s="6"/>
      <c r="E43" s="6"/>
      <c r="F43" s="17"/>
      <c r="G43" s="6"/>
      <c r="H43" s="6"/>
      <c r="I43" s="6"/>
      <c r="J43" s="6"/>
      <c r="K43" s="6"/>
      <c r="L43" s="39"/>
    </row>
    <row r="44" spans="1:12" ht="18.75" x14ac:dyDescent="0.3">
      <c r="A44" s="163"/>
      <c r="B44" s="165" t="s">
        <v>1203</v>
      </c>
      <c r="C44" s="6"/>
      <c r="D44" s="6"/>
      <c r="E44" s="6"/>
      <c r="F44" s="17"/>
      <c r="G44" s="6"/>
      <c r="H44" s="6"/>
      <c r="I44" s="6"/>
      <c r="J44" s="6"/>
      <c r="K44" s="6"/>
      <c r="L44" s="39"/>
    </row>
    <row r="45" spans="1:12" x14ac:dyDescent="0.25">
      <c r="A45" s="84" t="s">
        <v>196</v>
      </c>
      <c r="B45" s="985"/>
      <c r="C45" s="102"/>
      <c r="G45" s="1198">
        <f>MAX(62,IF(G46&gt;='1. AgeData'!$D$30,G46,'1. AgeData'!$D$30))</f>
        <v>66</v>
      </c>
      <c r="H45" s="270" t="str">
        <f>IF('5. SocSecData'!$G$45&gt;='1. AgeData'!$D$30, ".", CONCATENATE("   ERROR in SocSecData - must specify age &gt;= Current age of S1 of ",'1. AgeData'!$D$30))</f>
        <v>.</v>
      </c>
      <c r="I45" s="1642" t="s">
        <v>782</v>
      </c>
      <c r="J45" s="6"/>
      <c r="K45" s="6"/>
      <c r="L45" s="39"/>
    </row>
    <row r="46" spans="1:12" x14ac:dyDescent="0.25">
      <c r="A46" s="84" t="s">
        <v>3305</v>
      </c>
      <c r="B46" s="985"/>
      <c r="C46" s="102"/>
      <c r="G46" s="1654">
        <v>66</v>
      </c>
      <c r="H46" s="3510"/>
      <c r="I46" s="1643" t="s">
        <v>1311</v>
      </c>
      <c r="J46" s="6"/>
      <c r="L46" s="39"/>
    </row>
    <row r="47" spans="1:12" x14ac:dyDescent="0.25">
      <c r="A47" s="84" t="s">
        <v>197</v>
      </c>
      <c r="B47" s="985"/>
      <c r="C47" s="102"/>
      <c r="G47" s="1198">
        <f>MAX(62,IF(G48&gt;='1. AgeData'!$D$31,G48,'1. AgeData'!$D$31))</f>
        <v>64</v>
      </c>
      <c r="H47" s="3510" t="str">
        <f>IF('5. SocSecData'!$G$47&gt;='1. AgeData'!$D$31, ".", CONCATENATE("   ERROR in SocSecData - must specify age &gt;= Current age of S2 of ",'1. AgeData'!$D$31))</f>
        <v>.</v>
      </c>
      <c r="I47" s="1642" t="s">
        <v>782</v>
      </c>
      <c r="J47" s="6"/>
      <c r="K47" s="6"/>
      <c r="L47" s="39"/>
    </row>
    <row r="48" spans="1:12" x14ac:dyDescent="0.25">
      <c r="A48" s="84" t="s">
        <v>3306</v>
      </c>
      <c r="B48" s="985"/>
      <c r="C48" s="102"/>
      <c r="G48" s="1654">
        <v>64</v>
      </c>
      <c r="H48" s="3510"/>
      <c r="I48" s="1643" t="s">
        <v>1311</v>
      </c>
      <c r="J48" s="6"/>
      <c r="K48" s="6"/>
      <c r="L48" s="39"/>
    </row>
    <row r="49" spans="1:14" x14ac:dyDescent="0.25">
      <c r="A49" s="1811"/>
      <c r="B49" s="985"/>
      <c r="C49" s="102"/>
      <c r="G49" s="1654"/>
      <c r="H49" s="270"/>
      <c r="I49" s="1643"/>
      <c r="J49" s="6"/>
      <c r="K49" s="6"/>
      <c r="L49" s="1311"/>
    </row>
    <row r="50" spans="1:14" x14ac:dyDescent="0.25">
      <c r="A50" s="1609" t="s">
        <v>1771</v>
      </c>
      <c r="B50" s="1351"/>
      <c r="C50" s="3"/>
      <c r="D50" s="3"/>
      <c r="E50" s="3"/>
      <c r="F50" s="3"/>
      <c r="G50" s="3"/>
      <c r="H50" s="1648" t="s">
        <v>1769</v>
      </c>
      <c r="I50" s="1643"/>
      <c r="J50" s="6"/>
      <c r="K50" s="6"/>
      <c r="L50" s="1311"/>
    </row>
    <row r="51" spans="1:14" x14ac:dyDescent="0.25">
      <c r="A51" s="1609" t="s">
        <v>1767</v>
      </c>
      <c r="B51" s="1351"/>
      <c r="C51" s="3"/>
      <c r="D51" s="3"/>
      <c r="E51" s="3"/>
      <c r="F51" s="3"/>
      <c r="G51" s="3"/>
      <c r="H51" s="3"/>
      <c r="I51" s="1643"/>
      <c r="J51" s="6"/>
      <c r="K51" s="6"/>
      <c r="L51" s="1311"/>
    </row>
    <row r="52" spans="1:14" ht="15.75" thickBot="1" x14ac:dyDescent="0.3">
      <c r="A52" s="1009"/>
      <c r="B52" s="985"/>
      <c r="C52" s="102"/>
      <c r="F52" s="340"/>
      <c r="G52" s="270"/>
      <c r="H52" s="6"/>
      <c r="I52" s="6"/>
      <c r="J52" s="6"/>
      <c r="K52" s="6"/>
      <c r="L52" s="39"/>
    </row>
    <row r="53" spans="1:14" ht="15.75" thickBot="1" x14ac:dyDescent="0.3">
      <c r="A53" s="2116" t="s">
        <v>1778</v>
      </c>
      <c r="B53" s="2117"/>
      <c r="C53" s="2117"/>
      <c r="D53" s="2117"/>
      <c r="E53" s="2117"/>
      <c r="F53" s="2117"/>
      <c r="G53" s="2118" t="s">
        <v>554</v>
      </c>
      <c r="H53" s="378" t="s">
        <v>632</v>
      </c>
      <c r="I53" s="6"/>
      <c r="J53" s="6"/>
      <c r="K53" s="6"/>
      <c r="L53" s="39"/>
    </row>
    <row r="54" spans="1:14" x14ac:dyDescent="0.25">
      <c r="A54" s="84"/>
      <c r="B54" s="64"/>
      <c r="C54" s="17"/>
      <c r="D54" s="148"/>
      <c r="E54" s="6"/>
      <c r="F54" s="191"/>
      <c r="G54" s="6"/>
      <c r="H54" s="6"/>
      <c r="I54" s="6"/>
      <c r="J54" s="6"/>
      <c r="K54" s="6"/>
      <c r="L54" s="39"/>
    </row>
    <row r="55" spans="1:14" ht="21" x14ac:dyDescent="0.45">
      <c r="A55" s="266" t="s">
        <v>3721</v>
      </c>
      <c r="B55" s="183"/>
      <c r="C55" s="184"/>
      <c r="D55" s="183"/>
      <c r="E55" s="183"/>
      <c r="F55" s="183"/>
      <c r="G55" s="183"/>
      <c r="H55" s="183"/>
      <c r="I55" s="6"/>
      <c r="J55" s="6"/>
      <c r="K55" s="6"/>
      <c r="L55" s="39"/>
    </row>
    <row r="56" spans="1:14" ht="17.25" x14ac:dyDescent="0.4">
      <c r="A56" s="186" t="s">
        <v>1779</v>
      </c>
      <c r="B56" s="183"/>
      <c r="C56" s="184"/>
      <c r="D56" s="183"/>
      <c r="E56" s="183"/>
      <c r="G56" s="1690">
        <v>0</v>
      </c>
      <c r="I56" s="165" t="s">
        <v>713</v>
      </c>
      <c r="J56" s="6"/>
      <c r="K56" s="6"/>
      <c r="L56" s="39"/>
    </row>
    <row r="57" spans="1:14" x14ac:dyDescent="0.25">
      <c r="A57" s="186" t="s">
        <v>199</v>
      </c>
      <c r="B57" s="183"/>
      <c r="C57" s="184"/>
      <c r="D57" s="183"/>
      <c r="E57" s="183"/>
      <c r="G57" s="1690">
        <v>0</v>
      </c>
      <c r="H57" s="183"/>
      <c r="I57" s="6"/>
      <c r="J57" s="6"/>
      <c r="K57" s="6"/>
      <c r="L57" s="39"/>
    </row>
    <row r="58" spans="1:14" x14ac:dyDescent="0.25">
      <c r="A58" s="185"/>
      <c r="B58" s="183"/>
      <c r="C58" s="184"/>
      <c r="D58" s="183"/>
      <c r="E58" s="183"/>
      <c r="F58" s="183"/>
      <c r="G58" s="183"/>
      <c r="H58" s="183"/>
      <c r="I58" s="6"/>
      <c r="J58" s="6"/>
      <c r="K58" s="6"/>
      <c r="L58" s="39"/>
    </row>
    <row r="59" spans="1:14" ht="18.75" x14ac:dyDescent="0.3">
      <c r="A59" s="266" t="s">
        <v>3722</v>
      </c>
      <c r="B59" s="183"/>
      <c r="C59" s="184"/>
      <c r="D59" s="183"/>
      <c r="E59" s="183"/>
      <c r="F59" s="183"/>
      <c r="G59" s="183"/>
      <c r="H59" s="183"/>
      <c r="I59" s="6"/>
      <c r="J59" s="6"/>
      <c r="K59" s="6"/>
      <c r="L59" s="39"/>
    </row>
    <row r="60" spans="1:14" x14ac:dyDescent="0.25">
      <c r="A60" s="3664" t="s">
        <v>3724</v>
      </c>
      <c r="B60" s="183"/>
      <c r="C60" s="184"/>
      <c r="D60" s="183"/>
      <c r="E60" s="183"/>
      <c r="F60" s="183"/>
      <c r="G60" s="183"/>
      <c r="H60" s="183"/>
      <c r="I60" s="6"/>
      <c r="J60" s="6"/>
      <c r="K60" s="6"/>
      <c r="L60" s="1311"/>
    </row>
    <row r="61" spans="1:14" x14ac:dyDescent="0.25">
      <c r="A61" s="185" t="s">
        <v>3718</v>
      </c>
      <c r="B61" s="183"/>
      <c r="C61" s="184"/>
      <c r="D61" s="183"/>
      <c r="E61" s="183"/>
      <c r="F61" s="183"/>
      <c r="G61" s="183"/>
      <c r="H61" s="183"/>
      <c r="I61" s="6"/>
      <c r="J61" s="6"/>
      <c r="K61" s="6"/>
      <c r="L61" s="39"/>
    </row>
    <row r="62" spans="1:14" x14ac:dyDescent="0.25">
      <c r="A62" s="185" t="s">
        <v>3310</v>
      </c>
      <c r="B62" s="190"/>
      <c r="C62" s="184"/>
      <c r="D62" s="183"/>
      <c r="H62" s="190" t="s">
        <v>368</v>
      </c>
      <c r="I62" s="6"/>
      <c r="J62" s="6"/>
      <c r="K62" s="6"/>
      <c r="L62" s="39"/>
      <c r="N62" s="31"/>
    </row>
    <row r="63" spans="1:14" x14ac:dyDescent="0.25">
      <c r="A63" s="38"/>
      <c r="B63" s="183"/>
      <c r="C63" s="184"/>
      <c r="D63" s="183"/>
      <c r="E63" s="183"/>
      <c r="F63" s="183"/>
      <c r="G63" s="183"/>
      <c r="H63" s="183"/>
      <c r="I63" s="6"/>
      <c r="J63" s="6"/>
      <c r="K63" s="6"/>
      <c r="L63" s="39"/>
    </row>
    <row r="64" spans="1:14" ht="18.75" x14ac:dyDescent="0.3">
      <c r="A64" s="266" t="s">
        <v>1781</v>
      </c>
      <c r="B64" s="6"/>
      <c r="C64" s="6"/>
      <c r="D64" s="6"/>
      <c r="E64" s="6"/>
      <c r="F64" s="6"/>
      <c r="G64" s="28"/>
      <c r="H64" s="6"/>
      <c r="I64" s="6"/>
      <c r="J64" s="6"/>
      <c r="K64" s="6"/>
      <c r="L64" s="39"/>
    </row>
    <row r="65" spans="1:12" x14ac:dyDescent="0.25">
      <c r="A65" s="1336"/>
      <c r="B65" s="1645" t="s">
        <v>3309</v>
      </c>
      <c r="C65" s="6"/>
      <c r="D65" s="6"/>
      <c r="E65" s="6"/>
      <c r="F65" s="6"/>
      <c r="G65" s="28"/>
      <c r="I65" s="6"/>
      <c r="J65" s="6"/>
      <c r="K65" s="6"/>
      <c r="L65" s="39"/>
    </row>
    <row r="66" spans="1:12" ht="15.75" x14ac:dyDescent="0.25">
      <c r="A66" s="1644"/>
      <c r="B66" s="1643" t="s">
        <v>1334</v>
      </c>
      <c r="C66" s="6"/>
      <c r="D66" s="6"/>
      <c r="E66" s="6"/>
      <c r="F66" s="6"/>
      <c r="G66" s="28"/>
      <c r="I66" s="6"/>
      <c r="J66" s="6"/>
      <c r="K66" s="6"/>
      <c r="L66" s="1311"/>
    </row>
    <row r="67" spans="1:12" x14ac:dyDescent="0.25">
      <c r="A67" s="84" t="s">
        <v>147</v>
      </c>
      <c r="B67" s="102"/>
      <c r="C67" s="102"/>
      <c r="D67" s="187"/>
      <c r="E67" s="102"/>
      <c r="H67" s="1691">
        <v>1500</v>
      </c>
      <c r="I67" s="885" t="s">
        <v>441</v>
      </c>
      <c r="J67" s="6"/>
      <c r="K67" s="991">
        <f>12*H67</f>
        <v>18000</v>
      </c>
      <c r="L67" s="39"/>
    </row>
    <row r="68" spans="1:12" x14ac:dyDescent="0.25">
      <c r="A68" s="84" t="s">
        <v>146</v>
      </c>
      <c r="B68" s="102"/>
      <c r="C68" s="102"/>
      <c r="D68" s="187"/>
      <c r="E68" s="102"/>
      <c r="H68" s="1691">
        <v>1200</v>
      </c>
      <c r="I68" s="885" t="s">
        <v>442</v>
      </c>
      <c r="J68" s="6"/>
      <c r="K68" s="991">
        <f>12*H68</f>
        <v>14400</v>
      </c>
      <c r="L68" s="39"/>
    </row>
    <row r="69" spans="1:12" x14ac:dyDescent="0.25">
      <c r="A69" s="473"/>
      <c r="B69" s="102"/>
      <c r="C69" s="102"/>
      <c r="D69" s="187"/>
      <c r="E69" s="102"/>
      <c r="H69" s="24"/>
      <c r="I69" s="6"/>
      <c r="J69" s="6"/>
      <c r="K69" s="6"/>
      <c r="L69" s="39"/>
    </row>
    <row r="70" spans="1:12" x14ac:dyDescent="0.25">
      <c r="A70" s="84" t="s">
        <v>640</v>
      </c>
      <c r="B70" s="102"/>
      <c r="C70" s="102"/>
      <c r="D70" s="102"/>
      <c r="E70" s="102"/>
      <c r="H70" s="328">
        <f>IF(H71&gt;0,H71,'1. AgeData'!$E$38)</f>
        <v>0.02</v>
      </c>
      <c r="I70" s="3" t="s">
        <v>2837</v>
      </c>
      <c r="J70" s="6"/>
      <c r="K70" s="6"/>
      <c r="L70" s="39"/>
    </row>
    <row r="71" spans="1:12" x14ac:dyDescent="0.25">
      <c r="A71" s="84" t="s">
        <v>3308</v>
      </c>
      <c r="B71" s="102"/>
      <c r="C71" s="102"/>
      <c r="D71" s="102"/>
      <c r="E71" s="102"/>
      <c r="H71" s="697">
        <v>0</v>
      </c>
      <c r="I71" s="3" t="s">
        <v>2684</v>
      </c>
      <c r="J71" s="6"/>
      <c r="K71" s="6"/>
      <c r="L71" s="39"/>
    </row>
    <row r="72" spans="1:12" x14ac:dyDescent="0.25">
      <c r="A72" s="473"/>
      <c r="C72" s="102"/>
      <c r="D72" s="102"/>
      <c r="E72" s="102"/>
      <c r="H72" s="1656"/>
      <c r="I72" s="6"/>
      <c r="J72" s="6"/>
      <c r="K72" s="6"/>
      <c r="L72" s="39"/>
    </row>
    <row r="73" spans="1:12" x14ac:dyDescent="0.25">
      <c r="A73" s="1416" t="s">
        <v>3723</v>
      </c>
      <c r="B73" s="6"/>
      <c r="C73" s="102"/>
      <c r="D73" s="102"/>
      <c r="E73" s="102"/>
      <c r="H73" s="1656"/>
      <c r="I73" s="6"/>
      <c r="J73" s="6"/>
      <c r="K73" s="6"/>
      <c r="L73" s="1311"/>
    </row>
    <row r="74" spans="1:12" x14ac:dyDescent="0.25">
      <c r="A74" s="1296" t="s">
        <v>3725</v>
      </c>
      <c r="B74" s="6"/>
      <c r="C74" s="102"/>
      <c r="D74" s="102"/>
      <c r="E74" s="102"/>
      <c r="H74" s="1656"/>
      <c r="I74" s="6"/>
      <c r="J74" s="6"/>
      <c r="K74" s="6"/>
      <c r="L74" s="1311"/>
    </row>
    <row r="75" spans="1:12" x14ac:dyDescent="0.25">
      <c r="A75" s="1296" t="s">
        <v>3726</v>
      </c>
      <c r="B75" s="6"/>
      <c r="C75" s="102"/>
      <c r="E75" s="102"/>
      <c r="G75" s="180" t="s">
        <v>2683</v>
      </c>
      <c r="H75" s="1656"/>
      <c r="I75" s="6"/>
      <c r="J75" s="6"/>
      <c r="K75" s="6"/>
      <c r="L75" s="1311"/>
    </row>
    <row r="76" spans="1:12" x14ac:dyDescent="0.25">
      <c r="A76" s="66" t="s">
        <v>2795</v>
      </c>
      <c r="B76" s="6"/>
      <c r="C76" s="102"/>
      <c r="D76" s="102"/>
      <c r="E76" s="102"/>
      <c r="H76" s="1656"/>
      <c r="I76" s="6"/>
      <c r="J76" s="6"/>
      <c r="K76" s="6"/>
      <c r="L76" s="1311"/>
    </row>
    <row r="77" spans="1:12" x14ac:dyDescent="0.25">
      <c r="B77" s="6"/>
      <c r="C77" s="102"/>
      <c r="D77" s="102"/>
      <c r="E77" s="102"/>
      <c r="H77" s="1656"/>
      <c r="I77" s="6"/>
      <c r="J77" s="6"/>
      <c r="K77" s="6"/>
      <c r="L77" s="1311"/>
    </row>
    <row r="78" spans="1:12" x14ac:dyDescent="0.25">
      <c r="A78" s="84" t="s">
        <v>541</v>
      </c>
      <c r="B78" s="102"/>
      <c r="C78" s="102"/>
      <c r="D78" s="102"/>
      <c r="E78" s="102"/>
      <c r="H78" s="2149">
        <f>IF(H79=0,8%,H79)</f>
        <v>0.08</v>
      </c>
      <c r="J78" s="6"/>
      <c r="K78" s="6"/>
      <c r="L78" s="1157"/>
    </row>
    <row r="79" spans="1:12" x14ac:dyDescent="0.25">
      <c r="A79" s="212" t="s">
        <v>3307</v>
      </c>
      <c r="B79" s="102"/>
      <c r="C79" s="102"/>
      <c r="D79" s="102"/>
      <c r="E79" s="102"/>
      <c r="H79" s="697">
        <v>0</v>
      </c>
      <c r="I79" s="6" t="s">
        <v>764</v>
      </c>
      <c r="J79" s="6"/>
      <c r="K79" s="6"/>
      <c r="L79" s="3483"/>
    </row>
    <row r="80" spans="1:12" x14ac:dyDescent="0.25">
      <c r="A80" s="500"/>
      <c r="B80" s="102"/>
      <c r="C80" s="102"/>
      <c r="D80" s="102"/>
      <c r="E80" s="102"/>
      <c r="H80" s="25"/>
      <c r="I80" s="6"/>
      <c r="J80" s="6"/>
      <c r="K80" s="6"/>
      <c r="L80" s="39"/>
    </row>
    <row r="81" spans="1:12" ht="18.75" x14ac:dyDescent="0.3">
      <c r="A81" s="1318" t="s">
        <v>1782</v>
      </c>
      <c r="B81" s="6"/>
      <c r="C81" s="102"/>
      <c r="D81" s="102"/>
      <c r="E81" s="102"/>
      <c r="F81" s="25"/>
      <c r="H81" s="1227"/>
      <c r="I81" s="6"/>
      <c r="J81" s="6"/>
      <c r="K81" s="6"/>
      <c r="L81" s="39"/>
    </row>
    <row r="82" spans="1:12" x14ac:dyDescent="0.25">
      <c r="A82" s="84" t="s">
        <v>615</v>
      </c>
      <c r="B82" s="102"/>
      <c r="C82" s="102"/>
      <c r="D82" s="102"/>
      <c r="E82" s="102"/>
      <c r="H82" s="549">
        <v>0.85</v>
      </c>
      <c r="I82" s="6" t="s">
        <v>201</v>
      </c>
      <c r="J82" s="6"/>
      <c r="K82" s="6"/>
      <c r="L82" s="39"/>
    </row>
    <row r="83" spans="1:12" x14ac:dyDescent="0.25">
      <c r="B83" t="s">
        <v>1333</v>
      </c>
      <c r="C83" s="102"/>
      <c r="D83" s="102"/>
      <c r="E83" s="102"/>
      <c r="F83" s="25"/>
      <c r="J83" s="349" t="s">
        <v>542</v>
      </c>
      <c r="K83" s="6"/>
      <c r="L83" s="39"/>
    </row>
    <row r="84" spans="1:12" ht="15.75" thickBot="1" x14ac:dyDescent="0.3">
      <c r="C84" s="102"/>
      <c r="D84" s="102"/>
      <c r="E84" s="102"/>
      <c r="F84" s="25"/>
      <c r="H84" s="349"/>
      <c r="I84" s="6"/>
      <c r="J84" s="6"/>
      <c r="K84" s="6"/>
      <c r="L84" s="39"/>
    </row>
    <row r="85" spans="1:12" ht="21" x14ac:dyDescent="0.3">
      <c r="A85" s="1348" t="s">
        <v>1783</v>
      </c>
      <c r="B85" s="1170"/>
      <c r="C85" s="1201"/>
      <c r="D85" s="1201"/>
      <c r="E85" s="1201"/>
      <c r="F85" s="1023"/>
      <c r="G85" s="1170"/>
      <c r="H85" s="1329"/>
      <c r="I85" s="1170"/>
      <c r="J85" s="1170"/>
      <c r="K85" s="1202"/>
      <c r="L85" s="1311"/>
    </row>
    <row r="86" spans="1:12" x14ac:dyDescent="0.25">
      <c r="A86" s="1327" t="s">
        <v>763</v>
      </c>
      <c r="B86" s="6"/>
      <c r="C86" s="102"/>
      <c r="D86" s="102"/>
      <c r="E86" s="1693">
        <v>0.79</v>
      </c>
      <c r="F86" s="1154" t="s">
        <v>1371</v>
      </c>
      <c r="G86" s="6"/>
      <c r="H86" s="102"/>
      <c r="I86" s="1654">
        <v>2034</v>
      </c>
      <c r="J86" s="6"/>
      <c r="K86" s="1328"/>
      <c r="L86" s="39"/>
    </row>
    <row r="87" spans="1:12" x14ac:dyDescent="0.25">
      <c r="A87" s="38" t="s">
        <v>836</v>
      </c>
      <c r="B87" s="6"/>
      <c r="C87" s="102"/>
      <c r="D87" s="102"/>
      <c r="E87" s="102"/>
      <c r="F87" s="1154" t="s">
        <v>765</v>
      </c>
      <c r="G87" s="349"/>
      <c r="H87" s="1692">
        <v>2015</v>
      </c>
      <c r="I87" s="1172" t="s">
        <v>776</v>
      </c>
      <c r="J87" s="6"/>
      <c r="K87" s="1203">
        <f>I86-H87</f>
        <v>19</v>
      </c>
      <c r="L87" s="39"/>
    </row>
    <row r="88" spans="1:12" ht="15.75" thickBot="1" x14ac:dyDescent="0.3">
      <c r="A88" s="1204" t="s">
        <v>777</v>
      </c>
      <c r="B88" s="1205" t="s">
        <v>1372</v>
      </c>
      <c r="C88" s="1206"/>
      <c r="D88" s="1206"/>
      <c r="E88" s="1206"/>
      <c r="F88" s="1207"/>
      <c r="G88" s="1208"/>
      <c r="H88" s="1209"/>
      <c r="I88" s="1767" t="s">
        <v>1373</v>
      </c>
      <c r="J88" s="1024"/>
      <c r="K88" s="1210"/>
      <c r="L88" s="39"/>
    </row>
    <row r="89" spans="1:12" x14ac:dyDescent="0.25">
      <c r="A89" s="6"/>
      <c r="B89" s="190"/>
      <c r="C89" s="102"/>
      <c r="D89" s="102"/>
      <c r="E89" s="102"/>
      <c r="F89" s="1154"/>
      <c r="G89" s="349"/>
      <c r="H89" s="1158"/>
      <c r="I89" s="1172"/>
      <c r="J89" s="6"/>
      <c r="K89" s="1316"/>
      <c r="L89" s="1311"/>
    </row>
    <row r="90" spans="1:12" ht="18.75" x14ac:dyDescent="0.3">
      <c r="A90" s="1318" t="s">
        <v>1784</v>
      </c>
      <c r="C90" s="102"/>
      <c r="D90" s="102"/>
      <c r="E90" s="102"/>
      <c r="F90" s="25"/>
      <c r="G90" s="349"/>
      <c r="H90" s="6"/>
      <c r="I90" s="6"/>
      <c r="J90" s="2661"/>
      <c r="K90" s="2661"/>
      <c r="L90" s="39"/>
    </row>
    <row r="91" spans="1:12" ht="15.75" x14ac:dyDescent="0.25">
      <c r="A91" s="1324" t="s">
        <v>3727</v>
      </c>
      <c r="B91" s="102"/>
      <c r="C91" s="102"/>
      <c r="D91" s="102"/>
      <c r="E91" s="102"/>
      <c r="F91" s="6"/>
      <c r="G91" s="6"/>
      <c r="H91" s="6"/>
      <c r="I91" s="6"/>
      <c r="J91" s="6"/>
      <c r="K91" s="6"/>
      <c r="L91" s="1311"/>
    </row>
    <row r="92" spans="1:12" ht="15.75" x14ac:dyDescent="0.25">
      <c r="A92" s="1324" t="s">
        <v>3728</v>
      </c>
      <c r="B92" s="102"/>
      <c r="C92" s="102"/>
      <c r="D92" s="102"/>
      <c r="E92" s="102"/>
      <c r="F92" s="6"/>
      <c r="G92" s="6"/>
      <c r="H92" s="6"/>
      <c r="I92" s="6"/>
      <c r="J92" s="6"/>
      <c r="K92" s="6"/>
      <c r="L92" s="1311"/>
    </row>
    <row r="93" spans="1:12" ht="15.75" x14ac:dyDescent="0.25">
      <c r="A93" s="1324"/>
      <c r="B93" s="102"/>
      <c r="C93" s="102"/>
      <c r="D93" s="102"/>
      <c r="E93" s="102"/>
      <c r="F93" s="6"/>
      <c r="G93" s="6"/>
      <c r="H93" s="6"/>
      <c r="I93" s="6"/>
      <c r="J93" s="6"/>
      <c r="K93" s="6"/>
      <c r="L93" s="1311"/>
    </row>
    <row r="94" spans="1:12" x14ac:dyDescent="0.25">
      <c r="A94" s="1312" t="s">
        <v>710</v>
      </c>
      <c r="B94" s="102"/>
      <c r="C94" s="102"/>
      <c r="D94" s="102"/>
      <c r="E94" s="102"/>
      <c r="F94" s="6"/>
      <c r="G94" s="3509">
        <f>IF(H67=0,0,IF(G56&gt;0,G56,IF(AND($G$45&gt;=62,$G$45&lt;=71),INDEX($C$110:$C$118,MAX(1,MIN(9,($G$45-62+1)))),"Bad Yr")))</f>
        <v>2196.150000000001</v>
      </c>
      <c r="H94" s="6" t="s">
        <v>2682</v>
      </c>
      <c r="I94" s="6"/>
      <c r="J94" s="6"/>
      <c r="K94" s="6"/>
      <c r="L94" s="1311"/>
    </row>
    <row r="95" spans="1:12" ht="15.75" thickBot="1" x14ac:dyDescent="0.3">
      <c r="A95" s="1313" t="s">
        <v>711</v>
      </c>
      <c r="B95" s="1319"/>
      <c r="C95" s="1319"/>
      <c r="D95" s="1319"/>
      <c r="E95" s="1319"/>
      <c r="F95" s="1314"/>
      <c r="G95" s="1509">
        <f>IF(H68=0,0,IF(G57&gt;0,G57,IF(AND($G$47&gt;=62,$G$47&lt;=70),INDEX($F$110:$F$118,MAX(1,MIN(9,($G$47-62+1)))),"Bad Yr")))</f>
        <v>1452.0000000000002</v>
      </c>
      <c r="H95" s="1314"/>
      <c r="I95" s="1314"/>
      <c r="J95" s="1314"/>
      <c r="K95" s="1314"/>
      <c r="L95" s="1315"/>
    </row>
    <row r="96" spans="1:12" ht="15.75" thickTop="1" x14ac:dyDescent="0.25">
      <c r="A96" s="63"/>
      <c r="B96" s="102"/>
      <c r="C96" s="102"/>
      <c r="D96" s="102"/>
      <c r="E96" s="102"/>
      <c r="F96" s="6"/>
      <c r="G96" s="189"/>
      <c r="H96" s="6"/>
      <c r="I96" s="6"/>
      <c r="J96" s="6"/>
      <c r="K96" s="6"/>
      <c r="L96" s="6"/>
    </row>
    <row r="97" spans="1:13" ht="15.75" thickBot="1" x14ac:dyDescent="0.3">
      <c r="A97" s="63"/>
      <c r="B97" s="102"/>
      <c r="C97" s="102"/>
      <c r="D97" s="102"/>
      <c r="E97" s="102"/>
      <c r="F97" s="6"/>
      <c r="G97" s="189"/>
      <c r="H97" s="6"/>
      <c r="I97" s="6"/>
      <c r="J97" s="6"/>
      <c r="K97" s="6"/>
      <c r="L97" s="6"/>
    </row>
    <row r="98" spans="1:13" ht="19.5" thickBot="1" x14ac:dyDescent="0.35">
      <c r="A98" s="1571" t="s">
        <v>1263</v>
      </c>
      <c r="B98" s="1572"/>
      <c r="C98" s="1573"/>
      <c r="D98" s="1573"/>
      <c r="E98" s="1572"/>
      <c r="F98" s="1572"/>
      <c r="G98" s="1572"/>
      <c r="H98" s="1572"/>
      <c r="I98" s="1572"/>
      <c r="J98" s="1572"/>
      <c r="K98" s="1575"/>
      <c r="L98" s="1575"/>
      <c r="M98" s="934"/>
    </row>
    <row r="99" spans="1:13" ht="15.75" thickBot="1" x14ac:dyDescent="0.3"/>
    <row r="100" spans="1:13" ht="19.5" thickTop="1" x14ac:dyDescent="0.3">
      <c r="A100" s="569" t="s">
        <v>1785</v>
      </c>
      <c r="B100" s="49"/>
      <c r="C100" s="49"/>
      <c r="D100" s="50"/>
      <c r="E100" s="50"/>
      <c r="F100" s="50"/>
      <c r="G100" s="50"/>
      <c r="H100" s="50"/>
      <c r="I100" s="50"/>
      <c r="J100" s="51"/>
      <c r="K100" s="471"/>
      <c r="L100" s="1169"/>
    </row>
    <row r="101" spans="1:13" ht="18.75" x14ac:dyDescent="0.3">
      <c r="A101" s="1320" t="s">
        <v>104</v>
      </c>
      <c r="B101" s="130"/>
      <c r="C101" s="130"/>
      <c r="D101" s="33"/>
      <c r="E101" s="33"/>
      <c r="F101" s="33"/>
      <c r="G101" s="33"/>
      <c r="H101" s="33"/>
      <c r="I101" s="33"/>
      <c r="J101" s="32"/>
      <c r="K101" s="34"/>
      <c r="L101" s="1311"/>
    </row>
    <row r="102" spans="1:13" ht="15.75" x14ac:dyDescent="0.25">
      <c r="A102" s="1321" t="s">
        <v>3729</v>
      </c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1311"/>
    </row>
    <row r="103" spans="1:13" x14ac:dyDescent="0.25">
      <c r="A103" s="1416" t="s">
        <v>3311</v>
      </c>
      <c r="B103" s="6"/>
      <c r="C103" s="6"/>
      <c r="D103" s="6"/>
      <c r="E103" s="6"/>
      <c r="F103" s="13"/>
      <c r="G103" s="12"/>
      <c r="H103" s="6"/>
      <c r="I103" s="21"/>
      <c r="J103" s="6"/>
      <c r="K103" s="1646"/>
      <c r="L103" s="1311"/>
    </row>
    <row r="104" spans="1:13" x14ac:dyDescent="0.25">
      <c r="A104" s="1322" t="s">
        <v>2673</v>
      </c>
      <c r="B104" s="6"/>
      <c r="C104" s="6"/>
      <c r="D104" s="6"/>
      <c r="E104" s="6"/>
      <c r="F104" s="6"/>
      <c r="G104" s="12"/>
      <c r="H104" s="6"/>
      <c r="I104" s="6"/>
      <c r="J104" s="6"/>
      <c r="L104" s="3493">
        <f>H78</f>
        <v>0.08</v>
      </c>
    </row>
    <row r="105" spans="1:13" x14ac:dyDescent="0.25">
      <c r="A105" s="1322" t="s">
        <v>2681</v>
      </c>
      <c r="B105" s="3"/>
      <c r="C105" s="6"/>
      <c r="D105" s="6"/>
      <c r="E105" s="6"/>
      <c r="F105" s="31"/>
      <c r="G105" s="12"/>
      <c r="H105" s="6"/>
      <c r="I105" s="21"/>
      <c r="J105" s="6"/>
      <c r="L105" s="3493">
        <f>H70</f>
        <v>0.02</v>
      </c>
    </row>
    <row r="106" spans="1:13" x14ac:dyDescent="0.25">
      <c r="A106" s="1322" t="s">
        <v>2838</v>
      </c>
      <c r="B106" s="3"/>
      <c r="C106" s="6"/>
      <c r="D106" s="6"/>
      <c r="E106" s="6"/>
      <c r="F106" s="31"/>
      <c r="G106" s="12"/>
      <c r="H106" s="6"/>
      <c r="I106" s="21"/>
      <c r="J106" s="6"/>
      <c r="L106" s="3493">
        <f>H78+H70</f>
        <v>0.1</v>
      </c>
    </row>
    <row r="107" spans="1:13" ht="15.75" thickBot="1" x14ac:dyDescent="0.3">
      <c r="A107" s="1336"/>
      <c r="B107" s="6"/>
      <c r="C107" s="6"/>
      <c r="D107" s="6"/>
      <c r="E107" s="1481" t="s">
        <v>712</v>
      </c>
      <c r="F107" s="1482"/>
      <c r="G107" s="1482"/>
      <c r="H107" s="1482"/>
      <c r="I107" s="1482"/>
      <c r="J107" s="33"/>
      <c r="K107" s="3"/>
      <c r="L107" s="1311"/>
    </row>
    <row r="108" spans="1:13" ht="61.5" thickBot="1" x14ac:dyDescent="0.3">
      <c r="A108" s="2465"/>
      <c r="B108" s="3485" t="s">
        <v>2679</v>
      </c>
      <c r="C108" s="3486" t="s">
        <v>148</v>
      </c>
      <c r="D108" s="3487" t="s">
        <v>2674</v>
      </c>
      <c r="E108" s="3485" t="s">
        <v>2680</v>
      </c>
      <c r="F108" s="3486" t="s">
        <v>149</v>
      </c>
      <c r="G108" s="3487" t="s">
        <v>2675</v>
      </c>
      <c r="H108" s="3492" t="s">
        <v>2678</v>
      </c>
      <c r="I108" s="3490" t="s">
        <v>2677</v>
      </c>
      <c r="J108" s="3491" t="s">
        <v>2676</v>
      </c>
      <c r="K108" s="6"/>
      <c r="L108" s="1311"/>
    </row>
    <row r="109" spans="1:13" ht="16.5" thickTop="1" thickBot="1" x14ac:dyDescent="0.3">
      <c r="A109" s="2465"/>
      <c r="B109" s="3494" t="s">
        <v>2686</v>
      </c>
      <c r="C109" s="3495">
        <v>0</v>
      </c>
      <c r="D109" s="3496">
        <v>0</v>
      </c>
      <c r="E109" s="3494" t="s">
        <v>2686</v>
      </c>
      <c r="F109" s="3495">
        <v>0</v>
      </c>
      <c r="G109" s="3496">
        <v>0</v>
      </c>
      <c r="H109" s="3497" t="s">
        <v>1791</v>
      </c>
      <c r="I109" s="3498" t="s">
        <v>1791</v>
      </c>
      <c r="J109" s="3499" t="s">
        <v>1791</v>
      </c>
      <c r="K109" s="6" t="s">
        <v>2687</v>
      </c>
      <c r="L109" s="1311"/>
    </row>
    <row r="110" spans="1:13" x14ac:dyDescent="0.25">
      <c r="A110" s="1336"/>
      <c r="B110" s="1830">
        <v>62</v>
      </c>
      <c r="C110" s="1825">
        <f>H67</f>
        <v>1500</v>
      </c>
      <c r="D110" s="1826">
        <f t="shared" ref="D110:D118" si="0">12*C110</f>
        <v>18000</v>
      </c>
      <c r="E110" s="1830">
        <v>62</v>
      </c>
      <c r="F110" s="1825">
        <f>H68</f>
        <v>1200</v>
      </c>
      <c r="G110" s="1826">
        <f>12*F110</f>
        <v>14400</v>
      </c>
      <c r="H110" s="3488">
        <f t="shared" ref="H110:H118" si="1">IF(C110=0,0,(C110-C$110)/C$110)</f>
        <v>0</v>
      </c>
      <c r="I110" s="3489">
        <v>1</v>
      </c>
      <c r="J110" s="3484">
        <f t="shared" ref="J110:J118" si="2">I110+(POWER((1+$L$105),(B110-$B$110))-1)</f>
        <v>1</v>
      </c>
      <c r="K110" s="6" t="s">
        <v>2689</v>
      </c>
      <c r="L110" s="1311"/>
    </row>
    <row r="111" spans="1:13" x14ac:dyDescent="0.25">
      <c r="A111" s="1336"/>
      <c r="B111" s="1827">
        <v>63</v>
      </c>
      <c r="C111" s="1828">
        <f>C110*(1+$L$106)</f>
        <v>1650.0000000000002</v>
      </c>
      <c r="D111" s="1829">
        <f t="shared" si="0"/>
        <v>19800.000000000004</v>
      </c>
      <c r="E111" s="1824">
        <v>63</v>
      </c>
      <c r="F111" s="1828">
        <f>F110*(1+$L$106)</f>
        <v>1320</v>
      </c>
      <c r="G111" s="1829">
        <f t="shared" ref="G111:G118" si="3">12*F111</f>
        <v>15840</v>
      </c>
      <c r="H111" s="3488">
        <f t="shared" si="1"/>
        <v>0.10000000000000016</v>
      </c>
      <c r="I111" s="3489">
        <f>(POWER((1+(2/3)*0.01),12)-1)+I110</f>
        <v>1.08299950680751</v>
      </c>
      <c r="J111" s="3484">
        <f t="shared" si="2"/>
        <v>1.10299950680751</v>
      </c>
      <c r="K111" s="6"/>
      <c r="L111" s="1311"/>
    </row>
    <row r="112" spans="1:13" x14ac:dyDescent="0.25">
      <c r="A112" s="1336"/>
      <c r="B112" s="1824">
        <v>64</v>
      </c>
      <c r="C112" s="1828">
        <f t="shared" ref="C112:C118" si="4">C111*(1+$L$106)</f>
        <v>1815.0000000000005</v>
      </c>
      <c r="D112" s="1829">
        <f t="shared" si="0"/>
        <v>21780.000000000007</v>
      </c>
      <c r="E112" s="1824">
        <v>64</v>
      </c>
      <c r="F112" s="1828">
        <f t="shared" ref="F112:F118" si="5">F111*(1+$L$106)</f>
        <v>1452.0000000000002</v>
      </c>
      <c r="G112" s="1829">
        <f t="shared" si="3"/>
        <v>17424.000000000004</v>
      </c>
      <c r="H112" s="3488">
        <f t="shared" si="1"/>
        <v>0.2100000000000003</v>
      </c>
      <c r="I112" s="3489">
        <f t="shared" ref="I112:I118" si="6">(POWER((1+(2/3)*0.01),12)-1)+I111</f>
        <v>1.16599901361502</v>
      </c>
      <c r="J112" s="3484">
        <f t="shared" si="2"/>
        <v>1.20639901361502</v>
      </c>
      <c r="K112" s="6"/>
      <c r="L112" s="1311"/>
    </row>
    <row r="113" spans="1:17" x14ac:dyDescent="0.25">
      <c r="A113" s="1336"/>
      <c r="B113" s="1827">
        <v>65</v>
      </c>
      <c r="C113" s="1828">
        <f t="shared" si="4"/>
        <v>1996.5000000000007</v>
      </c>
      <c r="D113" s="1829">
        <f t="shared" si="0"/>
        <v>23958.000000000007</v>
      </c>
      <c r="E113" s="1824">
        <v>65</v>
      </c>
      <c r="F113" s="1828">
        <f t="shared" si="5"/>
        <v>1597.2000000000003</v>
      </c>
      <c r="G113" s="1829">
        <f t="shared" si="3"/>
        <v>19166.400000000001</v>
      </c>
      <c r="H113" s="3488">
        <f t="shared" si="1"/>
        <v>0.33100000000000046</v>
      </c>
      <c r="I113" s="3489">
        <f t="shared" si="6"/>
        <v>1.24899852042253</v>
      </c>
      <c r="J113" s="3484">
        <f t="shared" si="2"/>
        <v>1.3102065204225299</v>
      </c>
      <c r="K113" s="6"/>
      <c r="L113" s="1311"/>
    </row>
    <row r="114" spans="1:17" x14ac:dyDescent="0.25">
      <c r="A114" s="1336"/>
      <c r="B114" s="1824">
        <v>66</v>
      </c>
      <c r="C114" s="1828">
        <f t="shared" si="4"/>
        <v>2196.150000000001</v>
      </c>
      <c r="D114" s="1829">
        <f t="shared" si="0"/>
        <v>26353.80000000001</v>
      </c>
      <c r="E114" s="1824">
        <v>66</v>
      </c>
      <c r="F114" s="1828">
        <f t="shared" si="5"/>
        <v>1756.9200000000005</v>
      </c>
      <c r="G114" s="1829">
        <f t="shared" si="3"/>
        <v>21083.040000000008</v>
      </c>
      <c r="H114" s="3488">
        <f t="shared" si="1"/>
        <v>0.46410000000000068</v>
      </c>
      <c r="I114" s="3489">
        <f t="shared" si="6"/>
        <v>1.33199802723004</v>
      </c>
      <c r="J114" s="3484">
        <f t="shared" si="2"/>
        <v>1.41443018723004</v>
      </c>
      <c r="K114" s="6"/>
      <c r="L114" s="1311"/>
    </row>
    <row r="115" spans="1:17" x14ac:dyDescent="0.25">
      <c r="A115" s="1336"/>
      <c r="B115" s="1830">
        <v>67</v>
      </c>
      <c r="C115" s="1828">
        <f t="shared" si="4"/>
        <v>2415.7650000000012</v>
      </c>
      <c r="D115" s="1826">
        <f t="shared" si="0"/>
        <v>28989.180000000015</v>
      </c>
      <c r="E115" s="1830">
        <v>67</v>
      </c>
      <c r="F115" s="1828">
        <f t="shared" si="5"/>
        <v>1932.6120000000008</v>
      </c>
      <c r="G115" s="1826">
        <f t="shared" si="3"/>
        <v>23191.344000000008</v>
      </c>
      <c r="H115" s="3488">
        <f t="shared" si="1"/>
        <v>0.61051000000000077</v>
      </c>
      <c r="I115" s="3489">
        <f t="shared" si="6"/>
        <v>1.41499753403755</v>
      </c>
      <c r="J115" s="3484">
        <f t="shared" si="2"/>
        <v>1.51907833723755</v>
      </c>
      <c r="K115" s="6"/>
      <c r="L115" s="1311"/>
    </row>
    <row r="116" spans="1:17" x14ac:dyDescent="0.25">
      <c r="A116" s="1336"/>
      <c r="B116" s="1824">
        <v>68</v>
      </c>
      <c r="C116" s="1828">
        <f t="shared" si="4"/>
        <v>2657.3415000000014</v>
      </c>
      <c r="D116" s="1829">
        <f t="shared" si="0"/>
        <v>31888.098000000016</v>
      </c>
      <c r="E116" s="1824">
        <v>68</v>
      </c>
      <c r="F116" s="1828">
        <f t="shared" si="5"/>
        <v>2125.8732000000009</v>
      </c>
      <c r="G116" s="1829">
        <f t="shared" si="3"/>
        <v>25510.478400000011</v>
      </c>
      <c r="H116" s="3488">
        <f t="shared" si="1"/>
        <v>0.77156100000000094</v>
      </c>
      <c r="I116" s="3489">
        <f t="shared" si="6"/>
        <v>1.49799704084506</v>
      </c>
      <c r="J116" s="3484">
        <f t="shared" si="2"/>
        <v>1.6241594601090601</v>
      </c>
      <c r="K116" s="6"/>
      <c r="L116" s="1311"/>
    </row>
    <row r="117" spans="1:17" x14ac:dyDescent="0.25">
      <c r="A117" s="1336"/>
      <c r="B117" s="1824">
        <v>69</v>
      </c>
      <c r="C117" s="1828">
        <f t="shared" si="4"/>
        <v>2923.0756500000016</v>
      </c>
      <c r="D117" s="1829">
        <f t="shared" si="0"/>
        <v>35076.907800000015</v>
      </c>
      <c r="E117" s="1824">
        <v>69</v>
      </c>
      <c r="F117" s="1828">
        <f t="shared" si="5"/>
        <v>2338.460520000001</v>
      </c>
      <c r="G117" s="1829">
        <f t="shared" si="3"/>
        <v>28061.526240000014</v>
      </c>
      <c r="H117" s="3488">
        <f t="shared" si="1"/>
        <v>0.94871710000000109</v>
      </c>
      <c r="I117" s="3489">
        <f t="shared" si="6"/>
        <v>1.58099654765257</v>
      </c>
      <c r="J117" s="3484">
        <f t="shared" si="2"/>
        <v>1.7296822153018498</v>
      </c>
      <c r="K117" s="6"/>
      <c r="L117" s="1311"/>
    </row>
    <row r="118" spans="1:17" ht="15.75" thickBot="1" x14ac:dyDescent="0.3">
      <c r="A118" s="1336"/>
      <c r="B118" s="3503">
        <v>70</v>
      </c>
      <c r="C118" s="3504">
        <f t="shared" si="4"/>
        <v>3215.3832150000021</v>
      </c>
      <c r="D118" s="3505">
        <f t="shared" si="0"/>
        <v>38584.598580000027</v>
      </c>
      <c r="E118" s="3503">
        <v>70</v>
      </c>
      <c r="F118" s="3504">
        <f t="shared" si="5"/>
        <v>2572.3065720000013</v>
      </c>
      <c r="G118" s="3505">
        <f t="shared" si="3"/>
        <v>30867.678864000016</v>
      </c>
      <c r="H118" s="3506">
        <f t="shared" si="1"/>
        <v>1.1435888100000013</v>
      </c>
      <c r="I118" s="3507">
        <f t="shared" si="6"/>
        <v>1.66399605446008</v>
      </c>
      <c r="J118" s="3508">
        <f t="shared" si="2"/>
        <v>1.8356554354623456</v>
      </c>
      <c r="K118" s="6" t="s">
        <v>2690</v>
      </c>
      <c r="L118" s="1311"/>
    </row>
    <row r="119" spans="1:17" x14ac:dyDescent="0.25">
      <c r="A119" s="1336"/>
      <c r="B119" s="3500"/>
      <c r="C119" s="1828"/>
      <c r="D119" s="1825"/>
      <c r="E119" s="3500"/>
      <c r="F119" s="1828"/>
      <c r="G119" s="1825"/>
      <c r="H119" s="3501"/>
      <c r="I119" s="337"/>
      <c r="J119" s="3502"/>
      <c r="K119" s="6"/>
      <c r="L119" s="1311"/>
    </row>
    <row r="120" spans="1:17" x14ac:dyDescent="0.25">
      <c r="A120" s="1336" t="s">
        <v>2688</v>
      </c>
      <c r="B120" s="336"/>
      <c r="C120" s="151"/>
      <c r="D120" s="151"/>
      <c r="E120" s="337"/>
      <c r="F120" s="6"/>
      <c r="G120" s="53"/>
      <c r="H120" s="336"/>
      <c r="I120" s="151"/>
      <c r="J120" s="151"/>
      <c r="K120" s="337"/>
      <c r="L120" s="1311"/>
    </row>
    <row r="121" spans="1:17" x14ac:dyDescent="0.25">
      <c r="A121" s="382" t="s">
        <v>380</v>
      </c>
      <c r="B121" s="6"/>
      <c r="C121" s="6"/>
      <c r="D121" s="6"/>
      <c r="E121" s="6"/>
      <c r="J121" s="338" t="s">
        <v>540</v>
      </c>
      <c r="K121" s="3"/>
      <c r="L121" s="39"/>
    </row>
    <row r="122" spans="1:17" x14ac:dyDescent="0.25">
      <c r="A122" s="3063" t="s">
        <v>707</v>
      </c>
      <c r="B122" s="3064"/>
      <c r="C122" s="3064"/>
      <c r="D122" s="3064"/>
      <c r="E122" s="3065"/>
      <c r="H122" s="6"/>
      <c r="I122" s="6"/>
      <c r="J122" s="5" t="s">
        <v>706</v>
      </c>
      <c r="K122" s="3"/>
      <c r="L122" s="39"/>
    </row>
    <row r="123" spans="1:17" x14ac:dyDescent="0.25">
      <c r="A123" s="3063" t="s">
        <v>704</v>
      </c>
      <c r="B123" s="3064"/>
      <c r="C123" s="3064"/>
      <c r="D123" s="3064"/>
      <c r="E123" s="3065"/>
      <c r="G123" s="5" t="s">
        <v>539</v>
      </c>
      <c r="H123" s="6"/>
      <c r="I123" s="6"/>
      <c r="J123" s="6"/>
      <c r="K123" s="3"/>
      <c r="L123" s="39"/>
    </row>
    <row r="124" spans="1:17" s="6" customFormat="1" x14ac:dyDescent="0.25">
      <c r="A124" s="3063" t="s">
        <v>705</v>
      </c>
      <c r="B124" s="3064"/>
      <c r="C124" s="3064"/>
      <c r="D124" s="3064"/>
      <c r="E124" s="3064"/>
      <c r="J124" s="5" t="s">
        <v>43</v>
      </c>
      <c r="K124" s="3"/>
      <c r="L124" s="39"/>
      <c r="N124"/>
      <c r="O124"/>
      <c r="P124"/>
      <c r="Q124"/>
    </row>
    <row r="125" spans="1:17" x14ac:dyDescent="0.25">
      <c r="A125" s="1188"/>
      <c r="B125" s="6"/>
      <c r="C125" s="6"/>
      <c r="D125" s="6"/>
      <c r="E125" s="6"/>
      <c r="F125" s="5"/>
      <c r="G125" s="6"/>
      <c r="H125" s="6"/>
      <c r="I125" s="6"/>
      <c r="J125" s="6"/>
      <c r="K125" s="3"/>
      <c r="L125" s="39"/>
    </row>
    <row r="126" spans="1:17" ht="15.75" thickBot="1" x14ac:dyDescent="0.3">
      <c r="A126" s="54"/>
      <c r="B126" s="41"/>
      <c r="C126" s="41"/>
      <c r="D126" s="41"/>
      <c r="E126" s="41"/>
      <c r="F126" s="145"/>
      <c r="G126" s="41"/>
      <c r="H126" s="41"/>
      <c r="I126" s="41"/>
      <c r="J126" s="41"/>
      <c r="K126" s="48"/>
      <c r="L126" s="43"/>
    </row>
    <row r="127" spans="1:17" ht="15.75" thickTop="1" x14ac:dyDescent="0.25"/>
    <row r="128" spans="1:17" ht="15.75" thickBot="1" x14ac:dyDescent="0.3">
      <c r="N128" s="1184"/>
    </row>
    <row r="129" spans="1:16" ht="19.5" thickTop="1" x14ac:dyDescent="0.3">
      <c r="A129" s="265" t="s">
        <v>1786</v>
      </c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169"/>
    </row>
    <row r="130" spans="1:16" s="352" customFormat="1" ht="90" thickBot="1" x14ac:dyDescent="0.25">
      <c r="A130" s="466" t="s">
        <v>142</v>
      </c>
      <c r="B130" s="467" t="s">
        <v>143</v>
      </c>
      <c r="C130" s="468" t="s">
        <v>633</v>
      </c>
      <c r="D130" s="468" t="s">
        <v>634</v>
      </c>
      <c r="E130" s="1159" t="s">
        <v>1209</v>
      </c>
      <c r="F130" s="1159" t="s">
        <v>1210</v>
      </c>
      <c r="G130" s="469" t="str">
        <f>"S1 "&amp;IF(('5. SocSecData'!$G$53="yes"),"shared","sole")&amp;" Social Security income"</f>
        <v>S1 shared Social Security income</v>
      </c>
      <c r="H130" s="469" t="str">
        <f>"S2 "&amp;IF(('5. SocSecData'!$G$53="yes"),"shared","sole")&amp;" Social Security income"</f>
        <v>S2 shared Social Security income</v>
      </c>
      <c r="I130" s="470" t="str">
        <f>"S1 "&amp;IF(('5. SocSecData'!$G$53="yes"),"shared","sole")&amp;" Social Security taxable income (4.1.3.1)"</f>
        <v>S1 shared Social Security taxable income (4.1.3.1)</v>
      </c>
      <c r="J130" s="470" t="str">
        <f>"S2 "&amp;IF(('5. SocSecData'!$G$53="yes"),"shared","sole")&amp;" Social Security taxable income (4.1.3.1)"</f>
        <v>S2 shared Social Security taxable income (4.1.3.1)</v>
      </c>
      <c r="K130" s="1325" t="s">
        <v>791</v>
      </c>
      <c r="L130" s="1326" t="s">
        <v>790</v>
      </c>
      <c r="N130" s="1186"/>
      <c r="O130" s="1186"/>
      <c r="P130" s="1185"/>
    </row>
    <row r="131" spans="1:16" ht="15.75" thickTop="1" x14ac:dyDescent="0.25">
      <c r="A131" s="848">
        <f>'1. AgeData'!$D30</f>
        <v>60</v>
      </c>
      <c r="B131" s="882">
        <f>'1. AgeData'!$D31</f>
        <v>55</v>
      </c>
      <c r="C131" s="1584">
        <f>IF(OR(A131&lt;$G$45, A131&gt;'1. AgeData'!$I$30),0,(IF($G$94="Bad Yr",0,$G$94)*12)*POWER((1+$H$70),(A131-A$131)))</f>
        <v>0</v>
      </c>
      <c r="D131" s="1583">
        <f>IF(OR(B131&lt;$G$47, B131&gt;'1. AgeData'!$I$31),0,(IF($G$95="Bad Yr",0,$G$95)*12)*POWER((1+$H$70),(B131-B$131)))</f>
        <v>0</v>
      </c>
      <c r="E131" s="1160">
        <f>IF((A131&lt;'1. AgeData'!$I$30),C131*K131,0)</f>
        <v>0</v>
      </c>
      <c r="F131" s="1161">
        <f>IF((B131&lt;'1. AgeData'!$I$31),D131*K131,0)</f>
        <v>0</v>
      </c>
      <c r="G131" s="837">
        <f t="shared" ref="G131:G167" si="7">IF($G$53="yes",(E131+F131)/2,E131)</f>
        <v>0</v>
      </c>
      <c r="H131" s="837">
        <f t="shared" ref="H131:H167" si="8">IF($G$53="yes",(E131+F131)/2,F131)</f>
        <v>0</v>
      </c>
      <c r="I131" s="869">
        <f t="shared" ref="I131:I167" si="9">G131*$H$82</f>
        <v>0</v>
      </c>
      <c r="J131" s="837">
        <f t="shared" ref="J131:J167" si="10">H131*$H$82</f>
        <v>0</v>
      </c>
      <c r="K131" s="1166">
        <f t="shared" ref="K131:K167" si="11">IF(A131&lt;($A$131+$K$87),1,$E$86)</f>
        <v>1</v>
      </c>
      <c r="L131" s="1169">
        <f>H87</f>
        <v>2015</v>
      </c>
    </row>
    <row r="132" spans="1:16" x14ac:dyDescent="0.25">
      <c r="A132" s="850">
        <f>A131+1</f>
        <v>61</v>
      </c>
      <c r="B132" s="883">
        <f>B131+1</f>
        <v>56</v>
      </c>
      <c r="C132" s="869">
        <f>IF(OR(A132&lt;$G$45, A132&gt;'1. AgeData'!$I$30),0,(IF($G$94="Bad Yr",0,$G$94)*12)*POWER((1+$H$70),(A132-A$131)))</f>
        <v>0</v>
      </c>
      <c r="D132" s="868">
        <f>IF(OR(B132&lt;$G$47, B132&gt;'1. AgeData'!$I$31),0,(IF($G$95="Bad Yr",0,$G$95)*12)*POWER((1+$H$70),(B132-B$131)))</f>
        <v>0</v>
      </c>
      <c r="E132" s="1162">
        <f>IF((A132&lt;'1. AgeData'!$I$30),C132*K132,0)</f>
        <v>0</v>
      </c>
      <c r="F132" s="1163">
        <f>IF((B132&lt;'1. AgeData'!$I$31),D132*K132,0)</f>
        <v>0</v>
      </c>
      <c r="G132" s="837">
        <f t="shared" si="7"/>
        <v>0</v>
      </c>
      <c r="H132" s="837">
        <f t="shared" si="8"/>
        <v>0</v>
      </c>
      <c r="I132" s="869">
        <f t="shared" si="9"/>
        <v>0</v>
      </c>
      <c r="J132" s="837">
        <f t="shared" si="10"/>
        <v>0</v>
      </c>
      <c r="K132" s="1167">
        <f t="shared" si="11"/>
        <v>1</v>
      </c>
      <c r="L132" s="39">
        <f>L131+1</f>
        <v>2016</v>
      </c>
    </row>
    <row r="133" spans="1:16" x14ac:dyDescent="0.25">
      <c r="A133" s="850">
        <f t="shared" ref="A133:A150" si="12">A132+1</f>
        <v>62</v>
      </c>
      <c r="B133" s="851">
        <f t="shared" ref="B133:B150" si="13">B132+1</f>
        <v>57</v>
      </c>
      <c r="C133" s="869">
        <f>IF(OR(A133&lt;$G$45, A133&gt;'1. AgeData'!$I$30),0,(IF($G$94="Bad Yr",0,$G$94)*12)*POWER((1+$H$70),(A133-A$131)))</f>
        <v>0</v>
      </c>
      <c r="D133" s="868">
        <f>IF(OR(B133&lt;$G$47, B133&gt;'1. AgeData'!$I$31),0,(IF($G$95="Bad Yr",0,$G$95)*12)*POWER((1+$H$70),(B133-B$131)))</f>
        <v>0</v>
      </c>
      <c r="E133" s="1162">
        <f>IF((A133&lt;'1. AgeData'!$I$30),C133*K133,0)</f>
        <v>0</v>
      </c>
      <c r="F133" s="1163">
        <f>IF((B133&lt;'1. AgeData'!$I$31),D133*K133,0)</f>
        <v>0</v>
      </c>
      <c r="G133" s="837">
        <f t="shared" si="7"/>
        <v>0</v>
      </c>
      <c r="H133" s="837">
        <f t="shared" si="8"/>
        <v>0</v>
      </c>
      <c r="I133" s="869">
        <f t="shared" si="9"/>
        <v>0</v>
      </c>
      <c r="J133" s="837">
        <f t="shared" si="10"/>
        <v>0</v>
      </c>
      <c r="K133" s="1167">
        <f t="shared" si="11"/>
        <v>1</v>
      </c>
      <c r="L133" s="39">
        <f t="shared" ref="L133:L167" si="14">L132+1</f>
        <v>2017</v>
      </c>
    </row>
    <row r="134" spans="1:16" x14ac:dyDescent="0.25">
      <c r="A134" s="850">
        <f t="shared" si="12"/>
        <v>63</v>
      </c>
      <c r="B134" s="851">
        <f t="shared" si="13"/>
        <v>58</v>
      </c>
      <c r="C134" s="869">
        <f>IF(OR(A134&lt;$G$45, A134&gt;'1. AgeData'!$I$30),0,(IF($G$94="Bad Yr",0,$G$94)*12)*POWER((1+$H$70),(A134-A$131)))</f>
        <v>0</v>
      </c>
      <c r="D134" s="868">
        <f>IF(OR(B134&lt;$G$47, B134&gt;'1. AgeData'!$I$31),0,(IF($G$95="Bad Yr",0,$G$95)*12)*POWER((1+$H$70),(B134-B$131)))</f>
        <v>0</v>
      </c>
      <c r="E134" s="1162">
        <f>IF((A134&lt;'1. AgeData'!$I$30),C134*K134,0)</f>
        <v>0</v>
      </c>
      <c r="F134" s="1163">
        <f>IF((B134&lt;'1. AgeData'!$I$31),D134*K134,0)</f>
        <v>0</v>
      </c>
      <c r="G134" s="837">
        <f t="shared" si="7"/>
        <v>0</v>
      </c>
      <c r="H134" s="837">
        <f t="shared" si="8"/>
        <v>0</v>
      </c>
      <c r="I134" s="869">
        <f t="shared" si="9"/>
        <v>0</v>
      </c>
      <c r="J134" s="837">
        <f t="shared" si="10"/>
        <v>0</v>
      </c>
      <c r="K134" s="1167">
        <f t="shared" si="11"/>
        <v>1</v>
      </c>
      <c r="L134" s="39">
        <f t="shared" si="14"/>
        <v>2018</v>
      </c>
    </row>
    <row r="135" spans="1:16" x14ac:dyDescent="0.25">
      <c r="A135" s="873">
        <f t="shared" si="12"/>
        <v>64</v>
      </c>
      <c r="B135" s="874">
        <f t="shared" si="13"/>
        <v>59</v>
      </c>
      <c r="C135" s="869">
        <f>IF(OR(A135&lt;$G$45, A135&gt;'1. AgeData'!$I$30),0,(IF($G$94="Bad Yr",0,$G$94)*12)*POWER((1+$H$70),(A135-A$131)))</f>
        <v>0</v>
      </c>
      <c r="D135" s="868">
        <f>IF(OR(B135&lt;$G$47, B135&gt;'1. AgeData'!$I$31),0,(IF($G$95="Bad Yr",0,$G$95)*12)*POWER((1+$H$70),(B135-B$131)))</f>
        <v>0</v>
      </c>
      <c r="E135" s="1162">
        <f>IF((A135&lt;'1. AgeData'!$I$30),C135*K135,0)</f>
        <v>0</v>
      </c>
      <c r="F135" s="1163">
        <f>IF((B135&lt;'1. AgeData'!$I$31),D135*K135,0)</f>
        <v>0</v>
      </c>
      <c r="G135" s="837">
        <f t="shared" si="7"/>
        <v>0</v>
      </c>
      <c r="H135" s="837">
        <f t="shared" si="8"/>
        <v>0</v>
      </c>
      <c r="I135" s="869">
        <f t="shared" si="9"/>
        <v>0</v>
      </c>
      <c r="J135" s="837">
        <f t="shared" si="10"/>
        <v>0</v>
      </c>
      <c r="K135" s="1167">
        <f t="shared" si="11"/>
        <v>1</v>
      </c>
      <c r="L135" s="39">
        <f t="shared" si="14"/>
        <v>2019</v>
      </c>
    </row>
    <row r="136" spans="1:16" x14ac:dyDescent="0.25">
      <c r="A136" s="850">
        <f t="shared" si="12"/>
        <v>65</v>
      </c>
      <c r="B136" s="851">
        <f t="shared" si="13"/>
        <v>60</v>
      </c>
      <c r="C136" s="869">
        <f>IF(OR(A136&lt;$G$45, A136&gt;'1. AgeData'!$I$30),0,(IF($G$94="Bad Yr",0,$G$94)*12)*POWER((1+$H$70),(A136-A$131)))</f>
        <v>0</v>
      </c>
      <c r="D136" s="868">
        <f>IF(OR(B136&lt;$G$47, B136&gt;'1. AgeData'!$I$31),0,(IF($G$95="Bad Yr",0,$G$95)*12)*POWER((1+$H$70),(B136-B$131)))</f>
        <v>0</v>
      </c>
      <c r="E136" s="1162">
        <f>IF((A136&lt;'1. AgeData'!$I$30),C136*K136,0)</f>
        <v>0</v>
      </c>
      <c r="F136" s="1163">
        <f>IF((B136&lt;'1. AgeData'!$I$31),D136*K136,0)</f>
        <v>0</v>
      </c>
      <c r="G136" s="837">
        <f t="shared" si="7"/>
        <v>0</v>
      </c>
      <c r="H136" s="837">
        <f t="shared" si="8"/>
        <v>0</v>
      </c>
      <c r="I136" s="869">
        <f t="shared" si="9"/>
        <v>0</v>
      </c>
      <c r="J136" s="837">
        <f t="shared" si="10"/>
        <v>0</v>
      </c>
      <c r="K136" s="1167">
        <f t="shared" si="11"/>
        <v>1</v>
      </c>
      <c r="L136" s="39">
        <f t="shared" si="14"/>
        <v>2020</v>
      </c>
    </row>
    <row r="137" spans="1:16" x14ac:dyDescent="0.25">
      <c r="A137" s="850">
        <f t="shared" si="12"/>
        <v>66</v>
      </c>
      <c r="B137" s="851">
        <f t="shared" si="13"/>
        <v>61</v>
      </c>
      <c r="C137" s="869">
        <f>IF(OR(A137&lt;$G$45, A137&gt;'1. AgeData'!$I$30),0,(IF($G$94="Bad Yr",0,$G$94)*12)*POWER((1+$H$70),(A137-A$131)))</f>
        <v>29678.659164799617</v>
      </c>
      <c r="D137" s="868">
        <f>IF(OR(B137&lt;$G$47, B137&gt;'1. AgeData'!$I$31),0,(IF($G$95="Bad Yr",0,$G$95)*12)*POWER((1+$H$70),(B137-B$131)))</f>
        <v>0</v>
      </c>
      <c r="E137" s="1162">
        <f>IF((A137&lt;'1. AgeData'!$I$30),C137*K137,0)</f>
        <v>29678.659164799617</v>
      </c>
      <c r="F137" s="1163">
        <f>IF((B137&lt;'1. AgeData'!$I$31),D137*K137,0)</f>
        <v>0</v>
      </c>
      <c r="G137" s="837">
        <f t="shared" si="7"/>
        <v>14839.329582399809</v>
      </c>
      <c r="H137" s="837">
        <f t="shared" si="8"/>
        <v>14839.329582399809</v>
      </c>
      <c r="I137" s="869">
        <f t="shared" si="9"/>
        <v>12613.430145039838</v>
      </c>
      <c r="J137" s="837">
        <f t="shared" si="10"/>
        <v>12613.430145039838</v>
      </c>
      <c r="K137" s="1167">
        <f t="shared" si="11"/>
        <v>1</v>
      </c>
      <c r="L137" s="39">
        <f t="shared" si="14"/>
        <v>2021</v>
      </c>
    </row>
    <row r="138" spans="1:16" x14ac:dyDescent="0.25">
      <c r="A138" s="850">
        <f t="shared" si="12"/>
        <v>67</v>
      </c>
      <c r="B138" s="851">
        <f t="shared" si="13"/>
        <v>62</v>
      </c>
      <c r="C138" s="869">
        <f>IF(OR(A138&lt;$G$45, A138&gt;'1. AgeData'!$I$30),0,(IF($G$94="Bad Yr",0,$G$94)*12)*POWER((1+$H$70),(A138-A$131)))</f>
        <v>30272.232348095604</v>
      </c>
      <c r="D138" s="868">
        <f>IF(OR(B138&lt;$G$47, B138&gt;'1. AgeData'!$I$31),0,(IF($G$95="Bad Yr",0,$G$95)*12)*POWER((1+$H$70),(B138-B$131)))</f>
        <v>0</v>
      </c>
      <c r="E138" s="1162">
        <f>IF((A138&lt;'1. AgeData'!$I$30),C138*K138,0)</f>
        <v>30272.232348095604</v>
      </c>
      <c r="F138" s="1163">
        <f>IF((B138&lt;'1. AgeData'!$I$31),D138*K138,0)</f>
        <v>0</v>
      </c>
      <c r="G138" s="837">
        <f t="shared" si="7"/>
        <v>15136.116174047802</v>
      </c>
      <c r="H138" s="837">
        <f t="shared" si="8"/>
        <v>15136.116174047802</v>
      </c>
      <c r="I138" s="869">
        <f t="shared" si="9"/>
        <v>12865.698747940631</v>
      </c>
      <c r="J138" s="837">
        <f t="shared" si="10"/>
        <v>12865.698747940631</v>
      </c>
      <c r="K138" s="1167">
        <f t="shared" si="11"/>
        <v>1</v>
      </c>
      <c r="L138" s="39">
        <f t="shared" si="14"/>
        <v>2022</v>
      </c>
    </row>
    <row r="139" spans="1:16" x14ac:dyDescent="0.25">
      <c r="A139" s="850">
        <f t="shared" si="12"/>
        <v>68</v>
      </c>
      <c r="B139" s="851">
        <f t="shared" si="13"/>
        <v>63</v>
      </c>
      <c r="C139" s="869">
        <f>IF(OR(A139&lt;$G$45, A139&gt;'1. AgeData'!$I$30),0,(IF($G$94="Bad Yr",0,$G$94)*12)*POWER((1+$H$70),(A139-A$131)))</f>
        <v>30877.676995057518</v>
      </c>
      <c r="D139" s="868">
        <f>IF(OR(B139&lt;$G$47, B139&gt;'1. AgeData'!$I$31),0,(IF($G$95="Bad Yr",0,$G$95)*12)*POWER((1+$H$70),(B139-B$131)))</f>
        <v>0</v>
      </c>
      <c r="E139" s="1162">
        <f>IF((A139&lt;'1. AgeData'!$I$30),C139*K139,0)</f>
        <v>30877.676995057518</v>
      </c>
      <c r="F139" s="1163">
        <f>IF((B139&lt;'1. AgeData'!$I$31),D139*K139,0)</f>
        <v>0</v>
      </c>
      <c r="G139" s="837">
        <f t="shared" si="7"/>
        <v>15438.838497528759</v>
      </c>
      <c r="H139" s="837">
        <f t="shared" si="8"/>
        <v>15438.838497528759</v>
      </c>
      <c r="I139" s="869">
        <f t="shared" si="9"/>
        <v>13123.012722899444</v>
      </c>
      <c r="J139" s="837">
        <f t="shared" si="10"/>
        <v>13123.012722899444</v>
      </c>
      <c r="K139" s="1167">
        <f t="shared" si="11"/>
        <v>1</v>
      </c>
      <c r="L139" s="39">
        <f t="shared" si="14"/>
        <v>2023</v>
      </c>
    </row>
    <row r="140" spans="1:16" x14ac:dyDescent="0.25">
      <c r="A140" s="850">
        <f t="shared" si="12"/>
        <v>69</v>
      </c>
      <c r="B140" s="851">
        <f t="shared" si="13"/>
        <v>64</v>
      </c>
      <c r="C140" s="869">
        <f>IF(OR(A140&lt;$G$45, A140&gt;'1. AgeData'!$I$30),0,(IF($G$94="Bad Yr",0,$G$94)*12)*POWER((1+$H$70),(A140-A$131)))</f>
        <v>31495.230534958668</v>
      </c>
      <c r="D140" s="868">
        <f>IF(OR(B140&lt;$G$47, B140&gt;'1. AgeData'!$I$31),0,(IF($G$95="Bad Yr",0,$G$95)*12)*POWER((1+$H$70),(B140-B$131)))</f>
        <v>20823.292915675149</v>
      </c>
      <c r="E140" s="1162">
        <f>IF((A140&lt;'1. AgeData'!$I$30),C140*K140,0)</f>
        <v>31495.230534958668</v>
      </c>
      <c r="F140" s="1163">
        <f>IF((B140&lt;'1. AgeData'!$I$31),D140*K140,0)</f>
        <v>20823.292915675149</v>
      </c>
      <c r="G140" s="837">
        <f t="shared" si="7"/>
        <v>26159.261725316908</v>
      </c>
      <c r="H140" s="837">
        <f t="shared" si="8"/>
        <v>26159.261725316908</v>
      </c>
      <c r="I140" s="869">
        <f t="shared" si="9"/>
        <v>22235.372466519373</v>
      </c>
      <c r="J140" s="837">
        <f t="shared" si="10"/>
        <v>22235.372466519373</v>
      </c>
      <c r="K140" s="1167">
        <f t="shared" si="11"/>
        <v>1</v>
      </c>
      <c r="L140" s="39">
        <f t="shared" si="14"/>
        <v>2024</v>
      </c>
    </row>
    <row r="141" spans="1:16" x14ac:dyDescent="0.25">
      <c r="A141" s="850">
        <f t="shared" si="12"/>
        <v>70</v>
      </c>
      <c r="B141" s="851">
        <f t="shared" si="13"/>
        <v>65</v>
      </c>
      <c r="C141" s="869">
        <f>IF(OR(A141&lt;$G$45, A141&gt;'1. AgeData'!$I$30),0,(IF($G$94="Bad Yr",0,$G$94)*12)*POWER((1+$H$70),(A141-A$131)))</f>
        <v>32125.135145657841</v>
      </c>
      <c r="D141" s="868">
        <f>IF(OR(B141&lt;$G$47, B141&gt;'1. AgeData'!$I$31),0,(IF($G$95="Bad Yr",0,$G$95)*12)*POWER((1+$H$70),(B141-B$131)))</f>
        <v>21239.758773988651</v>
      </c>
      <c r="E141" s="1162">
        <f>IF((A141&lt;'1. AgeData'!$I$30),C141*K141,0)</f>
        <v>32125.135145657841</v>
      </c>
      <c r="F141" s="1163">
        <f>IF((B141&lt;'1. AgeData'!$I$31),D141*K141,0)</f>
        <v>21239.758773988651</v>
      </c>
      <c r="G141" s="837">
        <f t="shared" si="7"/>
        <v>26682.446959823246</v>
      </c>
      <c r="H141" s="837">
        <f t="shared" si="8"/>
        <v>26682.446959823246</v>
      </c>
      <c r="I141" s="869">
        <f t="shared" si="9"/>
        <v>22680.079915849758</v>
      </c>
      <c r="J141" s="837">
        <f t="shared" si="10"/>
        <v>22680.079915849758</v>
      </c>
      <c r="K141" s="1167">
        <f t="shared" si="11"/>
        <v>1</v>
      </c>
      <c r="L141" s="39">
        <f t="shared" si="14"/>
        <v>2025</v>
      </c>
    </row>
    <row r="142" spans="1:16" x14ac:dyDescent="0.25">
      <c r="A142" s="850">
        <f t="shared" si="12"/>
        <v>71</v>
      </c>
      <c r="B142" s="851">
        <f t="shared" si="13"/>
        <v>66</v>
      </c>
      <c r="C142" s="869">
        <f>IF(OR(A142&lt;$G$45, A142&gt;'1. AgeData'!$I$30),0,(IF($G$94="Bad Yr",0,$G$94)*12)*POWER((1+$H$70),(A142-A$131)))</f>
        <v>32767.637848570994</v>
      </c>
      <c r="D142" s="868">
        <f>IF(OR(B142&lt;$G$47, B142&gt;'1. AgeData'!$I$31),0,(IF($G$95="Bad Yr",0,$G$95)*12)*POWER((1+$H$70),(B142-B$131)))</f>
        <v>21664.55394946842</v>
      </c>
      <c r="E142" s="1162">
        <f>IF((A142&lt;'1. AgeData'!$I$30),C142*K142,0)</f>
        <v>32767.637848570994</v>
      </c>
      <c r="F142" s="1163">
        <f>IF((B142&lt;'1. AgeData'!$I$31),D142*K142,0)</f>
        <v>21664.55394946842</v>
      </c>
      <c r="G142" s="837">
        <f t="shared" si="7"/>
        <v>27216.095899019707</v>
      </c>
      <c r="H142" s="837">
        <f t="shared" si="8"/>
        <v>27216.095899019707</v>
      </c>
      <c r="I142" s="869">
        <f t="shared" si="9"/>
        <v>23133.68151416675</v>
      </c>
      <c r="J142" s="837">
        <f t="shared" si="10"/>
        <v>23133.68151416675</v>
      </c>
      <c r="K142" s="1167">
        <f t="shared" si="11"/>
        <v>1</v>
      </c>
      <c r="L142" s="39">
        <f t="shared" si="14"/>
        <v>2026</v>
      </c>
    </row>
    <row r="143" spans="1:16" x14ac:dyDescent="0.25">
      <c r="A143" s="850">
        <f t="shared" si="12"/>
        <v>72</v>
      </c>
      <c r="B143" s="851">
        <f t="shared" si="13"/>
        <v>67</v>
      </c>
      <c r="C143" s="869">
        <f>IF(OR(A143&lt;$G$45, A143&gt;'1. AgeData'!$I$30),0,(IF($G$94="Bad Yr",0,$G$94)*12)*POWER((1+$H$70),(A143-A$131)))</f>
        <v>33422.990605542422</v>
      </c>
      <c r="D143" s="868">
        <f>IF(OR(B143&lt;$G$47, B143&gt;'1. AgeData'!$I$31),0,(IF($G$95="Bad Yr",0,$G$95)*12)*POWER((1+$H$70),(B143-B$131)))</f>
        <v>22097.845028457792</v>
      </c>
      <c r="E143" s="1162">
        <f>IF((A143&lt;'1. AgeData'!$I$30),C143*K143,0)</f>
        <v>33422.990605542422</v>
      </c>
      <c r="F143" s="1163">
        <f>IF((B143&lt;'1. AgeData'!$I$31),D143*K143,0)</f>
        <v>22097.845028457792</v>
      </c>
      <c r="G143" s="837">
        <f t="shared" si="7"/>
        <v>27760.417817000107</v>
      </c>
      <c r="H143" s="837">
        <f t="shared" si="8"/>
        <v>27760.417817000107</v>
      </c>
      <c r="I143" s="869">
        <f t="shared" si="9"/>
        <v>23596.355144450092</v>
      </c>
      <c r="J143" s="837">
        <f t="shared" si="10"/>
        <v>23596.355144450092</v>
      </c>
      <c r="K143" s="1167">
        <f t="shared" si="11"/>
        <v>1</v>
      </c>
      <c r="L143" s="39">
        <f t="shared" si="14"/>
        <v>2027</v>
      </c>
    </row>
    <row r="144" spans="1:16" x14ac:dyDescent="0.25">
      <c r="A144" s="850">
        <f t="shared" si="12"/>
        <v>73</v>
      </c>
      <c r="B144" s="851">
        <f t="shared" si="13"/>
        <v>68</v>
      </c>
      <c r="C144" s="869">
        <f>IF(OR(A144&lt;$G$45, A144&gt;'1. AgeData'!$I$30),0,(IF($G$94="Bad Yr",0,$G$94)*12)*POWER((1+$H$70),(A144-A$131)))</f>
        <v>34091.450417653265</v>
      </c>
      <c r="D144" s="868">
        <f>IF(OR(B144&lt;$G$47, B144&gt;'1. AgeData'!$I$31),0,(IF($G$95="Bad Yr",0,$G$95)*12)*POWER((1+$H$70),(B144-B$131)))</f>
        <v>22539.801929026948</v>
      </c>
      <c r="E144" s="1162">
        <f>IF((A144&lt;'1. AgeData'!$I$30),C144*K144,0)</f>
        <v>34091.450417653265</v>
      </c>
      <c r="F144" s="1163">
        <f>IF((B144&lt;'1. AgeData'!$I$31),D144*K144,0)</f>
        <v>22539.801929026948</v>
      </c>
      <c r="G144" s="837">
        <f t="shared" si="7"/>
        <v>28315.626173340104</v>
      </c>
      <c r="H144" s="837">
        <f t="shared" si="8"/>
        <v>28315.626173340104</v>
      </c>
      <c r="I144" s="869">
        <f t="shared" si="9"/>
        <v>24068.282247339088</v>
      </c>
      <c r="J144" s="837">
        <f t="shared" si="10"/>
        <v>24068.282247339088</v>
      </c>
      <c r="K144" s="1167">
        <f t="shared" si="11"/>
        <v>1</v>
      </c>
      <c r="L144" s="39">
        <f t="shared" si="14"/>
        <v>2028</v>
      </c>
    </row>
    <row r="145" spans="1:12" x14ac:dyDescent="0.25">
      <c r="A145" s="850">
        <f t="shared" si="12"/>
        <v>74</v>
      </c>
      <c r="B145" s="851">
        <f t="shared" si="13"/>
        <v>69</v>
      </c>
      <c r="C145" s="869">
        <f>IF(OR(A145&lt;$G$45, A145&gt;'1. AgeData'!$I$30),0,(IF($G$94="Bad Yr",0,$G$94)*12)*POWER((1+$H$70),(A145-A$131)))</f>
        <v>34773.279426006331</v>
      </c>
      <c r="D145" s="868">
        <f>IF(OR(B145&lt;$G$47, B145&gt;'1. AgeData'!$I$31),0,(IF($G$95="Bad Yr",0,$G$95)*12)*POWER((1+$H$70),(B145-B$131)))</f>
        <v>22990.597967607489</v>
      </c>
      <c r="E145" s="1162">
        <f>IF((A145&lt;'1. AgeData'!$I$30),C145*K145,0)</f>
        <v>34773.279426006331</v>
      </c>
      <c r="F145" s="1163">
        <f>IF((B145&lt;'1. AgeData'!$I$31),D145*K145,0)</f>
        <v>22990.597967607489</v>
      </c>
      <c r="G145" s="837">
        <f t="shared" si="7"/>
        <v>28881.938696806908</v>
      </c>
      <c r="H145" s="837">
        <f t="shared" si="8"/>
        <v>28881.938696806908</v>
      </c>
      <c r="I145" s="869">
        <f t="shared" si="9"/>
        <v>24549.647892285873</v>
      </c>
      <c r="J145" s="837">
        <f t="shared" si="10"/>
        <v>24549.647892285873</v>
      </c>
      <c r="K145" s="1167">
        <f t="shared" si="11"/>
        <v>1</v>
      </c>
      <c r="L145" s="39">
        <f t="shared" si="14"/>
        <v>2029</v>
      </c>
    </row>
    <row r="146" spans="1:12" x14ac:dyDescent="0.25">
      <c r="A146" s="850">
        <f t="shared" si="12"/>
        <v>75</v>
      </c>
      <c r="B146" s="851">
        <f t="shared" si="13"/>
        <v>70</v>
      </c>
      <c r="C146" s="869">
        <f>IF(OR(A146&lt;$G$45, A146&gt;'1. AgeData'!$I$30),0,(IF($G$94="Bad Yr",0,$G$94)*12)*POWER((1+$H$70),(A146-A$131)))</f>
        <v>35468.745014526452</v>
      </c>
      <c r="D146" s="868">
        <f>IF(OR(B146&lt;$G$47, B146&gt;'1. AgeData'!$I$31),0,(IF($G$95="Bad Yr",0,$G$95)*12)*POWER((1+$H$70),(B146-B$131)))</f>
        <v>23450.409926959634</v>
      </c>
      <c r="E146" s="1162">
        <f>IF((A146&lt;'1. AgeData'!$I$30),C146*K146,0)</f>
        <v>35468.745014526452</v>
      </c>
      <c r="F146" s="1163">
        <f>IF((B146&lt;'1. AgeData'!$I$31),D146*K146,0)</f>
        <v>23450.409926959634</v>
      </c>
      <c r="G146" s="837">
        <f t="shared" si="7"/>
        <v>29459.577470743043</v>
      </c>
      <c r="H146" s="837">
        <f t="shared" si="8"/>
        <v>29459.577470743043</v>
      </c>
      <c r="I146" s="869">
        <f t="shared" si="9"/>
        <v>25040.640850131585</v>
      </c>
      <c r="J146" s="837">
        <f t="shared" si="10"/>
        <v>25040.640850131585</v>
      </c>
      <c r="K146" s="1167">
        <f t="shared" si="11"/>
        <v>1</v>
      </c>
      <c r="L146" s="39">
        <f t="shared" si="14"/>
        <v>2030</v>
      </c>
    </row>
    <row r="147" spans="1:12" x14ac:dyDescent="0.25">
      <c r="A147" s="850">
        <f t="shared" si="12"/>
        <v>76</v>
      </c>
      <c r="B147" s="851">
        <f t="shared" si="13"/>
        <v>71</v>
      </c>
      <c r="C147" s="869">
        <f>IF(OR(A147&lt;$G$45, A147&gt;'1. AgeData'!$I$30),0,(IF($G$94="Bad Yr",0,$G$94)*12)*POWER((1+$H$70),(A147-A$131)))</f>
        <v>36178.119914816984</v>
      </c>
      <c r="D147" s="868">
        <f>IF(OR(B147&lt;$G$47, B147&gt;'1. AgeData'!$I$31),0,(IF($G$95="Bad Yr",0,$G$95)*12)*POWER((1+$H$70),(B147-B$131)))</f>
        <v>23919.418125498829</v>
      </c>
      <c r="E147" s="1162">
        <f>IF((A147&lt;'1. AgeData'!$I$30),C147*K147,0)</f>
        <v>36178.119914816984</v>
      </c>
      <c r="F147" s="1163">
        <f>IF((B147&lt;'1. AgeData'!$I$31),D147*K147,0)</f>
        <v>23919.418125498829</v>
      </c>
      <c r="G147" s="837">
        <f t="shared" si="7"/>
        <v>30048.769020157906</v>
      </c>
      <c r="H147" s="837">
        <f t="shared" si="8"/>
        <v>30048.769020157906</v>
      </c>
      <c r="I147" s="869">
        <f t="shared" si="9"/>
        <v>25541.453667134221</v>
      </c>
      <c r="J147" s="837">
        <f t="shared" si="10"/>
        <v>25541.453667134221</v>
      </c>
      <c r="K147" s="1167">
        <f t="shared" si="11"/>
        <v>1</v>
      </c>
      <c r="L147" s="39">
        <f t="shared" si="14"/>
        <v>2031</v>
      </c>
    </row>
    <row r="148" spans="1:12" x14ac:dyDescent="0.25">
      <c r="A148" s="850">
        <f t="shared" si="12"/>
        <v>77</v>
      </c>
      <c r="B148" s="851">
        <f t="shared" si="13"/>
        <v>72</v>
      </c>
      <c r="C148" s="869">
        <f>IF(OR(A148&lt;$G$45, A148&gt;'1. AgeData'!$I$30),0,(IF($G$94="Bad Yr",0,$G$94)*12)*POWER((1+$H$70),(A148-A$131)))</f>
        <v>36901.682313113328</v>
      </c>
      <c r="D148" s="868">
        <f>IF(OR(B148&lt;$G$47, B148&gt;'1. AgeData'!$I$31),0,(IF($G$95="Bad Yr",0,$G$95)*12)*POWER((1+$H$70),(B148-B$131)))</f>
        <v>24397.80648800881</v>
      </c>
      <c r="E148" s="1162">
        <f>IF((A148&lt;'1. AgeData'!$I$30),C148*K148,0)</f>
        <v>36901.682313113328</v>
      </c>
      <c r="F148" s="1163">
        <f>IF((B148&lt;'1. AgeData'!$I$31),D148*K148,0)</f>
        <v>24397.80648800881</v>
      </c>
      <c r="G148" s="837">
        <f t="shared" si="7"/>
        <v>30649.744400561067</v>
      </c>
      <c r="H148" s="837">
        <f t="shared" si="8"/>
        <v>30649.744400561067</v>
      </c>
      <c r="I148" s="869">
        <f t="shared" si="9"/>
        <v>26052.282740476905</v>
      </c>
      <c r="J148" s="837">
        <f t="shared" si="10"/>
        <v>26052.282740476905</v>
      </c>
      <c r="K148" s="1167">
        <f t="shared" si="11"/>
        <v>1</v>
      </c>
      <c r="L148" s="39">
        <f t="shared" si="14"/>
        <v>2032</v>
      </c>
    </row>
    <row r="149" spans="1:12" x14ac:dyDescent="0.25">
      <c r="A149" s="850">
        <f t="shared" si="12"/>
        <v>78</v>
      </c>
      <c r="B149" s="851">
        <f t="shared" si="13"/>
        <v>73</v>
      </c>
      <c r="C149" s="869">
        <f>IF(OR(A149&lt;$G$45, A149&gt;'1. AgeData'!$I$30),0,(IF($G$94="Bad Yr",0,$G$94)*12)*POWER((1+$H$70),(A149-A$131)))</f>
        <v>37639.715959375593</v>
      </c>
      <c r="D149" s="868">
        <f>IF(OR(B149&lt;$G$47, B149&gt;'1. AgeData'!$I$31),0,(IF($G$95="Bad Yr",0,$G$95)*12)*POWER((1+$H$70),(B149-B$131)))</f>
        <v>24885.762617768982</v>
      </c>
      <c r="E149" s="1162">
        <f>IF((A149&lt;'1. AgeData'!$I$30),C149*K149,0)</f>
        <v>37639.715959375593</v>
      </c>
      <c r="F149" s="1163">
        <f>IF((B149&lt;'1. AgeData'!$I$31),D149*K149,0)</f>
        <v>24885.762617768982</v>
      </c>
      <c r="G149" s="837">
        <f t="shared" si="7"/>
        <v>31262.739288572287</v>
      </c>
      <c r="H149" s="837">
        <f t="shared" si="8"/>
        <v>31262.739288572287</v>
      </c>
      <c r="I149" s="869">
        <f t="shared" si="9"/>
        <v>26573.328395286444</v>
      </c>
      <c r="J149" s="837">
        <f t="shared" si="10"/>
        <v>26573.328395286444</v>
      </c>
      <c r="K149" s="1167">
        <f t="shared" si="11"/>
        <v>1</v>
      </c>
      <c r="L149" s="39">
        <f t="shared" si="14"/>
        <v>2033</v>
      </c>
    </row>
    <row r="150" spans="1:12" x14ac:dyDescent="0.25">
      <c r="A150" s="850">
        <f t="shared" si="12"/>
        <v>79</v>
      </c>
      <c r="B150" s="851">
        <f t="shared" si="13"/>
        <v>74</v>
      </c>
      <c r="C150" s="869">
        <f>IF(OR(A150&lt;$G$45, A150&gt;'1. AgeData'!$I$30),0,(IF($G$94="Bad Yr",0,$G$94)*12)*POWER((1+$H$70),(A150-A$131)))</f>
        <v>38392.510278563102</v>
      </c>
      <c r="D150" s="868">
        <f>IF(OR(B150&lt;$G$47, B150&gt;'1. AgeData'!$I$31),0,(IF($G$95="Bad Yr",0,$G$95)*12)*POWER((1+$H$70),(B150-B$131)))</f>
        <v>25383.477870124359</v>
      </c>
      <c r="E150" s="1162">
        <f>IF((A150&lt;'1. AgeData'!$I$30),C150*K150,0)</f>
        <v>30330.083120064854</v>
      </c>
      <c r="F150" s="1163">
        <f>IF((B150&lt;'1. AgeData'!$I$31),D150*K150,0)</f>
        <v>20052.947517398246</v>
      </c>
      <c r="G150" s="837">
        <f t="shared" si="7"/>
        <v>25191.515318731552</v>
      </c>
      <c r="H150" s="837">
        <f t="shared" si="8"/>
        <v>25191.515318731552</v>
      </c>
      <c r="I150" s="869">
        <f t="shared" si="9"/>
        <v>21412.78802092182</v>
      </c>
      <c r="J150" s="837">
        <f t="shared" si="10"/>
        <v>21412.78802092182</v>
      </c>
      <c r="K150" s="1167">
        <f t="shared" si="11"/>
        <v>0.79</v>
      </c>
      <c r="L150" s="39">
        <f t="shared" si="14"/>
        <v>2034</v>
      </c>
    </row>
    <row r="151" spans="1:12" x14ac:dyDescent="0.25">
      <c r="A151" s="850">
        <f t="shared" ref="A151:A164" si="15">A150+1</f>
        <v>80</v>
      </c>
      <c r="B151" s="851">
        <f t="shared" ref="B151:B164" si="16">B150+1</f>
        <v>75</v>
      </c>
      <c r="C151" s="869">
        <f>IF(OR(A151&lt;$G$45, A151&gt;'1. AgeData'!$I$30),0,(IF($G$94="Bad Yr",0,$G$94)*12)*POWER((1+$H$70),(A151-A$131)))</f>
        <v>39160.360484134369</v>
      </c>
      <c r="D151" s="868">
        <f>IF(OR(B151&lt;$G$47, B151&gt;'1. AgeData'!$I$31),0,(IF($G$95="Bad Yr",0,$G$95)*12)*POWER((1+$H$70),(B151-B$131)))</f>
        <v>25891.147427526848</v>
      </c>
      <c r="E151" s="1162">
        <f>IF((A151&lt;'1. AgeData'!$I$30),C151*K151,0)</f>
        <v>30936.684782466153</v>
      </c>
      <c r="F151" s="1163">
        <f>IF((B151&lt;'1. AgeData'!$I$31),D151*K151,0)</f>
        <v>20454.006467746211</v>
      </c>
      <c r="G151" s="837">
        <f t="shared" si="7"/>
        <v>25695.34562510618</v>
      </c>
      <c r="H151" s="837">
        <f t="shared" si="8"/>
        <v>25695.34562510618</v>
      </c>
      <c r="I151" s="869">
        <f t="shared" si="9"/>
        <v>21841.043781340253</v>
      </c>
      <c r="J151" s="837">
        <f t="shared" si="10"/>
        <v>21841.043781340253</v>
      </c>
      <c r="K151" s="1167">
        <f t="shared" si="11"/>
        <v>0.79</v>
      </c>
      <c r="L151" s="39">
        <f t="shared" si="14"/>
        <v>2035</v>
      </c>
    </row>
    <row r="152" spans="1:12" x14ac:dyDescent="0.25">
      <c r="A152" s="850">
        <f t="shared" si="15"/>
        <v>81</v>
      </c>
      <c r="B152" s="851">
        <f t="shared" si="16"/>
        <v>76</v>
      </c>
      <c r="C152" s="869">
        <f>IF(OR(A152&lt;$G$45, A152&gt;'1. AgeData'!$I$30),0,(IF($G$94="Bad Yr",0,$G$94)*12)*POWER((1+$H$70),(A152-A$131)))</f>
        <v>39943.567693817051</v>
      </c>
      <c r="D152" s="868">
        <f>IF(OR(B152&lt;$G$47, B152&gt;'1. AgeData'!$I$31),0,(IF($G$95="Bad Yr",0,$G$95)*12)*POWER((1+$H$70),(B152-B$131)))</f>
        <v>26408.970376077385</v>
      </c>
      <c r="E152" s="1162">
        <f>IF((A152&lt;'1. AgeData'!$I$30),C152*K152,0)</f>
        <v>31555.418478115473</v>
      </c>
      <c r="F152" s="1163">
        <f>IF((B152&lt;'1. AgeData'!$I$31),D152*K152,0)</f>
        <v>20863.086597101134</v>
      </c>
      <c r="G152" s="837">
        <f t="shared" si="7"/>
        <v>26209.252537608303</v>
      </c>
      <c r="H152" s="837">
        <f t="shared" si="8"/>
        <v>26209.252537608303</v>
      </c>
      <c r="I152" s="869">
        <f t="shared" si="9"/>
        <v>22277.864656967056</v>
      </c>
      <c r="J152" s="837">
        <f t="shared" si="10"/>
        <v>22277.864656967056</v>
      </c>
      <c r="K152" s="1167">
        <f t="shared" si="11"/>
        <v>0.79</v>
      </c>
      <c r="L152" s="39">
        <f t="shared" si="14"/>
        <v>2036</v>
      </c>
    </row>
    <row r="153" spans="1:12" x14ac:dyDescent="0.25">
      <c r="A153" s="850">
        <f t="shared" si="15"/>
        <v>82</v>
      </c>
      <c r="B153" s="851">
        <f t="shared" si="16"/>
        <v>77</v>
      </c>
      <c r="C153" s="869">
        <f>IF(OR(A153&lt;$G$45, A153&gt;'1. AgeData'!$I$30),0,(IF($G$94="Bad Yr",0,$G$94)*12)*POWER((1+$H$70),(A153-A$131)))</f>
        <v>40742.439047693391</v>
      </c>
      <c r="D153" s="868">
        <f>IF(OR(B153&lt;$G$47, B153&gt;'1. AgeData'!$I$31),0,(IF($G$95="Bad Yr",0,$G$95)*12)*POWER((1+$H$70),(B153-B$131)))</f>
        <v>26937.149783598932</v>
      </c>
      <c r="E153" s="1162">
        <f>IF((A153&lt;'1. AgeData'!$I$30),C153*K153,0)</f>
        <v>32186.526847677782</v>
      </c>
      <c r="F153" s="1163">
        <f>IF((B153&lt;'1. AgeData'!$I$31),D153*K153,0)</f>
        <v>21280.348329043158</v>
      </c>
      <c r="G153" s="837">
        <f t="shared" si="7"/>
        <v>26733.43758836047</v>
      </c>
      <c r="H153" s="837">
        <f t="shared" si="8"/>
        <v>26733.43758836047</v>
      </c>
      <c r="I153" s="869">
        <f t="shared" si="9"/>
        <v>22723.4219501064</v>
      </c>
      <c r="J153" s="837">
        <f t="shared" si="10"/>
        <v>22723.4219501064</v>
      </c>
      <c r="K153" s="1167">
        <f t="shared" si="11"/>
        <v>0.79</v>
      </c>
      <c r="L153" s="39">
        <f t="shared" si="14"/>
        <v>2037</v>
      </c>
    </row>
    <row r="154" spans="1:12" x14ac:dyDescent="0.25">
      <c r="A154" s="850">
        <f t="shared" si="15"/>
        <v>83</v>
      </c>
      <c r="B154" s="851">
        <f t="shared" si="16"/>
        <v>78</v>
      </c>
      <c r="C154" s="869">
        <f>IF(OR(A154&lt;$G$45, A154&gt;'1. AgeData'!$I$30),0,(IF($G$94="Bad Yr",0,$G$94)*12)*POWER((1+$H$70),(A154-A$131)))</f>
        <v>41557.287828647255</v>
      </c>
      <c r="D154" s="868">
        <f>IF(OR(B154&lt;$G$47, B154&gt;'1. AgeData'!$I$31),0,(IF($G$95="Bad Yr",0,$G$95)*12)*POWER((1+$H$70),(B154-B$131)))</f>
        <v>27475.892779270907</v>
      </c>
      <c r="E154" s="1162">
        <f>IF((A154&lt;'1. AgeData'!$I$30),C154*K154,0)</f>
        <v>32830.257384631332</v>
      </c>
      <c r="F154" s="1163">
        <f>IF((B154&lt;'1. AgeData'!$I$31),D154*K154,0)</f>
        <v>21705.955295624019</v>
      </c>
      <c r="G154" s="837">
        <f t="shared" si="7"/>
        <v>27268.106340127677</v>
      </c>
      <c r="H154" s="837">
        <f t="shared" si="8"/>
        <v>27268.106340127677</v>
      </c>
      <c r="I154" s="869">
        <f t="shared" si="9"/>
        <v>23177.890389108525</v>
      </c>
      <c r="J154" s="837">
        <f t="shared" si="10"/>
        <v>23177.890389108525</v>
      </c>
      <c r="K154" s="1167">
        <f t="shared" si="11"/>
        <v>0.79</v>
      </c>
      <c r="L154" s="39">
        <f t="shared" si="14"/>
        <v>2038</v>
      </c>
    </row>
    <row r="155" spans="1:12" x14ac:dyDescent="0.25">
      <c r="A155" s="850">
        <f t="shared" si="15"/>
        <v>84</v>
      </c>
      <c r="B155" s="851">
        <f t="shared" si="16"/>
        <v>79</v>
      </c>
      <c r="C155" s="869">
        <f>IF(OR(A155&lt;$G$45, A155&gt;'1. AgeData'!$I$30),0,(IF($G$94="Bad Yr",0,$G$94)*12)*POWER((1+$H$70),(A155-A$131)))</f>
        <v>42388.433585220198</v>
      </c>
      <c r="D155" s="868">
        <f>IF(OR(B155&lt;$G$47, B155&gt;'1. AgeData'!$I$31),0,(IF($G$95="Bad Yr",0,$G$95)*12)*POWER((1+$H$70),(B155-B$131)))</f>
        <v>28025.410634856325</v>
      </c>
      <c r="E155" s="1162">
        <f>IF((A155&lt;'1. AgeData'!$I$30),C155*K155,0)</f>
        <v>33486.862532323961</v>
      </c>
      <c r="F155" s="1163">
        <f>IF((B155&lt;'1. AgeData'!$I$31),D155*K155,0)</f>
        <v>22140.074401536498</v>
      </c>
      <c r="G155" s="837">
        <f t="shared" si="7"/>
        <v>27813.46846693023</v>
      </c>
      <c r="H155" s="837">
        <f t="shared" si="8"/>
        <v>27813.46846693023</v>
      </c>
      <c r="I155" s="869">
        <f t="shared" si="9"/>
        <v>23641.448196890695</v>
      </c>
      <c r="J155" s="837">
        <f t="shared" si="10"/>
        <v>23641.448196890695</v>
      </c>
      <c r="K155" s="1167">
        <f t="shared" si="11"/>
        <v>0.79</v>
      </c>
      <c r="L155" s="39">
        <f t="shared" si="14"/>
        <v>2039</v>
      </c>
    </row>
    <row r="156" spans="1:12" x14ac:dyDescent="0.25">
      <c r="A156" s="850">
        <f t="shared" si="15"/>
        <v>85</v>
      </c>
      <c r="B156" s="851">
        <f t="shared" si="16"/>
        <v>80</v>
      </c>
      <c r="C156" s="869">
        <f>IF(OR(A156&lt;$G$45, A156&gt;'1. AgeData'!$I$30),0,(IF($G$94="Bad Yr",0,$G$94)*12)*POWER((1+$H$70),(A156-A$131)))</f>
        <v>43236.202256924604</v>
      </c>
      <c r="D156" s="868">
        <f>IF(OR(B156&lt;$G$47, B156&gt;'1. AgeData'!$I$31),0,(IF($G$95="Bad Yr",0,$G$95)*12)*POWER((1+$H$70),(B156-B$131)))</f>
        <v>28585.918847553454</v>
      </c>
      <c r="E156" s="1162">
        <f>IF((A156&lt;'1. AgeData'!$I$30),C156*K156,0)</f>
        <v>0</v>
      </c>
      <c r="F156" s="1163">
        <f>IF((B156&lt;'1. AgeData'!$I$31),D156*K156,0)</f>
        <v>22582.875889567229</v>
      </c>
      <c r="G156" s="837">
        <f t="shared" si="7"/>
        <v>11291.437944783615</v>
      </c>
      <c r="H156" s="837">
        <f t="shared" si="8"/>
        <v>11291.437944783615</v>
      </c>
      <c r="I156" s="869">
        <f t="shared" si="9"/>
        <v>9597.7222530660729</v>
      </c>
      <c r="J156" s="837">
        <f t="shared" si="10"/>
        <v>9597.7222530660729</v>
      </c>
      <c r="K156" s="1167">
        <f t="shared" si="11"/>
        <v>0.79</v>
      </c>
      <c r="L156" s="39">
        <f t="shared" si="14"/>
        <v>2040</v>
      </c>
    </row>
    <row r="157" spans="1:12" x14ac:dyDescent="0.25">
      <c r="A157" s="850">
        <f t="shared" si="15"/>
        <v>86</v>
      </c>
      <c r="B157" s="874">
        <f t="shared" si="16"/>
        <v>81</v>
      </c>
      <c r="C157" s="869">
        <f>IF(OR(A157&lt;$G$45, A157&gt;'1. AgeData'!$I$30),0,(IF($G$94="Bad Yr",0,$G$94)*12)*POWER((1+$H$70),(A157-A$131)))</f>
        <v>0</v>
      </c>
      <c r="D157" s="868">
        <f>IF(OR(B157&lt;$G$47, B157&gt;'1. AgeData'!$I$31),0,(IF($G$95="Bad Yr",0,$G$95)*12)*POWER((1+$H$70),(B157-B$131)))</f>
        <v>29157.637224504524</v>
      </c>
      <c r="E157" s="1162">
        <f>IF((A157&lt;'1. AgeData'!$I$30),C157*K157,0)</f>
        <v>0</v>
      </c>
      <c r="F157" s="1163">
        <f>IF((B157&lt;'1. AgeData'!$I$31),D157*K157,0)</f>
        <v>23034.533407358576</v>
      </c>
      <c r="G157" s="837">
        <f t="shared" si="7"/>
        <v>11517.266703679288</v>
      </c>
      <c r="H157" s="837">
        <f t="shared" si="8"/>
        <v>11517.266703679288</v>
      </c>
      <c r="I157" s="869">
        <f t="shared" si="9"/>
        <v>9789.676698127394</v>
      </c>
      <c r="J157" s="837">
        <f t="shared" si="10"/>
        <v>9789.676698127394</v>
      </c>
      <c r="K157" s="1167">
        <f t="shared" si="11"/>
        <v>0.79</v>
      </c>
      <c r="L157" s="39">
        <f t="shared" si="14"/>
        <v>2041</v>
      </c>
    </row>
    <row r="158" spans="1:12" x14ac:dyDescent="0.25">
      <c r="A158" s="850">
        <f t="shared" si="15"/>
        <v>87</v>
      </c>
      <c r="B158" s="851">
        <f t="shared" si="16"/>
        <v>82</v>
      </c>
      <c r="C158" s="869">
        <f>IF(OR(A158&lt;$G$45, A158&gt;'1. AgeData'!$I$30),0,(IF($G$94="Bad Yr",0,$G$94)*12)*POWER((1+$H$70),(A158-A$131)))</f>
        <v>0</v>
      </c>
      <c r="D158" s="868">
        <f>IF(OR(B158&lt;$G$47, B158&gt;'1. AgeData'!$I$31),0,(IF($G$95="Bad Yr",0,$G$95)*12)*POWER((1+$H$70),(B158-B$131)))</f>
        <v>29740.78996899461</v>
      </c>
      <c r="E158" s="1162">
        <f>IF((A158&lt;'1. AgeData'!$I$30),C158*K158,0)</f>
        <v>0</v>
      </c>
      <c r="F158" s="1163">
        <f>IF((B158&lt;'1. AgeData'!$I$31),D158*K158,0)</f>
        <v>23495.224075505743</v>
      </c>
      <c r="G158" s="837">
        <f t="shared" si="7"/>
        <v>11747.612037752871</v>
      </c>
      <c r="H158" s="837">
        <f t="shared" si="8"/>
        <v>11747.612037752871</v>
      </c>
      <c r="I158" s="869">
        <f t="shared" si="9"/>
        <v>9985.4702320899396</v>
      </c>
      <c r="J158" s="837">
        <f t="shared" si="10"/>
        <v>9985.4702320899396</v>
      </c>
      <c r="K158" s="1167">
        <f t="shared" si="11"/>
        <v>0.79</v>
      </c>
      <c r="L158" s="39">
        <f t="shared" si="14"/>
        <v>2042</v>
      </c>
    </row>
    <row r="159" spans="1:12" x14ac:dyDescent="0.25">
      <c r="A159" s="850">
        <f t="shared" si="15"/>
        <v>88</v>
      </c>
      <c r="B159" s="851">
        <f t="shared" si="16"/>
        <v>83</v>
      </c>
      <c r="C159" s="869">
        <f>IF(OR(A159&lt;$G$45, A159&gt;'1. AgeData'!$I$30),0,(IF($G$94="Bad Yr",0,$G$94)*12)*POWER((1+$H$70),(A159-A$131)))</f>
        <v>0</v>
      </c>
      <c r="D159" s="868">
        <f>IF(OR(B159&lt;$G$47, B159&gt;'1. AgeData'!$I$31),0,(IF($G$95="Bad Yr",0,$G$95)*12)*POWER((1+$H$70),(B159-B$131)))</f>
        <v>30335.605768374509</v>
      </c>
      <c r="E159" s="1162">
        <f>IF((A159&lt;'1. AgeData'!$I$30),C159*K159,0)</f>
        <v>0</v>
      </c>
      <c r="F159" s="1163">
        <f>IF((B159&lt;'1. AgeData'!$I$31),D159*K159,0)</f>
        <v>23965.128557015865</v>
      </c>
      <c r="G159" s="837">
        <f t="shared" si="7"/>
        <v>11982.564278507933</v>
      </c>
      <c r="H159" s="837">
        <f t="shared" si="8"/>
        <v>11982.564278507933</v>
      </c>
      <c r="I159" s="869">
        <f t="shared" si="9"/>
        <v>10185.179636731742</v>
      </c>
      <c r="J159" s="837">
        <f t="shared" si="10"/>
        <v>10185.179636731742</v>
      </c>
      <c r="K159" s="1167">
        <f t="shared" si="11"/>
        <v>0.79</v>
      </c>
      <c r="L159" s="39">
        <f t="shared" si="14"/>
        <v>2043</v>
      </c>
    </row>
    <row r="160" spans="1:12" x14ac:dyDescent="0.25">
      <c r="A160" s="850">
        <f t="shared" si="15"/>
        <v>89</v>
      </c>
      <c r="B160" s="851">
        <f t="shared" si="16"/>
        <v>84</v>
      </c>
      <c r="C160" s="869">
        <f>IF(OR(A160&lt;$G$45, A160&gt;'1. AgeData'!$I$30),0,(IF($G$94="Bad Yr",0,$G$94)*12)*POWER((1+$H$70),(A160-A$131)))</f>
        <v>0</v>
      </c>
      <c r="D160" s="868">
        <f>IF(OR(B160&lt;$G$47, B160&gt;'1. AgeData'!$I$31),0,(IF($G$95="Bad Yr",0,$G$95)*12)*POWER((1+$H$70),(B160-B$131)))</f>
        <v>30942.317883741995</v>
      </c>
      <c r="E160" s="1162">
        <f>IF((A160&lt;'1. AgeData'!$I$30),C160*K160,0)</f>
        <v>0</v>
      </c>
      <c r="F160" s="1163">
        <f>IF((B160&lt;'1. AgeData'!$I$31),D160*K160,0)</f>
        <v>24444.431128156179</v>
      </c>
      <c r="G160" s="837">
        <f t="shared" si="7"/>
        <v>12222.215564078089</v>
      </c>
      <c r="H160" s="837">
        <f t="shared" si="8"/>
        <v>12222.215564078089</v>
      </c>
      <c r="I160" s="869">
        <f t="shared" si="9"/>
        <v>10388.883229466375</v>
      </c>
      <c r="J160" s="837">
        <f t="shared" si="10"/>
        <v>10388.883229466375</v>
      </c>
      <c r="K160" s="1167">
        <f t="shared" si="11"/>
        <v>0.79</v>
      </c>
      <c r="L160" s="39">
        <f t="shared" si="14"/>
        <v>2044</v>
      </c>
    </row>
    <row r="161" spans="1:12" x14ac:dyDescent="0.25">
      <c r="A161" s="850">
        <f t="shared" si="15"/>
        <v>90</v>
      </c>
      <c r="B161" s="851">
        <f t="shared" si="16"/>
        <v>85</v>
      </c>
      <c r="C161" s="869">
        <f>IF(OR(A161&lt;$G$45, A161&gt;'1. AgeData'!$I$30),0,(IF($G$94="Bad Yr",0,$G$94)*12)*POWER((1+$H$70),(A161-A$131)))</f>
        <v>0</v>
      </c>
      <c r="D161" s="868">
        <f>IF(OR(B161&lt;$G$47, B161&gt;'1. AgeData'!$I$31),0,(IF($G$95="Bad Yr",0,$G$95)*12)*POWER((1+$H$70),(B161-B$131)))</f>
        <v>31561.164241416838</v>
      </c>
      <c r="E161" s="1162">
        <f>IF((A161&lt;'1. AgeData'!$I$30),C161*K161,0)</f>
        <v>0</v>
      </c>
      <c r="F161" s="1163">
        <f>IF((B161&lt;'1. AgeData'!$I$31),D161*K161,0)</f>
        <v>24933.319750719304</v>
      </c>
      <c r="G161" s="837">
        <f t="shared" si="7"/>
        <v>12466.659875359652</v>
      </c>
      <c r="H161" s="837">
        <f t="shared" si="8"/>
        <v>12466.659875359652</v>
      </c>
      <c r="I161" s="869">
        <f t="shared" si="9"/>
        <v>10596.660894055703</v>
      </c>
      <c r="J161" s="837">
        <f t="shared" si="10"/>
        <v>10596.660894055703</v>
      </c>
      <c r="K161" s="1167">
        <f t="shared" si="11"/>
        <v>0.79</v>
      </c>
      <c r="L161" s="39">
        <f t="shared" si="14"/>
        <v>2045</v>
      </c>
    </row>
    <row r="162" spans="1:12" x14ac:dyDescent="0.25">
      <c r="A162" s="850">
        <f t="shared" si="15"/>
        <v>91</v>
      </c>
      <c r="B162" s="851">
        <f t="shared" si="16"/>
        <v>86</v>
      </c>
      <c r="C162" s="869">
        <f>IF(OR(A162&lt;$G$45, A162&gt;'1. AgeData'!$I$30),0,(IF($G$94="Bad Yr",0,$G$94)*12)*POWER((1+$H$70),(A162-A$131)))</f>
        <v>0</v>
      </c>
      <c r="D162" s="868">
        <f>IF(OR(B162&lt;$G$47, B162&gt;'1. AgeData'!$I$31),0,(IF($G$95="Bad Yr",0,$G$95)*12)*POWER((1+$H$70),(B162-B$131)))</f>
        <v>32192.387526245166</v>
      </c>
      <c r="E162" s="1162">
        <f>IF((A162&lt;'1. AgeData'!$I$30),C162*K162,0)</f>
        <v>0</v>
      </c>
      <c r="F162" s="1163">
        <f>IF((B162&lt;'1. AgeData'!$I$31),D162*K162,0)</f>
        <v>25431.986145733681</v>
      </c>
      <c r="G162" s="837">
        <f t="shared" si="7"/>
        <v>12715.993072866841</v>
      </c>
      <c r="H162" s="837">
        <f t="shared" si="8"/>
        <v>12715.993072866841</v>
      </c>
      <c r="I162" s="869">
        <f t="shared" si="9"/>
        <v>10808.594111936814</v>
      </c>
      <c r="J162" s="837">
        <f t="shared" si="10"/>
        <v>10808.594111936814</v>
      </c>
      <c r="K162" s="1167">
        <f t="shared" si="11"/>
        <v>0.79</v>
      </c>
      <c r="L162" s="39">
        <f t="shared" si="14"/>
        <v>2046</v>
      </c>
    </row>
    <row r="163" spans="1:12" x14ac:dyDescent="0.25">
      <c r="A163" s="850">
        <f t="shared" si="15"/>
        <v>92</v>
      </c>
      <c r="B163" s="851">
        <f t="shared" si="16"/>
        <v>87</v>
      </c>
      <c r="C163" s="869">
        <f>IF(OR(A163&lt;$G$45, A163&gt;'1. AgeData'!$I$30),0,(IF($G$94="Bad Yr",0,$G$94)*12)*POWER((1+$H$70),(A163-A$131)))</f>
        <v>0</v>
      </c>
      <c r="D163" s="868">
        <f>IF(OR(B163&lt;$G$47, B163&gt;'1. AgeData'!$I$31),0,(IF($G$95="Bad Yr",0,$G$95)*12)*POWER((1+$H$70),(B163-B$131)))</f>
        <v>32836.23527677008</v>
      </c>
      <c r="E163" s="1162">
        <f>IF((A163&lt;'1. AgeData'!$I$30),C163*K163,0)</f>
        <v>0</v>
      </c>
      <c r="F163" s="1163">
        <f>IF((B163&lt;'1. AgeData'!$I$31),D163*K163,0)</f>
        <v>0</v>
      </c>
      <c r="G163" s="837">
        <f t="shared" si="7"/>
        <v>0</v>
      </c>
      <c r="H163" s="837">
        <f t="shared" si="8"/>
        <v>0</v>
      </c>
      <c r="I163" s="869">
        <f t="shared" si="9"/>
        <v>0</v>
      </c>
      <c r="J163" s="837">
        <f t="shared" si="10"/>
        <v>0</v>
      </c>
      <c r="K163" s="1167">
        <f t="shared" si="11"/>
        <v>0.79</v>
      </c>
      <c r="L163" s="39">
        <f t="shared" si="14"/>
        <v>2047</v>
      </c>
    </row>
    <row r="164" spans="1:12" x14ac:dyDescent="0.25">
      <c r="A164" s="850">
        <f t="shared" si="15"/>
        <v>93</v>
      </c>
      <c r="B164" s="851">
        <f t="shared" si="16"/>
        <v>88</v>
      </c>
      <c r="C164" s="869">
        <f>IF(OR(A164&lt;$G$45, A164&gt;'1. AgeData'!$I$30),0,(IF($G$94="Bad Yr",0,$G$94)*12)*POWER((1+$H$70),(A164-A$131)))</f>
        <v>0</v>
      </c>
      <c r="D164" s="868">
        <f>IF(OR(B164&lt;$G$47, B164&gt;'1. AgeData'!$I$31),0,(IF($G$95="Bad Yr",0,$G$95)*12)*POWER((1+$H$70),(B164-B$131)))</f>
        <v>0</v>
      </c>
      <c r="E164" s="1162">
        <f>IF((A164&lt;'1. AgeData'!$I$30),C164*K164,0)</f>
        <v>0</v>
      </c>
      <c r="F164" s="1163">
        <f>IF((B164&lt;'1. AgeData'!$I$31),D164*K164,0)</f>
        <v>0</v>
      </c>
      <c r="G164" s="837">
        <f t="shared" si="7"/>
        <v>0</v>
      </c>
      <c r="H164" s="837">
        <f t="shared" si="8"/>
        <v>0</v>
      </c>
      <c r="I164" s="869">
        <f t="shared" si="9"/>
        <v>0</v>
      </c>
      <c r="J164" s="837">
        <f t="shared" si="10"/>
        <v>0</v>
      </c>
      <c r="K164" s="1167">
        <f t="shared" si="11"/>
        <v>0.79</v>
      </c>
      <c r="L164" s="39">
        <f t="shared" si="14"/>
        <v>2048</v>
      </c>
    </row>
    <row r="165" spans="1:12" x14ac:dyDescent="0.25">
      <c r="A165" s="850">
        <f t="shared" ref="A165:B167" si="17">A164+1</f>
        <v>94</v>
      </c>
      <c r="B165" s="851">
        <f t="shared" si="17"/>
        <v>89</v>
      </c>
      <c r="C165" s="869">
        <f>IF(OR(A165&lt;$G$45, A165&gt;'1. AgeData'!$I$30),0,(IF($G$94="Bad Yr",0,$G$94)*12)*POWER((1+$H$70),(A165-A$131)))</f>
        <v>0</v>
      </c>
      <c r="D165" s="868">
        <f>IF(OR(B165&lt;$G$47, B165&gt;'1. AgeData'!$I$31),0,(IF($G$95="Bad Yr",0,$G$95)*12)*POWER((1+$H$70),(B165-B$131)))</f>
        <v>0</v>
      </c>
      <c r="E165" s="1162">
        <f>IF((A165&lt;'1. AgeData'!$I$30),C165*K165,0)</f>
        <v>0</v>
      </c>
      <c r="F165" s="1163">
        <f>IF((B165&lt;'1. AgeData'!$I$31),D165*K165,0)</f>
        <v>0</v>
      </c>
      <c r="G165" s="837">
        <f t="shared" si="7"/>
        <v>0</v>
      </c>
      <c r="H165" s="837">
        <f t="shared" si="8"/>
        <v>0</v>
      </c>
      <c r="I165" s="869">
        <f t="shared" si="9"/>
        <v>0</v>
      </c>
      <c r="J165" s="837">
        <f t="shared" si="10"/>
        <v>0</v>
      </c>
      <c r="K165" s="1167">
        <f t="shared" si="11"/>
        <v>0.79</v>
      </c>
      <c r="L165" s="39">
        <f t="shared" si="14"/>
        <v>2049</v>
      </c>
    </row>
    <row r="166" spans="1:12" x14ac:dyDescent="0.25">
      <c r="A166" s="850">
        <f t="shared" si="17"/>
        <v>95</v>
      </c>
      <c r="B166" s="851">
        <f t="shared" si="17"/>
        <v>90</v>
      </c>
      <c r="C166" s="869">
        <f>IF(OR(A166&lt;$G$45, A166&gt;'1. AgeData'!$I$30),0,(IF($G$94="Bad Yr",0,$G$94)*12)*POWER((1+$H$70),(A166-A$131)))</f>
        <v>0</v>
      </c>
      <c r="D166" s="868">
        <f>IF(OR(B166&lt;$G$47, B166&gt;'1. AgeData'!$I$31),0,(IF($G$95="Bad Yr",0,$G$95)*12)*POWER((1+$H$70),(B166-B$131)))</f>
        <v>0</v>
      </c>
      <c r="E166" s="1162">
        <f>IF((A166&lt;'1. AgeData'!$I$30),C166*K166,0)</f>
        <v>0</v>
      </c>
      <c r="F166" s="1163">
        <f>IF((B166&lt;'1. AgeData'!$I$31),D166*K166,0)</f>
        <v>0</v>
      </c>
      <c r="G166" s="837">
        <f t="shared" si="7"/>
        <v>0</v>
      </c>
      <c r="H166" s="837">
        <f t="shared" si="8"/>
        <v>0</v>
      </c>
      <c r="I166" s="869">
        <f t="shared" si="9"/>
        <v>0</v>
      </c>
      <c r="J166" s="837">
        <f t="shared" si="10"/>
        <v>0</v>
      </c>
      <c r="K166" s="1167">
        <f t="shared" si="11"/>
        <v>0.79</v>
      </c>
      <c r="L166" s="39">
        <f t="shared" si="14"/>
        <v>2050</v>
      </c>
    </row>
    <row r="167" spans="1:12" ht="15.75" thickBot="1" x14ac:dyDescent="0.3">
      <c r="A167" s="852">
        <f t="shared" si="17"/>
        <v>96</v>
      </c>
      <c r="B167" s="853">
        <f t="shared" si="17"/>
        <v>91</v>
      </c>
      <c r="C167" s="1975">
        <f>IF(OR(A167&lt;$G$45, A167&gt;'1. AgeData'!$I$30),0,(IF($G$94="Bad Yr",0,$G$94)*12)*POWER((1+$H$70),(A167-A$131)))</f>
        <v>0</v>
      </c>
      <c r="D167" s="1896">
        <f>IF(OR(B167&lt;$G$47, B167&gt;'1. AgeData'!$I$31),0,(IF($G$95="Bad Yr",0,$G$95)*12)*POWER((1+$H$70),(B167-B$131)))</f>
        <v>0</v>
      </c>
      <c r="E167" s="1164">
        <f>IF((A167&lt;'1. AgeData'!$I$30),C167*K167,0)</f>
        <v>0</v>
      </c>
      <c r="F167" s="1165">
        <f>IF((B167&lt;'1. AgeData'!$I$31),D167*K167,0)</f>
        <v>0</v>
      </c>
      <c r="G167" s="878">
        <f t="shared" si="7"/>
        <v>0</v>
      </c>
      <c r="H167" s="877">
        <f t="shared" si="8"/>
        <v>0</v>
      </c>
      <c r="I167" s="878">
        <f t="shared" si="9"/>
        <v>0</v>
      </c>
      <c r="J167" s="843">
        <f t="shared" si="10"/>
        <v>0</v>
      </c>
      <c r="K167" s="1168">
        <f t="shared" si="11"/>
        <v>0.79</v>
      </c>
      <c r="L167" s="43">
        <f t="shared" si="14"/>
        <v>2051</v>
      </c>
    </row>
    <row r="168" spans="1:12" ht="15.75" thickTop="1" x14ac:dyDescent="0.25"/>
    <row r="169" spans="1:12" s="1382" customFormat="1" ht="15.75" x14ac:dyDescent="0.25">
      <c r="B169" s="978" t="s">
        <v>1440</v>
      </c>
      <c r="G169" s="978" t="s">
        <v>1441</v>
      </c>
    </row>
    <row r="170" spans="1:12" s="1382" customFormat="1" ht="16.5" thickBot="1" x14ac:dyDescent="0.3">
      <c r="B170" s="1379"/>
      <c r="G170" s="1379"/>
    </row>
    <row r="171" spans="1:12" ht="19.5" thickTop="1" x14ac:dyDescent="0.3">
      <c r="A171" s="960" t="s">
        <v>486</v>
      </c>
      <c r="B171" s="946"/>
      <c r="C171" s="946"/>
      <c r="D171" s="947"/>
      <c r="E171" s="947"/>
      <c r="F171" s="946"/>
      <c r="G171" s="946"/>
      <c r="H171" s="949"/>
    </row>
    <row r="172" spans="1:12" ht="15.75" x14ac:dyDescent="0.25">
      <c r="A172" s="964" t="s">
        <v>736</v>
      </c>
      <c r="B172" s="944"/>
      <c r="C172" s="944"/>
      <c r="D172" s="945"/>
      <c r="E172" s="945"/>
      <c r="F172" s="944"/>
      <c r="G172" s="944"/>
      <c r="H172" s="950"/>
    </row>
    <row r="173" spans="1:12" x14ac:dyDescent="0.25">
      <c r="A173" s="1054"/>
      <c r="B173" s="943" t="s">
        <v>326</v>
      </c>
      <c r="C173" s="945"/>
      <c r="D173" s="945"/>
      <c r="E173" s="945"/>
      <c r="F173" s="944"/>
      <c r="G173" s="944"/>
      <c r="H173" s="950"/>
    </row>
    <row r="174" spans="1:12" x14ac:dyDescent="0.25">
      <c r="A174" s="1054"/>
      <c r="B174" s="1356" t="s">
        <v>870</v>
      </c>
      <c r="C174" s="1357"/>
      <c r="D174" s="1357"/>
      <c r="E174" s="945"/>
      <c r="F174" s="944"/>
      <c r="G174" s="944"/>
      <c r="H174" s="950"/>
    </row>
    <row r="175" spans="1:12" x14ac:dyDescent="0.25">
      <c r="A175" s="1054"/>
      <c r="B175" s="942" t="s">
        <v>1103</v>
      </c>
      <c r="C175" s="945"/>
      <c r="D175" s="945"/>
      <c r="E175" s="945"/>
      <c r="F175" s="944"/>
      <c r="G175" s="944"/>
      <c r="H175" s="950"/>
    </row>
    <row r="176" spans="1:12" x14ac:dyDescent="0.25">
      <c r="A176" s="1054" t="s">
        <v>154</v>
      </c>
      <c r="B176" s="942" t="s">
        <v>1104</v>
      </c>
      <c r="C176" s="945"/>
      <c r="D176" s="945"/>
      <c r="E176" s="945"/>
      <c r="F176" s="944"/>
      <c r="G176" s="944"/>
      <c r="H176" s="950"/>
    </row>
    <row r="177" spans="1:8" x14ac:dyDescent="0.25">
      <c r="A177" s="1054"/>
      <c r="B177" s="942" t="s">
        <v>1105</v>
      </c>
      <c r="C177" s="945"/>
      <c r="D177" s="945"/>
      <c r="E177" s="945"/>
      <c r="F177" s="944"/>
      <c r="G177" s="944"/>
      <c r="H177" s="950"/>
    </row>
    <row r="178" spans="1:8" x14ac:dyDescent="0.25">
      <c r="A178" s="1890"/>
      <c r="B178" s="942" t="s">
        <v>1106</v>
      </c>
      <c r="C178" s="1019"/>
      <c r="D178" s="945"/>
      <c r="E178" s="945"/>
      <c r="F178" s="944"/>
      <c r="G178" s="944"/>
      <c r="H178" s="950"/>
    </row>
    <row r="179" spans="1:8" x14ac:dyDescent="0.25">
      <c r="A179" s="1890"/>
      <c r="B179" s="942" t="s">
        <v>1449</v>
      </c>
      <c r="C179" s="1019"/>
      <c r="D179" s="945"/>
      <c r="E179" s="945"/>
      <c r="F179" s="944"/>
      <c r="G179" s="944"/>
      <c r="H179" s="950"/>
    </row>
    <row r="180" spans="1:8" x14ac:dyDescent="0.25">
      <c r="A180" s="1890"/>
      <c r="B180" s="942" t="s">
        <v>1462</v>
      </c>
      <c r="C180" s="1019"/>
      <c r="D180" s="945"/>
      <c r="E180" s="945"/>
      <c r="F180" s="944"/>
      <c r="G180" s="944"/>
      <c r="H180" s="950"/>
    </row>
    <row r="181" spans="1:8" x14ac:dyDescent="0.25">
      <c r="A181" s="1890"/>
      <c r="B181" s="942" t="s">
        <v>1450</v>
      </c>
      <c r="C181" s="1019"/>
      <c r="D181" s="945"/>
      <c r="E181" s="945"/>
      <c r="F181" s="944"/>
      <c r="G181" s="944"/>
      <c r="H181" s="950"/>
    </row>
    <row r="182" spans="1:8" x14ac:dyDescent="0.25">
      <c r="A182" s="1890"/>
      <c r="B182" s="942" t="s">
        <v>1107</v>
      </c>
      <c r="C182" s="1019"/>
      <c r="D182" s="945"/>
      <c r="E182" s="945"/>
      <c r="F182" s="944"/>
      <c r="G182" s="944"/>
      <c r="H182" s="950"/>
    </row>
    <row r="183" spans="1:8" x14ac:dyDescent="0.25">
      <c r="A183" s="1890"/>
      <c r="B183" s="943" t="s">
        <v>1108</v>
      </c>
      <c r="C183" s="1019"/>
      <c r="D183" s="945"/>
      <c r="E183" s="945"/>
      <c r="F183" s="944"/>
      <c r="G183" s="944"/>
      <c r="H183" s="950"/>
    </row>
    <row r="184" spans="1:8" x14ac:dyDescent="0.25">
      <c r="A184" s="1890"/>
      <c r="B184" s="943" t="s">
        <v>1100</v>
      </c>
      <c r="C184" s="1019"/>
      <c r="D184" s="945"/>
      <c r="E184" s="945"/>
      <c r="F184" s="944"/>
      <c r="G184" s="944"/>
      <c r="H184" s="950"/>
    </row>
    <row r="185" spans="1:8" x14ac:dyDescent="0.25">
      <c r="A185" s="1054"/>
      <c r="B185" s="943" t="s">
        <v>1099</v>
      </c>
      <c r="C185" s="945"/>
      <c r="D185" s="945"/>
      <c r="E185" s="945"/>
      <c r="F185" s="944"/>
      <c r="G185" s="944"/>
      <c r="H185" s="950"/>
    </row>
    <row r="186" spans="1:8" x14ac:dyDescent="0.25">
      <c r="A186" s="1054"/>
      <c r="B186" s="943" t="s">
        <v>1098</v>
      </c>
      <c r="C186" s="945"/>
      <c r="D186" s="945"/>
      <c r="E186" s="945"/>
      <c r="F186" s="944"/>
      <c r="G186" s="944"/>
      <c r="H186" s="950"/>
    </row>
    <row r="187" spans="1:8" x14ac:dyDescent="0.25">
      <c r="A187" s="1054"/>
      <c r="B187" s="942" t="s">
        <v>1097</v>
      </c>
      <c r="C187" s="945"/>
      <c r="D187" s="945"/>
      <c r="E187" s="945"/>
      <c r="F187" s="944"/>
      <c r="G187" s="944"/>
      <c r="H187" s="950"/>
    </row>
    <row r="188" spans="1:8" x14ac:dyDescent="0.25">
      <c r="A188" s="1054"/>
      <c r="B188" s="943" t="s">
        <v>1101</v>
      </c>
      <c r="C188" s="945"/>
      <c r="D188" s="945"/>
      <c r="E188" s="945"/>
      <c r="F188" s="944"/>
      <c r="G188" s="944"/>
      <c r="H188" s="950"/>
    </row>
    <row r="189" spans="1:8" x14ac:dyDescent="0.25">
      <c r="A189" s="1054"/>
      <c r="B189" s="943" t="s">
        <v>1102</v>
      </c>
      <c r="C189" s="945"/>
      <c r="D189" s="1019" t="s">
        <v>1762</v>
      </c>
      <c r="E189" s="945"/>
      <c r="F189" s="944"/>
      <c r="G189" s="944"/>
      <c r="H189" s="950"/>
    </row>
    <row r="190" spans="1:8" x14ac:dyDescent="0.25">
      <c r="A190" s="1083"/>
      <c r="B190" s="1081" t="s">
        <v>719</v>
      </c>
      <c r="C190" s="945"/>
      <c r="D190" s="1019" t="s">
        <v>1764</v>
      </c>
      <c r="E190" s="945"/>
      <c r="F190" s="944"/>
      <c r="G190" s="944"/>
      <c r="H190" s="950"/>
    </row>
    <row r="191" spans="1:8" x14ac:dyDescent="0.25">
      <c r="A191" s="1083"/>
      <c r="B191" s="1081" t="s">
        <v>720</v>
      </c>
      <c r="C191" s="945"/>
      <c r="D191" s="1019" t="s">
        <v>1289</v>
      </c>
      <c r="E191" s="945"/>
      <c r="F191" s="945"/>
      <c r="G191" s="945"/>
      <c r="H191" s="950"/>
    </row>
    <row r="192" spans="1:8" x14ac:dyDescent="0.25">
      <c r="A192" s="1083"/>
      <c r="B192" s="1081" t="s">
        <v>721</v>
      </c>
      <c r="C192" s="945"/>
      <c r="D192" s="945" t="s">
        <v>722</v>
      </c>
      <c r="E192" s="945"/>
      <c r="F192" s="945"/>
      <c r="G192" s="945"/>
      <c r="H192" s="950"/>
    </row>
    <row r="193" spans="1:8" x14ac:dyDescent="0.25">
      <c r="A193" s="1083"/>
      <c r="B193" s="1081" t="s">
        <v>725</v>
      </c>
      <c r="C193" s="945"/>
      <c r="D193" s="1019" t="s">
        <v>1763</v>
      </c>
      <c r="E193" s="945"/>
      <c r="F193" s="945"/>
      <c r="G193" s="945"/>
      <c r="H193" s="950"/>
    </row>
    <row r="194" spans="1:8" ht="15.75" thickBot="1" x14ac:dyDescent="0.3">
      <c r="A194" s="1088"/>
      <c r="B194" s="1089" t="s">
        <v>577</v>
      </c>
      <c r="C194" s="948"/>
      <c r="D194" s="1087" t="s">
        <v>578</v>
      </c>
      <c r="E194" s="948"/>
      <c r="F194" s="948"/>
      <c r="G194" s="948"/>
      <c r="H194" s="951"/>
    </row>
    <row r="195" spans="1:8" ht="15.75" thickTop="1" x14ac:dyDescent="0.25"/>
  </sheetData>
  <sheetProtection sheet="1" objects="1" scenarios="1"/>
  <phoneticPr fontId="0" type="noConversion"/>
  <dataValidations count="7">
    <dataValidation type="list" allowBlank="1" showInputMessage="1" showErrorMessage="1" sqref="H72:H77">
      <formula1>"0.0%:100%"</formula1>
    </dataValidation>
    <dataValidation type="list" allowBlank="1" showInputMessage="1" showErrorMessage="1" sqref="H80">
      <formula1>"0%:100%"</formula1>
    </dataValidation>
    <dataValidation type="list" allowBlank="1" showInputMessage="1" showErrorMessage="1" sqref="G53">
      <formula1>"yes,no"</formula1>
    </dataValidation>
    <dataValidation type="whole" allowBlank="1" showInputMessage="1" showErrorMessage="1" sqref="F52">
      <formula1>62</formula1>
      <formula2>70</formula2>
    </dataValidation>
    <dataValidation type="list" allowBlank="1" showInputMessage="1" showErrorMessage="1" sqref="D54:D63">
      <formula1>"Results!$b$14:$b$50"</formula1>
    </dataValidation>
    <dataValidation showInputMessage="1" showErrorMessage="1" prompt="Nominally 8.00%, but you can enter other values._x000a_" sqref="H78:H79"/>
    <dataValidation allowBlank="1" showInputMessage="1" showErrorMessage="1" prompt="Must be between 0% and 100%. It will be 100% until the SS trust fund runs of of money and law not changed to fix the problem." sqref="E86"/>
  </dataValidations>
  <hyperlinks>
    <hyperlink ref="A122" r:id="rId1"/>
    <hyperlink ref="A123" r:id="rId2"/>
    <hyperlink ref="A124" r:id="rId3"/>
    <hyperlink ref="H62" r:id="rId4"/>
    <hyperlink ref="J83" r:id="rId5"/>
    <hyperlink ref="A121" r:id="rId6"/>
    <hyperlink ref="I11" location="'S. Setup'!A1" display="S. Setup"/>
    <hyperlink ref="B88" r:id="rId7"/>
    <hyperlink ref="B1" location="'6. AnnuityData'!A1" display="Previous worksheet (4. PensionData)"/>
    <hyperlink ref="G1" location="'6. AnnuityData'!A1" display="Next worksheet 6. AnnuityData)"/>
    <hyperlink ref="B169" location="'6. AnnuityData'!A1" display="Previous worksheet (4. PensionData)"/>
    <hyperlink ref="G169" location="'6. AnnuityData'!A1" display="Next worksheet 6. AnnuityData)"/>
    <hyperlink ref="B176" location="'S. Setup'!A1" display="Setup"/>
    <hyperlink ref="B177" location="'1. AgeData'!A1" display="AgeData"/>
    <hyperlink ref="B178" location="'2. TaxData'!A1" display="TaxData"/>
    <hyperlink ref="B180" location="'4. PensionData'!A1" display="4. PensionData"/>
    <hyperlink ref="B181" location="'5. SocSecData'!A1" display="5. SocSecData"/>
    <hyperlink ref="B179" location="'3. WorkData'!A1" display="3. WorkData"/>
    <hyperlink ref="B182" location="'6. AnnuityData'!A1" display="AnnuityData"/>
    <hyperlink ref="B183" location="'7. IRAdata'!A1" display="IRAdata"/>
    <hyperlink ref="B184" location="'8. RothData'!A1" display="RothData"/>
    <hyperlink ref="B185" location="'9. SavingsData'!A1" display="SavingsData"/>
    <hyperlink ref="B175" location="'R. Results'!A1" display="Results"/>
    <hyperlink ref="B187" location="'11. CashData'!A1" display="CashData"/>
    <hyperlink ref="B186" location="'10. ExpensesData'!A1" display="ExpensesData"/>
    <hyperlink ref="B188" location="'12. RMDtable'!A1" display="RMDtable"/>
    <hyperlink ref="B173" location="Introduction!A1" display="Introduction"/>
    <hyperlink ref="B193" location="'Appendix D'!A1" display="Appendix D"/>
    <hyperlink ref="B190" location="'Appendix A'!A1" display="Appendix A"/>
    <hyperlink ref="B191" location="'Appendix B'!A1" display="Appendix B"/>
    <hyperlink ref="B192" location="'Appendix C'!A1" display="Appendix C"/>
    <hyperlink ref="B194" location="FAQ!A1" display="FAQ"/>
    <hyperlink ref="B174" location="Assumptions!A1" display="Assumptions"/>
    <hyperlink ref="B189" location="'RS. Resources'!A1" display="Resources"/>
    <hyperlink ref="G75" r:id="rId8"/>
  </hyperlinks>
  <printOptions headings="1" gridLines="1"/>
  <pageMargins left="0.7" right="0.7" top="0.75" bottom="0.75" header="0.3" footer="0.3"/>
  <pageSetup orientation="landscape" horizontalDpi="1200" verticalDpi="1200" r:id="rId9"/>
  <headerFooter>
    <oddHeader>&amp;L&amp;F&amp;C   &amp;D &amp;T&amp;R&amp;A &amp;P</oddHeader>
  </headerFooter>
  <drawing r:id="rId10"/>
  <legacyDrawing r:id="rId11"/>
  <oleObjects>
    <mc:AlternateContent xmlns:mc="http://schemas.openxmlformats.org/markup-compatibility/2006">
      <mc:Choice Requires="x14">
        <oleObject shapeId="28677" r:id="rId12">
          <objectPr defaultSize="0" autoPict="0" r:id="rId13">
            <anchor moveWithCells="1">
              <from>
                <xdr:col>6</xdr:col>
                <xdr:colOff>76200</xdr:colOff>
                <xdr:row>49</xdr:row>
                <xdr:rowOff>47625</xdr:rowOff>
              </from>
              <to>
                <xdr:col>7</xdr:col>
                <xdr:colOff>76200</xdr:colOff>
                <xdr:row>51</xdr:row>
                <xdr:rowOff>38100</xdr:rowOff>
              </to>
            </anchor>
          </objectPr>
        </oleObject>
      </mc:Choice>
      <mc:Fallback>
        <oleObject shapeId="28677" r:id="rId12"/>
      </mc:Fallback>
    </mc:AlternateContent>
  </oleObjec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M167"/>
  <sheetViews>
    <sheetView zoomScaleNormal="100" workbookViewId="0">
      <selection activeCell="B94" sqref="B94"/>
    </sheetView>
  </sheetViews>
  <sheetFormatPr defaultRowHeight="15" x14ac:dyDescent="0.25"/>
  <cols>
    <col min="1" max="1" width="7.42578125" customWidth="1"/>
    <col min="2" max="2" width="7.28515625" customWidth="1"/>
    <col min="5" max="6" width="10.28515625" customWidth="1"/>
    <col min="7" max="7" width="9.7109375" customWidth="1"/>
    <col min="8" max="8" width="9.85546875" customWidth="1"/>
    <col min="11" max="11" width="7.5703125" customWidth="1"/>
  </cols>
  <sheetData>
    <row r="1" spans="1:11" s="1382" customFormat="1" ht="15.75" x14ac:dyDescent="0.25">
      <c r="B1" s="1471" t="s">
        <v>1442</v>
      </c>
      <c r="G1" s="1383" t="s">
        <v>1122</v>
      </c>
    </row>
    <row r="2" spans="1:11" s="1382" customFormat="1" ht="15.75" x14ac:dyDescent="0.25">
      <c r="A2" s="1412"/>
      <c r="B2" s="1413"/>
      <c r="C2" s="1412"/>
      <c r="D2" s="1412"/>
      <c r="E2" s="1412"/>
      <c r="F2" s="1412"/>
      <c r="G2" s="1413"/>
      <c r="H2" s="1412"/>
      <c r="I2" s="1412"/>
      <c r="J2" s="1412"/>
      <c r="K2" s="1412"/>
    </row>
    <row r="4" spans="1:11" ht="18.75" x14ac:dyDescent="0.3">
      <c r="A4" s="230" t="s">
        <v>267</v>
      </c>
      <c r="B4" s="6"/>
      <c r="C4" s="6"/>
      <c r="D4" s="6"/>
      <c r="E4" s="6"/>
      <c r="F4" s="6"/>
      <c r="G4" s="6"/>
      <c r="H4" s="6"/>
      <c r="I4" s="6"/>
      <c r="J4" s="6"/>
      <c r="K4" s="6"/>
    </row>
    <row r="5" spans="1:11" ht="18.75" x14ac:dyDescent="0.3">
      <c r="A5" s="230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1" ht="15.75" customHeight="1" x14ac:dyDescent="0.25">
      <c r="A6" s="1582" t="s">
        <v>2989</v>
      </c>
      <c r="B6" s="6"/>
      <c r="C6" s="6"/>
      <c r="D6" s="6"/>
      <c r="E6" s="6"/>
      <c r="F6" s="6"/>
      <c r="G6" s="6"/>
      <c r="H6" s="6"/>
      <c r="I6" s="6"/>
      <c r="J6" s="6"/>
      <c r="K6" s="6"/>
    </row>
    <row r="7" spans="1:11" ht="15.75" customHeight="1" x14ac:dyDescent="0.25">
      <c r="A7" s="6" t="s">
        <v>3730</v>
      </c>
      <c r="B7" s="6"/>
      <c r="C7" s="6"/>
      <c r="D7" s="6"/>
      <c r="E7" s="6"/>
      <c r="F7" s="6"/>
      <c r="G7" s="6"/>
      <c r="H7" s="6"/>
      <c r="I7" s="6"/>
      <c r="J7" s="6"/>
      <c r="K7" s="6"/>
    </row>
    <row r="8" spans="1:11" ht="15.75" customHeight="1" x14ac:dyDescent="0.25">
      <c r="A8" s="3298" t="s">
        <v>3731</v>
      </c>
      <c r="B8" s="6"/>
      <c r="C8" s="6"/>
      <c r="D8" s="6"/>
      <c r="E8" s="6"/>
      <c r="F8" s="6"/>
      <c r="G8" s="6"/>
      <c r="H8" s="6"/>
      <c r="I8" s="6"/>
      <c r="J8" s="6"/>
      <c r="K8" s="6"/>
    </row>
    <row r="9" spans="1:11" ht="15.75" customHeight="1" thickBot="1" x14ac:dyDescent="0.3">
      <c r="A9" s="1582"/>
      <c r="B9" s="6"/>
      <c r="C9" s="6"/>
      <c r="D9" s="6"/>
      <c r="E9" s="6"/>
      <c r="F9" s="6"/>
      <c r="G9" s="6"/>
      <c r="H9" s="6"/>
      <c r="I9" s="6"/>
      <c r="J9" s="6"/>
      <c r="K9" s="6"/>
    </row>
    <row r="10" spans="1:11" ht="18.75" x14ac:dyDescent="0.3">
      <c r="A10" s="230"/>
      <c r="B10" s="627" t="str">
        <f>IF('S. Setup'!$K$38="used","You MUST edit this worksheet","You DO NOT HAVE TO edit this worksheet")</f>
        <v>You MUST edit this worksheet</v>
      </c>
      <c r="C10" s="628"/>
      <c r="D10" s="628"/>
      <c r="E10" s="628"/>
      <c r="F10" s="628"/>
      <c r="G10" s="629"/>
      <c r="H10" s="628"/>
      <c r="I10" s="628"/>
      <c r="J10" s="630"/>
      <c r="K10" s="6"/>
    </row>
    <row r="11" spans="1:11" ht="19.5" thickBot="1" x14ac:dyDescent="0.35">
      <c r="A11" s="230"/>
      <c r="B11" s="631" t="s">
        <v>314</v>
      </c>
      <c r="C11" s="632"/>
      <c r="D11" s="632"/>
      <c r="E11" s="632"/>
      <c r="F11" s="632"/>
      <c r="G11" s="632"/>
      <c r="H11" s="632"/>
      <c r="I11" s="634" t="str">
        <f>'S. Setup'!$K$38</f>
        <v>used</v>
      </c>
      <c r="J11" s="635"/>
      <c r="K11" s="6"/>
    </row>
    <row r="12" spans="1:11" s="215" customFormat="1" ht="18.75" x14ac:dyDescent="0.3">
      <c r="A12" s="886"/>
      <c r="B12" s="1097" t="s">
        <v>60</v>
      </c>
      <c r="C12" s="1097"/>
      <c r="D12" s="1097"/>
      <c r="E12" s="1097"/>
      <c r="F12" s="1097"/>
      <c r="G12" s="1097"/>
      <c r="H12" s="1097"/>
      <c r="I12" s="1388" t="s">
        <v>1104</v>
      </c>
      <c r="J12" s="33"/>
      <c r="K12" s="33"/>
    </row>
    <row r="13" spans="1:11" ht="19.5" thickBot="1" x14ac:dyDescent="0.35">
      <c r="A13" s="230"/>
      <c r="B13" s="712"/>
      <c r="C13" s="33"/>
      <c r="D13" s="33"/>
      <c r="E13" s="33"/>
      <c r="F13" s="33"/>
      <c r="G13" s="33"/>
      <c r="H13" s="33"/>
      <c r="I13" s="714"/>
      <c r="J13" s="33"/>
      <c r="K13" s="6"/>
    </row>
    <row r="14" spans="1:11" ht="18.75" x14ac:dyDescent="0.3">
      <c r="A14" s="699" t="s">
        <v>253</v>
      </c>
      <c r="B14" s="736"/>
      <c r="C14" s="737"/>
      <c r="D14" s="737"/>
      <c r="E14" s="737"/>
      <c r="F14" s="738"/>
      <c r="G14" s="33"/>
      <c r="H14" s="33"/>
      <c r="I14" s="714"/>
      <c r="J14" s="33"/>
      <c r="K14" s="6"/>
    </row>
    <row r="15" spans="1:11" ht="18.75" x14ac:dyDescent="0.3">
      <c r="A15" s="739" t="s">
        <v>267</v>
      </c>
      <c r="B15" s="712"/>
      <c r="C15" s="33"/>
      <c r="D15" s="33"/>
      <c r="E15" s="33"/>
      <c r="F15" s="740"/>
      <c r="G15" s="33"/>
      <c r="H15" s="33"/>
      <c r="I15" s="714"/>
      <c r="J15" s="33"/>
      <c r="K15" s="6"/>
    </row>
    <row r="16" spans="1:11" ht="18.75" x14ac:dyDescent="0.3">
      <c r="A16" s="739" t="s">
        <v>108</v>
      </c>
      <c r="B16" s="712"/>
      <c r="C16" s="33"/>
      <c r="D16" s="33"/>
      <c r="E16" s="33"/>
      <c r="F16" s="740"/>
      <c r="G16" s="33"/>
      <c r="H16" s="33"/>
      <c r="I16" s="714"/>
      <c r="J16" s="33"/>
      <c r="K16" s="6"/>
    </row>
    <row r="17" spans="1:13" ht="18.75" x14ac:dyDescent="0.3">
      <c r="A17" s="739" t="s">
        <v>109</v>
      </c>
      <c r="B17" s="712"/>
      <c r="C17" s="33"/>
      <c r="D17" s="33"/>
      <c r="E17" s="33"/>
      <c r="F17" s="740"/>
      <c r="G17" s="33"/>
      <c r="H17" s="33"/>
      <c r="I17" s="714"/>
      <c r="J17" s="33"/>
      <c r="K17" s="6"/>
    </row>
    <row r="18" spans="1:13" ht="19.5" thickBot="1" x14ac:dyDescent="0.35">
      <c r="A18" s="741" t="s">
        <v>129</v>
      </c>
      <c r="B18" s="742"/>
      <c r="C18" s="743"/>
      <c r="D18" s="743"/>
      <c r="E18" s="743"/>
      <c r="F18" s="744"/>
      <c r="G18" s="33"/>
      <c r="H18" s="33"/>
      <c r="I18" s="714"/>
      <c r="J18" s="33"/>
      <c r="K18" s="6"/>
    </row>
    <row r="19" spans="1:13" ht="18.75" x14ac:dyDescent="0.3">
      <c r="A19" s="230"/>
      <c r="B19" s="712"/>
      <c r="C19" s="33"/>
      <c r="D19" s="33"/>
      <c r="E19" s="33"/>
      <c r="F19" s="33"/>
      <c r="G19" s="33"/>
      <c r="H19" s="33"/>
      <c r="I19" s="714"/>
      <c r="J19" s="33"/>
      <c r="K19" s="6"/>
    </row>
    <row r="20" spans="1:13" x14ac:dyDescent="0.25">
      <c r="A20" s="6" t="s">
        <v>2796</v>
      </c>
      <c r="B20" s="6"/>
      <c r="C20" s="6"/>
      <c r="D20" s="6"/>
      <c r="E20" s="6"/>
      <c r="F20" s="6"/>
      <c r="G20" s="6"/>
      <c r="H20" s="6"/>
      <c r="I20" s="6"/>
      <c r="J20" s="6"/>
      <c r="K20" s="6"/>
      <c r="M20" s="6"/>
    </row>
    <row r="21" spans="1:13" x14ac:dyDescent="0.25">
      <c r="A21" s="33" t="s">
        <v>2797</v>
      </c>
      <c r="B21" s="6"/>
      <c r="C21" s="6"/>
      <c r="D21" s="6"/>
      <c r="E21" s="6"/>
      <c r="F21" s="6"/>
      <c r="G21" s="6"/>
      <c r="H21" s="6"/>
      <c r="I21" s="6"/>
      <c r="J21" s="6"/>
      <c r="K21" s="6"/>
      <c r="M21" s="6"/>
    </row>
    <row r="22" spans="1:13" x14ac:dyDescent="0.25">
      <c r="A22" s="1366" t="s">
        <v>2793</v>
      </c>
      <c r="B22" s="3"/>
      <c r="C22" s="3"/>
      <c r="D22" s="25"/>
      <c r="E22" s="24"/>
      <c r="F22" s="22"/>
      <c r="G22" s="23"/>
      <c r="H22" s="23"/>
      <c r="I22" s="23"/>
      <c r="J22" s="6"/>
      <c r="K22" s="6"/>
    </row>
    <row r="23" spans="1:13" x14ac:dyDescent="0.25">
      <c r="A23" s="64"/>
    </row>
    <row r="24" spans="1:13" ht="15.75" x14ac:dyDescent="0.25">
      <c r="A24" s="1296" t="s">
        <v>3312</v>
      </c>
      <c r="B24" s="6"/>
    </row>
    <row r="25" spans="1:13" x14ac:dyDescent="0.25">
      <c r="A25" s="1296" t="s">
        <v>2315</v>
      </c>
      <c r="B25" s="6"/>
    </row>
    <row r="26" spans="1:13" x14ac:dyDescent="0.25">
      <c r="A26" s="1296" t="s">
        <v>2316</v>
      </c>
      <c r="B26" s="6"/>
    </row>
    <row r="27" spans="1:13" x14ac:dyDescent="0.25">
      <c r="A27" s="1296" t="s">
        <v>3732</v>
      </c>
    </row>
    <row r="28" spans="1:13" x14ac:dyDescent="0.25">
      <c r="A28" s="1296" t="s">
        <v>988</v>
      </c>
      <c r="E28" s="180" t="s">
        <v>987</v>
      </c>
    </row>
    <row r="29" spans="1:13" x14ac:dyDescent="0.25">
      <c r="A29" s="1296"/>
      <c r="E29" s="180"/>
    </row>
    <row r="30" spans="1:13" ht="15.75" thickBot="1" x14ac:dyDescent="0.3">
      <c r="A30" s="64"/>
    </row>
    <row r="31" spans="1:13" ht="19.5" thickTop="1" x14ac:dyDescent="0.3">
      <c r="A31" s="231" t="s">
        <v>106</v>
      </c>
      <c r="B31" s="69"/>
      <c r="C31" s="69"/>
      <c r="D31" s="37"/>
      <c r="E31" s="112"/>
      <c r="F31" s="98"/>
      <c r="G31" s="99"/>
      <c r="H31" s="99"/>
      <c r="I31" s="99"/>
      <c r="J31" s="14"/>
      <c r="K31" s="16"/>
    </row>
    <row r="32" spans="1:13" x14ac:dyDescent="0.25">
      <c r="A32" s="84" t="s">
        <v>443</v>
      </c>
      <c r="B32" s="3"/>
      <c r="C32" s="3"/>
      <c r="D32" s="25"/>
      <c r="F32" s="1761">
        <v>3000</v>
      </c>
      <c r="G32" s="97" t="s">
        <v>783</v>
      </c>
      <c r="H32" s="23"/>
      <c r="I32" s="132" t="s">
        <v>247</v>
      </c>
      <c r="K32" s="39"/>
    </row>
    <row r="33" spans="1:11" x14ac:dyDescent="0.25">
      <c r="A33" s="84" t="s">
        <v>444</v>
      </c>
      <c r="B33" s="3"/>
      <c r="C33" s="3"/>
      <c r="D33" s="25"/>
      <c r="F33" s="1761">
        <v>3500</v>
      </c>
      <c r="G33" s="22"/>
      <c r="H33" s="23"/>
      <c r="I33" s="132" t="s">
        <v>247</v>
      </c>
      <c r="K33" s="39"/>
    </row>
    <row r="34" spans="1:11" x14ac:dyDescent="0.25">
      <c r="A34" s="84"/>
      <c r="B34" s="3"/>
      <c r="C34" s="3"/>
      <c r="D34" s="25"/>
      <c r="F34" s="149"/>
      <c r="G34" s="22"/>
      <c r="H34" s="23"/>
      <c r="I34" s="132"/>
      <c r="K34" s="39"/>
    </row>
    <row r="35" spans="1:11" x14ac:dyDescent="0.25">
      <c r="A35" s="84" t="s">
        <v>204</v>
      </c>
      <c r="B35" s="3"/>
      <c r="C35" s="3"/>
      <c r="D35" s="25"/>
      <c r="F35" s="1656">
        <v>0.02</v>
      </c>
      <c r="G35" s="97" t="s">
        <v>641</v>
      </c>
      <c r="H35" s="23"/>
      <c r="I35" s="23"/>
      <c r="J35" s="23"/>
      <c r="K35" s="39"/>
    </row>
    <row r="36" spans="1:11" x14ac:dyDescent="0.25">
      <c r="A36" s="84" t="s">
        <v>205</v>
      </c>
      <c r="B36" s="3"/>
      <c r="C36" s="3"/>
      <c r="D36" s="25"/>
      <c r="F36" s="1656">
        <v>0</v>
      </c>
      <c r="G36" s="97" t="s">
        <v>641</v>
      </c>
      <c r="H36" s="23"/>
      <c r="I36" s="23"/>
      <c r="J36" s="23"/>
      <c r="K36" s="39"/>
    </row>
    <row r="37" spans="1:11" x14ac:dyDescent="0.25">
      <c r="A37" s="84"/>
      <c r="B37" s="3"/>
      <c r="C37" s="3"/>
      <c r="D37" s="25"/>
      <c r="F37" s="25"/>
      <c r="G37" s="97"/>
      <c r="H37" s="23"/>
      <c r="I37" s="23"/>
      <c r="J37" s="23"/>
      <c r="K37" s="39"/>
    </row>
    <row r="38" spans="1:11" x14ac:dyDescent="0.25">
      <c r="A38" s="40"/>
      <c r="B38" s="165" t="s">
        <v>264</v>
      </c>
      <c r="D38" s="25"/>
      <c r="F38" s="25"/>
      <c r="G38" s="22"/>
      <c r="H38" s="23"/>
      <c r="I38" s="23"/>
      <c r="J38" s="23"/>
      <c r="K38" s="39"/>
    </row>
    <row r="39" spans="1:11" x14ac:dyDescent="0.25">
      <c r="A39" s="40"/>
      <c r="B39" s="165" t="s">
        <v>1203</v>
      </c>
      <c r="C39" s="165"/>
      <c r="D39" s="25"/>
      <c r="F39" s="25"/>
      <c r="G39" s="22"/>
      <c r="H39" s="23"/>
      <c r="I39" s="23"/>
      <c r="J39" s="23"/>
      <c r="K39" s="39"/>
    </row>
    <row r="40" spans="1:11" x14ac:dyDescent="0.25">
      <c r="A40" s="84" t="s">
        <v>401</v>
      </c>
      <c r="B40" s="3"/>
      <c r="C40" s="3"/>
      <c r="D40" s="25"/>
      <c r="F40" s="1762">
        <f>IF(F41&gt;='1. AgeData'!$D$30,F41,'1. AgeData'!$D$30)</f>
        <v>66</v>
      </c>
      <c r="G40" s="278" t="str">
        <f>IF('6. AnnuityData'!$F$40&gt;='1. AgeData'!$D$30, ".", CONCATENATE("   ERROR - must specify S1 Annuity 1 start age &gt;= Current age of S1 of ",'1. AgeData'!$D$30))</f>
        <v>.</v>
      </c>
      <c r="I40" s="23"/>
      <c r="J40" s="23"/>
      <c r="K40" s="39"/>
    </row>
    <row r="41" spans="1:11" x14ac:dyDescent="0.25">
      <c r="A41" s="84" t="s">
        <v>3317</v>
      </c>
      <c r="B41" s="3"/>
      <c r="C41" s="3"/>
      <c r="D41" s="25"/>
      <c r="F41" s="1763">
        <v>66</v>
      </c>
      <c r="G41" s="278"/>
      <c r="H41" s="1180" t="s">
        <v>782</v>
      </c>
      <c r="I41" s="23"/>
      <c r="J41" s="23"/>
      <c r="K41" s="39"/>
    </row>
    <row r="42" spans="1:11" x14ac:dyDescent="0.25">
      <c r="A42" s="84" t="s">
        <v>402</v>
      </c>
      <c r="B42" s="3"/>
      <c r="C42" s="3"/>
      <c r="D42" s="25"/>
      <c r="F42" s="1762">
        <f>IF(F43&gt;='1. AgeData'!$D$31,F43,'1. AgeData'!$D$31)</f>
        <v>65</v>
      </c>
      <c r="G42" s="278" t="str">
        <f>IF('6. AnnuityData'!$F$42&gt;='1. AgeData'!$D$31, ".", CONCATENATE("   ERROR - must specify S1 Annuity 1 start age &gt;= Current age of S2 of ",'1. AgeData'!$D$31))</f>
        <v>.</v>
      </c>
      <c r="H42" s="23"/>
      <c r="I42" s="23"/>
      <c r="J42" s="23"/>
      <c r="K42" s="39"/>
    </row>
    <row r="43" spans="1:11" x14ac:dyDescent="0.25">
      <c r="A43" s="84" t="s">
        <v>3318</v>
      </c>
      <c r="B43" s="3"/>
      <c r="C43" s="3"/>
      <c r="D43" s="25"/>
      <c r="F43" s="1763">
        <v>65</v>
      </c>
      <c r="G43" s="278"/>
      <c r="H43" s="1180" t="s">
        <v>782</v>
      </c>
      <c r="I43" s="23"/>
      <c r="J43" s="23"/>
      <c r="K43" s="39"/>
    </row>
    <row r="44" spans="1:11" x14ac:dyDescent="0.25">
      <c r="A44" s="84"/>
      <c r="B44" s="3"/>
      <c r="C44" s="3"/>
      <c r="D44" s="25"/>
      <c r="F44" s="156"/>
      <c r="G44" s="278"/>
      <c r="H44" s="23"/>
      <c r="I44" s="23"/>
      <c r="J44" s="23"/>
      <c r="K44" s="39"/>
    </row>
    <row r="45" spans="1:11" x14ac:dyDescent="0.25">
      <c r="A45" s="84"/>
      <c r="B45" s="3"/>
      <c r="C45" s="165" t="s">
        <v>265</v>
      </c>
      <c r="D45" s="25"/>
      <c r="F45" s="156"/>
      <c r="G45" s="278"/>
      <c r="H45" s="23"/>
      <c r="I45" s="23"/>
      <c r="J45" s="23"/>
      <c r="K45" s="39"/>
    </row>
    <row r="46" spans="1:11" x14ac:dyDescent="0.25">
      <c r="A46" s="84" t="s">
        <v>403</v>
      </c>
      <c r="B46" s="3"/>
      <c r="C46" s="3"/>
      <c r="D46" s="25"/>
      <c r="F46" s="1762">
        <f>IF(F47&lt;&gt;0,F47,'1. AgeData'!$I$30)</f>
        <v>85</v>
      </c>
      <c r="G46" s="278" t="str">
        <f>IF('6. AnnuityData'!$F$46&gt;='6. AnnuityData'!$F$40,".",CONCATENATE("   ERROR - must specify annuity1 end age &gt;= Age start annuity 1 early for S1 which is ",'6. AnnuityData'!$F$40))</f>
        <v>.</v>
      </c>
      <c r="H46" s="23"/>
      <c r="I46" s="23"/>
      <c r="J46" s="23"/>
      <c r="K46" s="39"/>
    </row>
    <row r="47" spans="1:11" x14ac:dyDescent="0.25">
      <c r="A47" s="212" t="s">
        <v>3319</v>
      </c>
      <c r="F47" s="1763">
        <v>0</v>
      </c>
      <c r="G47" s="278"/>
      <c r="H47" s="1180" t="s">
        <v>1238</v>
      </c>
      <c r="I47" s="23"/>
      <c r="J47" s="23"/>
      <c r="K47" s="1311"/>
    </row>
    <row r="48" spans="1:11" x14ac:dyDescent="0.25">
      <c r="A48" s="84" t="s">
        <v>404</v>
      </c>
      <c r="B48" s="3"/>
      <c r="C48" s="3"/>
      <c r="D48" s="25"/>
      <c r="F48" s="1762">
        <f>IF(F49&lt;&gt;0,F49,'1. AgeData'!$I$31)</f>
        <v>87</v>
      </c>
      <c r="G48" s="278" t="str">
        <f>IF('6. AnnuityData'!$F$48&gt;='6. AnnuityData'!$F$42,".",CONCATENATE("   ERROR - must specify annuity1 end age &gt;= Age start annuity 1 early for S5 which is ",'6. AnnuityData'!$F$42))</f>
        <v>.</v>
      </c>
      <c r="H48" s="23"/>
      <c r="I48" s="23"/>
      <c r="J48" s="23"/>
      <c r="K48" s="39"/>
    </row>
    <row r="49" spans="1:11" x14ac:dyDescent="0.25">
      <c r="A49" s="212" t="s">
        <v>3320</v>
      </c>
      <c r="F49" s="1763">
        <v>0</v>
      </c>
      <c r="G49" s="278"/>
      <c r="H49" s="1180" t="s">
        <v>1238</v>
      </c>
      <c r="I49" s="23"/>
      <c r="J49" s="23"/>
      <c r="K49" s="1311"/>
    </row>
    <row r="50" spans="1:11" x14ac:dyDescent="0.25">
      <c r="A50" s="212"/>
      <c r="F50" s="1763"/>
      <c r="G50" s="278"/>
      <c r="H50" s="1180"/>
      <c r="I50" s="23"/>
      <c r="J50" s="23"/>
      <c r="K50" s="1311"/>
    </row>
    <row r="51" spans="1:11" x14ac:dyDescent="0.25">
      <c r="A51" s="3658" t="s">
        <v>1374</v>
      </c>
      <c r="B51" s="3665"/>
      <c r="C51" s="3665"/>
      <c r="D51" s="3666"/>
      <c r="E51" s="3662"/>
      <c r="F51" s="3667"/>
      <c r="G51" s="3668"/>
      <c r="H51" s="3669"/>
      <c r="I51" s="3669"/>
      <c r="J51" s="3669"/>
      <c r="K51" s="3670"/>
    </row>
    <row r="52" spans="1:11" x14ac:dyDescent="0.25">
      <c r="A52" s="793"/>
      <c r="B52" s="3671" t="s">
        <v>208</v>
      </c>
      <c r="C52" s="478"/>
      <c r="D52" s="479"/>
      <c r="E52" s="501"/>
      <c r="F52" s="481"/>
      <c r="G52" s="502"/>
      <c r="H52" s="503"/>
      <c r="I52" s="503"/>
      <c r="J52" s="503"/>
      <c r="K52" s="490"/>
    </row>
    <row r="53" spans="1:11" x14ac:dyDescent="0.25">
      <c r="A53" s="793" t="s">
        <v>317</v>
      </c>
      <c r="B53" s="478"/>
      <c r="C53" s="478"/>
      <c r="D53" s="479"/>
      <c r="E53" s="501"/>
      <c r="F53" s="2258">
        <v>0</v>
      </c>
      <c r="G53" s="504" t="s">
        <v>522</v>
      </c>
      <c r="H53" s="503"/>
      <c r="I53" s="503"/>
      <c r="J53" s="503"/>
      <c r="K53" s="490"/>
    </row>
    <row r="54" spans="1:11" x14ac:dyDescent="0.25">
      <c r="A54" s="793" t="s">
        <v>318</v>
      </c>
      <c r="B54" s="478"/>
      <c r="C54" s="478"/>
      <c r="D54" s="479"/>
      <c r="E54" s="501"/>
      <c r="F54" s="2258">
        <v>0</v>
      </c>
      <c r="G54" s="504" t="s">
        <v>522</v>
      </c>
      <c r="H54" s="503"/>
      <c r="I54" s="503"/>
      <c r="J54" s="503"/>
      <c r="K54" s="490"/>
    </row>
    <row r="55" spans="1:11" x14ac:dyDescent="0.25">
      <c r="A55" s="793"/>
      <c r="B55" s="478"/>
      <c r="C55" s="478"/>
      <c r="D55" s="479"/>
      <c r="E55" s="501"/>
      <c r="F55" s="2259"/>
      <c r="G55" s="502"/>
      <c r="H55" s="503"/>
      <c r="I55" s="503"/>
      <c r="J55" s="503"/>
      <c r="K55" s="490"/>
    </row>
    <row r="56" spans="1:11" x14ac:dyDescent="0.25">
      <c r="A56" s="793" t="s">
        <v>662</v>
      </c>
      <c r="B56" s="478"/>
      <c r="C56" s="478"/>
      <c r="D56" s="479"/>
      <c r="E56" s="501"/>
      <c r="F56" s="2260">
        <v>0</v>
      </c>
      <c r="G56" s="504" t="s">
        <v>522</v>
      </c>
      <c r="H56" s="503"/>
      <c r="I56" s="503"/>
      <c r="J56" s="503"/>
      <c r="K56" s="490"/>
    </row>
    <row r="57" spans="1:11" x14ac:dyDescent="0.25">
      <c r="A57" s="793" t="s">
        <v>319</v>
      </c>
      <c r="B57" s="478"/>
      <c r="C57" s="478"/>
      <c r="D57" s="479"/>
      <c r="E57" s="501"/>
      <c r="F57" s="2260">
        <v>0</v>
      </c>
      <c r="G57" s="504" t="s">
        <v>522</v>
      </c>
      <c r="H57" s="503"/>
      <c r="I57" s="503"/>
      <c r="J57" s="503"/>
      <c r="K57" s="490"/>
    </row>
    <row r="58" spans="1:11" x14ac:dyDescent="0.25">
      <c r="A58" s="793"/>
      <c r="B58" s="478"/>
      <c r="C58" s="478"/>
      <c r="D58" s="479"/>
      <c r="E58" s="501"/>
      <c r="F58" s="479"/>
      <c r="G58" s="502"/>
      <c r="H58" s="503"/>
      <c r="I58" s="503"/>
      <c r="J58" s="503"/>
      <c r="K58" s="490"/>
    </row>
    <row r="59" spans="1:11" x14ac:dyDescent="0.25">
      <c r="A59" s="793" t="s">
        <v>518</v>
      </c>
      <c r="B59" s="478"/>
      <c r="C59" s="478"/>
      <c r="D59" s="479"/>
      <c r="E59" s="501"/>
      <c r="F59" s="1812">
        <f>IF(F56=0,0%,F53/F56)</f>
        <v>0</v>
      </c>
      <c r="G59" s="504" t="s">
        <v>522</v>
      </c>
      <c r="H59" s="503"/>
      <c r="I59" s="503"/>
      <c r="J59" s="503"/>
      <c r="K59" s="490"/>
    </row>
    <row r="60" spans="1:11" x14ac:dyDescent="0.25">
      <c r="A60" s="793" t="s">
        <v>519</v>
      </c>
      <c r="B60" s="478"/>
      <c r="C60" s="478"/>
      <c r="D60" s="479"/>
      <c r="E60" s="501"/>
      <c r="F60" s="1812">
        <f>IF(F57=0,0%,F54/F57)</f>
        <v>0</v>
      </c>
      <c r="G60" s="504" t="s">
        <v>522</v>
      </c>
      <c r="H60" s="503"/>
      <c r="I60" s="503"/>
      <c r="J60" s="503"/>
      <c r="K60" s="490"/>
    </row>
    <row r="61" spans="1:11" x14ac:dyDescent="0.25">
      <c r="A61" s="793"/>
      <c r="B61" s="486" t="s">
        <v>658</v>
      </c>
      <c r="C61" s="486"/>
      <c r="D61" s="487"/>
      <c r="E61" s="488"/>
      <c r="F61" s="489"/>
      <c r="G61" s="503"/>
      <c r="H61" s="503"/>
      <c r="I61" s="503"/>
      <c r="J61" s="480"/>
      <c r="K61" s="490"/>
    </row>
    <row r="62" spans="1:11" x14ac:dyDescent="0.25">
      <c r="A62" s="477"/>
      <c r="B62" s="505" t="s">
        <v>659</v>
      </c>
      <c r="C62" s="486"/>
      <c r="D62" s="487"/>
      <c r="E62" s="480"/>
      <c r="F62" s="480"/>
      <c r="G62" s="503"/>
      <c r="H62" s="503"/>
      <c r="I62" s="503"/>
      <c r="J62" s="480"/>
      <c r="K62" s="490"/>
    </row>
    <row r="63" spans="1:11" x14ac:dyDescent="0.25">
      <c r="A63" s="477"/>
      <c r="B63" s="486" t="s">
        <v>660</v>
      </c>
      <c r="C63" s="486"/>
      <c r="D63" s="487"/>
      <c r="E63" s="480"/>
      <c r="F63" s="480"/>
      <c r="G63" s="503"/>
      <c r="H63" s="503"/>
      <c r="I63" s="503"/>
      <c r="J63" s="480"/>
      <c r="K63" s="490"/>
    </row>
    <row r="64" spans="1:11" x14ac:dyDescent="0.25">
      <c r="A64" s="477"/>
      <c r="B64" s="486" t="s">
        <v>661</v>
      </c>
      <c r="C64" s="486"/>
      <c r="D64" s="487"/>
      <c r="E64" s="480"/>
      <c r="F64" s="480"/>
      <c r="G64" s="503"/>
      <c r="H64" s="503"/>
      <c r="I64" s="503"/>
      <c r="J64" s="480"/>
      <c r="K64" s="490"/>
    </row>
    <row r="65" spans="1:11" x14ac:dyDescent="0.25">
      <c r="A65" s="477"/>
      <c r="B65" s="583" t="s">
        <v>656</v>
      </c>
      <c r="C65" s="586" t="s">
        <v>708</v>
      </c>
      <c r="D65" s="487"/>
      <c r="E65" s="480"/>
      <c r="F65" s="480"/>
      <c r="G65" s="503"/>
      <c r="H65" s="503"/>
      <c r="I65" s="503"/>
      <c r="J65" s="480"/>
      <c r="K65" s="490"/>
    </row>
    <row r="66" spans="1:11" ht="15.75" thickBot="1" x14ac:dyDescent="0.3">
      <c r="A66" s="491"/>
      <c r="B66" s="492" t="s">
        <v>656</v>
      </c>
      <c r="C66" s="493" t="s">
        <v>657</v>
      </c>
      <c r="D66" s="494"/>
      <c r="E66" s="492"/>
      <c r="F66" s="493"/>
      <c r="G66" s="506"/>
      <c r="H66" s="506"/>
      <c r="I66" s="506"/>
      <c r="J66" s="495"/>
      <c r="K66" s="496"/>
    </row>
    <row r="67" spans="1:11" ht="15.75" thickTop="1" x14ac:dyDescent="0.25"/>
    <row r="68" spans="1:11" ht="15.75" thickBot="1" x14ac:dyDescent="0.3"/>
    <row r="69" spans="1:11" ht="19.5" thickTop="1" x14ac:dyDescent="0.3">
      <c r="A69" s="231" t="s">
        <v>107</v>
      </c>
      <c r="B69" s="69"/>
      <c r="C69" s="69"/>
      <c r="D69" s="37"/>
      <c r="E69" s="112"/>
      <c r="F69" s="98"/>
      <c r="G69" s="99"/>
      <c r="H69" s="99"/>
      <c r="I69" s="99"/>
      <c r="J69" s="14"/>
      <c r="K69" s="16"/>
    </row>
    <row r="70" spans="1:11" x14ac:dyDescent="0.25">
      <c r="A70" s="84" t="s">
        <v>445</v>
      </c>
      <c r="B70" s="3"/>
      <c r="C70" s="3"/>
      <c r="D70" s="25"/>
      <c r="F70" s="1761"/>
      <c r="G70" s="97" t="s">
        <v>409</v>
      </c>
      <c r="H70" s="23"/>
      <c r="I70" s="132" t="s">
        <v>247</v>
      </c>
      <c r="K70" s="39"/>
    </row>
    <row r="71" spans="1:11" x14ac:dyDescent="0.25">
      <c r="A71" s="84" t="s">
        <v>446</v>
      </c>
      <c r="B71" s="3"/>
      <c r="C71" s="3"/>
      <c r="D71" s="25"/>
      <c r="F71" s="1761">
        <v>0</v>
      </c>
      <c r="G71" s="22"/>
      <c r="H71" s="23"/>
      <c r="I71" s="132" t="s">
        <v>247</v>
      </c>
      <c r="K71" s="39"/>
    </row>
    <row r="72" spans="1:11" x14ac:dyDescent="0.25">
      <c r="A72" s="84"/>
      <c r="B72" s="3"/>
      <c r="C72" s="3"/>
      <c r="D72" s="25"/>
      <c r="F72" s="149"/>
      <c r="G72" s="22"/>
      <c r="H72" s="23"/>
      <c r="I72" s="132"/>
      <c r="K72" s="39"/>
    </row>
    <row r="73" spans="1:11" x14ac:dyDescent="0.25">
      <c r="A73" s="84" t="s">
        <v>206</v>
      </c>
      <c r="B73" s="3"/>
      <c r="C73" s="3"/>
      <c r="D73" s="25"/>
      <c r="F73" s="1656">
        <v>0</v>
      </c>
      <c r="G73" s="97" t="s">
        <v>641</v>
      </c>
      <c r="H73" s="23"/>
      <c r="I73" s="23"/>
      <c r="J73" s="23"/>
      <c r="K73" s="39"/>
    </row>
    <row r="74" spans="1:11" x14ac:dyDescent="0.25">
      <c r="A74" s="84" t="s">
        <v>207</v>
      </c>
      <c r="B74" s="3"/>
      <c r="C74" s="3"/>
      <c r="D74" s="25"/>
      <c r="F74" s="1656">
        <v>0</v>
      </c>
      <c r="G74" s="97" t="s">
        <v>641</v>
      </c>
      <c r="H74" s="23"/>
      <c r="I74" s="23"/>
      <c r="J74" s="23"/>
      <c r="K74" s="39"/>
    </row>
    <row r="75" spans="1:11" x14ac:dyDescent="0.25">
      <c r="A75" s="84"/>
      <c r="B75" s="3"/>
      <c r="C75" s="165" t="s">
        <v>264</v>
      </c>
      <c r="D75" s="25"/>
      <c r="F75" s="134"/>
      <c r="G75" s="22"/>
      <c r="H75" s="23"/>
      <c r="I75" s="23"/>
      <c r="J75" s="23"/>
      <c r="K75" s="39"/>
    </row>
    <row r="76" spans="1:11" x14ac:dyDescent="0.25">
      <c r="A76" s="84" t="s">
        <v>405</v>
      </c>
      <c r="B76" s="3"/>
      <c r="C76" s="3"/>
      <c r="D76" s="25"/>
      <c r="F76" s="1769">
        <f>IF(F77&lt;&gt;0,F77,'1. AgeData'!$I$30)</f>
        <v>85</v>
      </c>
      <c r="G76" s="278" t="str">
        <f>IF('6. AnnuityData'!$F$76&gt;='1. AgeData'!$D$30, ".", CONCATENATE("   ERROR - must specify S1 Annuity 2 start age &gt;= Current age of S1 of ",'1. AgeData'!$D$30))</f>
        <v>.</v>
      </c>
      <c r="H76" s="23"/>
      <c r="I76" s="23"/>
      <c r="J76" s="23"/>
      <c r="K76" s="39"/>
    </row>
    <row r="77" spans="1:11" x14ac:dyDescent="0.25">
      <c r="A77" s="212" t="s">
        <v>3313</v>
      </c>
      <c r="B77" s="3"/>
      <c r="C77" s="3"/>
      <c r="D77" s="25"/>
      <c r="F77" s="1763">
        <v>0</v>
      </c>
      <c r="G77" s="278"/>
      <c r="H77" s="1180" t="s">
        <v>1238</v>
      </c>
      <c r="I77" s="23"/>
      <c r="J77" s="23"/>
      <c r="K77" s="1311"/>
    </row>
    <row r="78" spans="1:11" x14ac:dyDescent="0.25">
      <c r="A78" s="84" t="s">
        <v>406</v>
      </c>
      <c r="B78" s="3"/>
      <c r="C78" s="3"/>
      <c r="D78" s="25"/>
      <c r="F78" s="1769">
        <f>IF(F79&lt;&gt;0,F79,'1. AgeData'!$I$31)</f>
        <v>87</v>
      </c>
      <c r="G78" s="278" t="str">
        <f>IF('6. AnnuityData'!$F$42&gt;='1. AgeData'!$D$31, ".", CONCATENATE("   ERROR - must specify S1 Annuity 2 start age &gt;= Current age of S2 of ",'1. AgeData'!$D$31))</f>
        <v>.</v>
      </c>
      <c r="H78" s="23"/>
      <c r="I78" s="23"/>
      <c r="J78" s="23"/>
      <c r="K78" s="39"/>
    </row>
    <row r="79" spans="1:11" x14ac:dyDescent="0.25">
      <c r="A79" s="212" t="s">
        <v>3314</v>
      </c>
      <c r="B79" s="3"/>
      <c r="C79" s="3"/>
      <c r="D79" s="25"/>
      <c r="F79" s="1763">
        <v>0</v>
      </c>
      <c r="G79" s="278"/>
      <c r="H79" s="1180" t="s">
        <v>1238</v>
      </c>
      <c r="I79" s="23"/>
      <c r="J79" s="23"/>
      <c r="K79" s="1311"/>
    </row>
    <row r="80" spans="1:11" x14ac:dyDescent="0.25">
      <c r="A80" s="1345"/>
      <c r="B80" s="3"/>
      <c r="C80" s="3"/>
      <c r="D80" s="25"/>
      <c r="F80" s="100"/>
      <c r="G80" s="278"/>
      <c r="H80" s="23"/>
      <c r="I80" s="23"/>
      <c r="J80" s="23"/>
      <c r="K80" s="1311"/>
    </row>
    <row r="81" spans="1:11" x14ac:dyDescent="0.25">
      <c r="A81" s="84"/>
      <c r="B81" s="3"/>
      <c r="C81" s="165" t="s">
        <v>265</v>
      </c>
      <c r="D81" s="25"/>
      <c r="F81" s="100"/>
      <c r="G81" s="278"/>
      <c r="H81" s="23"/>
      <c r="I81" s="23"/>
      <c r="J81" s="23"/>
      <c r="K81" s="39"/>
    </row>
    <row r="82" spans="1:11" x14ac:dyDescent="0.25">
      <c r="A82" s="84" t="s">
        <v>407</v>
      </c>
      <c r="B82" s="3"/>
      <c r="C82" s="3"/>
      <c r="D82" s="25"/>
      <c r="F82" s="1199">
        <f>IF(F83&lt;&gt;0,F83,'1. AgeData'!$I$30)</f>
        <v>85</v>
      </c>
      <c r="G82" s="278" t="str">
        <f>IF('6. AnnuityData'!$F$82&gt;='6. AnnuityData'!$F$76,".",CONCATENATE("   ERROR - must specify annuity2 end age &gt;= Age start annuity 2 early for S1 which is ",'6. AnnuityData'!$F$76))</f>
        <v>.</v>
      </c>
      <c r="H82" s="1180"/>
      <c r="I82" s="23"/>
      <c r="J82" s="23"/>
      <c r="K82" s="39"/>
    </row>
    <row r="83" spans="1:11" x14ac:dyDescent="0.25">
      <c r="A83" s="212" t="s">
        <v>3315</v>
      </c>
      <c r="F83" s="1694">
        <v>0</v>
      </c>
      <c r="G83" s="278"/>
      <c r="H83" s="1180" t="s">
        <v>1238</v>
      </c>
      <c r="I83" s="23"/>
      <c r="J83" s="23"/>
      <c r="K83" s="1311"/>
    </row>
    <row r="84" spans="1:11" x14ac:dyDescent="0.25">
      <c r="A84" s="84" t="s">
        <v>1278</v>
      </c>
      <c r="B84" s="3"/>
      <c r="C84" s="3"/>
      <c r="D84" s="25"/>
      <c r="F84" s="1199">
        <f>IF(F85&lt;&gt;0,F85,'1. AgeData'!$I$31)</f>
        <v>87</v>
      </c>
      <c r="G84" s="278" t="str">
        <f>IF('6. AnnuityData'!$F$84&gt;='6. AnnuityData'!$E$3,".",CONCATENATE("   ERROR - must specify annuity2 end age &gt;= Age start annuity 2 early for S2 which is ",'6. AnnuityData'!$F$78))</f>
        <v>.</v>
      </c>
      <c r="H84" s="23"/>
      <c r="I84" s="23"/>
      <c r="J84" s="23"/>
      <c r="K84" s="39"/>
    </row>
    <row r="85" spans="1:11" x14ac:dyDescent="0.25">
      <c r="A85" s="212" t="s">
        <v>3316</v>
      </c>
      <c r="F85" s="1694">
        <v>0</v>
      </c>
      <c r="G85" s="278"/>
      <c r="H85" s="1180" t="s">
        <v>1238</v>
      </c>
      <c r="I85" s="23"/>
      <c r="J85" s="23"/>
      <c r="K85" s="1311"/>
    </row>
    <row r="86" spans="1:11" x14ac:dyDescent="0.25">
      <c r="A86" s="212"/>
      <c r="F86" s="1694"/>
      <c r="G86" s="278"/>
      <c r="H86" s="1180"/>
      <c r="I86" s="23"/>
      <c r="J86" s="23"/>
      <c r="K86" s="1311"/>
    </row>
    <row r="87" spans="1:11" x14ac:dyDescent="0.25">
      <c r="A87" s="3658" t="s">
        <v>1374</v>
      </c>
      <c r="B87" s="3665"/>
      <c r="C87" s="3665"/>
      <c r="D87" s="3666"/>
      <c r="E87" s="3662"/>
      <c r="F87" s="3667"/>
      <c r="G87" s="3668"/>
      <c r="H87" s="3669"/>
      <c r="I87" s="3669"/>
      <c r="J87" s="3669"/>
      <c r="K87" s="3670"/>
    </row>
    <row r="88" spans="1:11" x14ac:dyDescent="0.25">
      <c r="A88" s="793"/>
      <c r="B88" s="3671" t="s">
        <v>208</v>
      </c>
      <c r="C88" s="478"/>
      <c r="D88" s="479"/>
      <c r="E88" s="501"/>
      <c r="F88" s="481"/>
      <c r="G88" s="502"/>
      <c r="H88" s="503"/>
      <c r="I88" s="503"/>
      <c r="J88" s="503"/>
      <c r="K88" s="490"/>
    </row>
    <row r="89" spans="1:11" x14ac:dyDescent="0.25">
      <c r="A89" s="793" t="s">
        <v>321</v>
      </c>
      <c r="B89" s="478"/>
      <c r="C89" s="478"/>
      <c r="D89" s="479"/>
      <c r="E89" s="501"/>
      <c r="F89" s="2258">
        <v>0</v>
      </c>
      <c r="G89" s="504" t="s">
        <v>522</v>
      </c>
      <c r="H89" s="507" t="s">
        <v>2839</v>
      </c>
      <c r="I89" s="503"/>
      <c r="J89" s="503"/>
      <c r="K89" s="490"/>
    </row>
    <row r="90" spans="1:11" x14ac:dyDescent="0.25">
      <c r="A90" s="793" t="s">
        <v>320</v>
      </c>
      <c r="B90" s="478"/>
      <c r="C90" s="478"/>
      <c r="D90" s="479"/>
      <c r="E90" s="501"/>
      <c r="F90" s="2258">
        <v>0</v>
      </c>
      <c r="G90" s="504" t="s">
        <v>522</v>
      </c>
      <c r="H90" s="507" t="s">
        <v>2840</v>
      </c>
      <c r="I90" s="503"/>
      <c r="J90" s="503"/>
      <c r="K90" s="490"/>
    </row>
    <row r="91" spans="1:11" x14ac:dyDescent="0.25">
      <c r="A91" s="793"/>
      <c r="B91" s="478"/>
      <c r="C91" s="478"/>
      <c r="D91" s="479"/>
      <c r="E91" s="501"/>
      <c r="F91" s="2259"/>
      <c r="G91" s="502"/>
      <c r="H91" s="503"/>
      <c r="I91" s="503"/>
      <c r="J91" s="503"/>
      <c r="K91" s="490"/>
    </row>
    <row r="92" spans="1:11" x14ac:dyDescent="0.25">
      <c r="A92" s="793" t="s">
        <v>663</v>
      </c>
      <c r="B92" s="478"/>
      <c r="C92" s="478"/>
      <c r="D92" s="479"/>
      <c r="E92" s="501"/>
      <c r="F92" s="2260">
        <v>0</v>
      </c>
      <c r="G92" s="504" t="s">
        <v>522</v>
      </c>
      <c r="H92" s="503"/>
      <c r="I92" s="503"/>
      <c r="J92" s="503"/>
      <c r="K92" s="490"/>
    </row>
    <row r="93" spans="1:11" x14ac:dyDescent="0.25">
      <c r="A93" s="793" t="s">
        <v>322</v>
      </c>
      <c r="B93" s="478"/>
      <c r="C93" s="478"/>
      <c r="D93" s="479"/>
      <c r="E93" s="501"/>
      <c r="F93" s="2260">
        <v>0</v>
      </c>
      <c r="G93" s="504" t="s">
        <v>522</v>
      </c>
      <c r="H93" s="503"/>
      <c r="I93" s="503"/>
      <c r="J93" s="503"/>
      <c r="K93" s="490"/>
    </row>
    <row r="94" spans="1:11" x14ac:dyDescent="0.25">
      <c r="A94" s="793"/>
      <c r="B94" s="478"/>
      <c r="C94" s="478"/>
      <c r="D94" s="479"/>
      <c r="E94" s="501"/>
      <c r="F94" s="479"/>
      <c r="G94" s="502"/>
      <c r="H94" s="503"/>
      <c r="I94" s="503"/>
      <c r="J94" s="503"/>
      <c r="K94" s="490"/>
    </row>
    <row r="95" spans="1:11" x14ac:dyDescent="0.25">
      <c r="A95" s="793" t="s">
        <v>520</v>
      </c>
      <c r="B95" s="478"/>
      <c r="C95" s="478"/>
      <c r="D95" s="479"/>
      <c r="E95" s="501"/>
      <c r="F95" s="1812">
        <f>IF(F92=0,0,F89/F92)</f>
        <v>0</v>
      </c>
      <c r="G95" s="504" t="s">
        <v>522</v>
      </c>
      <c r="H95" s="503"/>
      <c r="I95" s="503"/>
      <c r="J95" s="503"/>
      <c r="K95" s="490"/>
    </row>
    <row r="96" spans="1:11" ht="15.75" thickBot="1" x14ac:dyDescent="0.3">
      <c r="A96" s="795" t="s">
        <v>521</v>
      </c>
      <c r="B96" s="508"/>
      <c r="C96" s="508"/>
      <c r="D96" s="509"/>
      <c r="E96" s="495"/>
      <c r="F96" s="1813">
        <f>IF(F93=0,0,F90/F93)</f>
        <v>0</v>
      </c>
      <c r="G96" s="510" t="s">
        <v>522</v>
      </c>
      <c r="H96" s="506"/>
      <c r="I96" s="506"/>
      <c r="J96" s="506"/>
      <c r="K96" s="496"/>
    </row>
    <row r="97" spans="1:11" ht="15.75" thickTop="1" x14ac:dyDescent="0.25">
      <c r="A97" s="1217"/>
      <c r="B97" s="130"/>
      <c r="C97" s="130"/>
      <c r="D97" s="1093"/>
      <c r="E97" s="33"/>
      <c r="F97" s="1484"/>
      <c r="G97" s="1485"/>
      <c r="H97" s="1486"/>
      <c r="I97" s="1486"/>
      <c r="J97" s="1486"/>
      <c r="K97" s="33"/>
    </row>
    <row r="98" spans="1:11" ht="15.75" thickBot="1" x14ac:dyDescent="0.3">
      <c r="A98" s="129"/>
      <c r="B98" s="3"/>
      <c r="C98" s="3"/>
      <c r="D98" s="25"/>
      <c r="E98" s="24"/>
      <c r="F98" s="278"/>
      <c r="G98" s="23"/>
      <c r="H98" s="23"/>
      <c r="I98" s="23"/>
      <c r="J98" s="6"/>
      <c r="K98" s="6"/>
    </row>
    <row r="99" spans="1:11" ht="19.5" thickBot="1" x14ac:dyDescent="0.35">
      <c r="A99" s="1571" t="s">
        <v>1263</v>
      </c>
      <c r="B99" s="1572"/>
      <c r="C99" s="1573"/>
      <c r="D99" s="1573"/>
      <c r="E99" s="1572"/>
      <c r="F99" s="1572"/>
      <c r="G99" s="1572"/>
      <c r="H99" s="1572"/>
      <c r="I99" s="1572"/>
      <c r="J99" s="1572"/>
      <c r="K99" s="1575"/>
    </row>
    <row r="100" spans="1:11" ht="15.75" thickBot="1" x14ac:dyDescent="0.3"/>
    <row r="101" spans="1:11" ht="19.5" thickTop="1" x14ac:dyDescent="0.3">
      <c r="A101" s="265" t="s">
        <v>130</v>
      </c>
      <c r="B101" s="14"/>
      <c r="C101" s="14"/>
      <c r="D101" s="14"/>
      <c r="E101" s="14"/>
      <c r="F101" s="14"/>
      <c r="G101" s="14"/>
      <c r="H101" s="14"/>
      <c r="I101" s="14"/>
      <c r="J101" s="38"/>
      <c r="K101" s="6"/>
    </row>
    <row r="102" spans="1:11" s="264" customFormat="1" ht="52.5" thickBot="1" x14ac:dyDescent="0.3">
      <c r="A102" s="897" t="s">
        <v>142</v>
      </c>
      <c r="B102" s="898" t="s">
        <v>143</v>
      </c>
      <c r="C102" s="904" t="s">
        <v>410</v>
      </c>
      <c r="D102" s="904" t="s">
        <v>412</v>
      </c>
      <c r="E102" s="899" t="s">
        <v>411</v>
      </c>
      <c r="F102" s="899" t="s">
        <v>413</v>
      </c>
      <c r="G102" s="902" t="s">
        <v>249</v>
      </c>
      <c r="H102" s="902" t="s">
        <v>250</v>
      </c>
      <c r="I102" s="903" t="s">
        <v>248</v>
      </c>
    </row>
    <row r="103" spans="1:11" ht="15.75" thickTop="1" x14ac:dyDescent="0.25">
      <c r="A103" s="850">
        <f>'R. Results'!A239</f>
        <v>60</v>
      </c>
      <c r="B103" s="851">
        <f>'R. Results'!B239</f>
        <v>55</v>
      </c>
      <c r="C103" s="869">
        <f>IF(A103&gt;$F$46,0,IF(A103&lt;$F$40,0,IF(A103=$F$40,$F$32,C102*(1+$F$35))))*IF(A103&lt;'1. AgeData'!$I$30,1,0)</f>
        <v>0</v>
      </c>
      <c r="D103" s="868">
        <f>IF(B103&gt;$F$48,0,IF(B103&lt;$F$42,0,IF(B103=$F$42,$F$33,D102*(1+$F$36))))*IF(B65&lt;'1. AgeData'!$I$31,1,0)</f>
        <v>0</v>
      </c>
      <c r="E103" s="869">
        <f t="shared" ref="E103:E139" si="0">IF(A103&gt;$F$82,0,IF(A103&lt;$F$76,0,IF(A103=$F$76,$F$70,E102*(1+$F$73))))</f>
        <v>0</v>
      </c>
      <c r="F103" s="837">
        <f t="shared" ref="F103:F139" si="1">IF(B103&gt;$F$84,0,IF(B103&lt;$F$78,0,IF(B103=$F$78,$F$71,F102*(1+$F$74))))</f>
        <v>0</v>
      </c>
      <c r="G103" s="869">
        <f>C103+E103</f>
        <v>0</v>
      </c>
      <c r="H103" s="837">
        <f>+D103+F103</f>
        <v>0</v>
      </c>
      <c r="I103" s="870">
        <f t="shared" ref="I103:I139" si="2">SUM(C103:H103)</f>
        <v>0</v>
      </c>
    </row>
    <row r="104" spans="1:11" x14ac:dyDescent="0.25">
      <c r="A104" s="850">
        <f t="shared" ref="A104:A139" si="3">A103+1</f>
        <v>61</v>
      </c>
      <c r="B104" s="851">
        <f t="shared" ref="B104:B139" si="4">B103+1</f>
        <v>56</v>
      </c>
      <c r="C104" s="869">
        <f t="shared" ref="C104:C139" si="5">IF(A104&gt;$F$46,0,IF(A104&lt;$F$40,0,IF(A104=$F$40,$F$32,C103*(1+$F$35))))</f>
        <v>0</v>
      </c>
      <c r="D104" s="868">
        <f t="shared" ref="D104:D139" si="6">IF(B104&gt;$F$48,0,IF(B104&lt;$F$42,0,IF(B104=$F$42,$F$33,D103*(1+$F$36))))</f>
        <v>0</v>
      </c>
      <c r="E104" s="869">
        <f t="shared" si="0"/>
        <v>0</v>
      </c>
      <c r="F104" s="837">
        <f t="shared" si="1"/>
        <v>0</v>
      </c>
      <c r="G104" s="869">
        <f t="shared" ref="G104:G139" si="7">C104+E104</f>
        <v>0</v>
      </c>
      <c r="H104" s="837">
        <f t="shared" ref="H104:H139" si="8">+D104+F104</f>
        <v>0</v>
      </c>
      <c r="I104" s="870">
        <f t="shared" si="2"/>
        <v>0</v>
      </c>
    </row>
    <row r="105" spans="1:11" x14ac:dyDescent="0.25">
      <c r="A105" s="850">
        <f t="shared" si="3"/>
        <v>62</v>
      </c>
      <c r="B105" s="871">
        <f t="shared" si="4"/>
        <v>57</v>
      </c>
      <c r="C105" s="869">
        <f t="shared" si="5"/>
        <v>0</v>
      </c>
      <c r="D105" s="868">
        <f t="shared" si="6"/>
        <v>0</v>
      </c>
      <c r="E105" s="869">
        <f t="shared" si="0"/>
        <v>0</v>
      </c>
      <c r="F105" s="837">
        <f t="shared" si="1"/>
        <v>0</v>
      </c>
      <c r="G105" s="869">
        <f t="shared" si="7"/>
        <v>0</v>
      </c>
      <c r="H105" s="837">
        <f t="shared" si="8"/>
        <v>0</v>
      </c>
      <c r="I105" s="870">
        <f t="shared" si="2"/>
        <v>0</v>
      </c>
    </row>
    <row r="106" spans="1:11" x14ac:dyDescent="0.25">
      <c r="A106" s="872">
        <f t="shared" si="3"/>
        <v>63</v>
      </c>
      <c r="B106" s="851">
        <f t="shared" si="4"/>
        <v>58</v>
      </c>
      <c r="C106" s="869">
        <f t="shared" si="5"/>
        <v>0</v>
      </c>
      <c r="D106" s="868">
        <f t="shared" si="6"/>
        <v>0</v>
      </c>
      <c r="E106" s="869">
        <f t="shared" si="0"/>
        <v>0</v>
      </c>
      <c r="F106" s="837">
        <f t="shared" si="1"/>
        <v>0</v>
      </c>
      <c r="G106" s="869">
        <f t="shared" si="7"/>
        <v>0</v>
      </c>
      <c r="H106" s="837">
        <f t="shared" si="8"/>
        <v>0</v>
      </c>
      <c r="I106" s="870">
        <f t="shared" si="2"/>
        <v>0</v>
      </c>
    </row>
    <row r="107" spans="1:11" x14ac:dyDescent="0.25">
      <c r="A107" s="850">
        <f t="shared" si="3"/>
        <v>64</v>
      </c>
      <c r="B107" s="851">
        <f t="shared" si="4"/>
        <v>59</v>
      </c>
      <c r="C107" s="869">
        <f t="shared" si="5"/>
        <v>0</v>
      </c>
      <c r="D107" s="868">
        <f t="shared" si="6"/>
        <v>0</v>
      </c>
      <c r="E107" s="869">
        <f t="shared" si="0"/>
        <v>0</v>
      </c>
      <c r="F107" s="837">
        <f t="shared" si="1"/>
        <v>0</v>
      </c>
      <c r="G107" s="869">
        <f t="shared" si="7"/>
        <v>0</v>
      </c>
      <c r="H107" s="837">
        <f t="shared" si="8"/>
        <v>0</v>
      </c>
      <c r="I107" s="870">
        <f t="shared" si="2"/>
        <v>0</v>
      </c>
    </row>
    <row r="108" spans="1:11" x14ac:dyDescent="0.25">
      <c r="A108" s="850">
        <f t="shared" si="3"/>
        <v>65</v>
      </c>
      <c r="B108" s="851">
        <f t="shared" si="4"/>
        <v>60</v>
      </c>
      <c r="C108" s="869">
        <f t="shared" si="5"/>
        <v>0</v>
      </c>
      <c r="D108" s="868">
        <f t="shared" si="6"/>
        <v>0</v>
      </c>
      <c r="E108" s="869">
        <f t="shared" si="0"/>
        <v>0</v>
      </c>
      <c r="F108" s="837">
        <f t="shared" si="1"/>
        <v>0</v>
      </c>
      <c r="G108" s="869">
        <f t="shared" si="7"/>
        <v>0</v>
      </c>
      <c r="H108" s="837">
        <f t="shared" si="8"/>
        <v>0</v>
      </c>
      <c r="I108" s="870">
        <f t="shared" si="2"/>
        <v>0</v>
      </c>
    </row>
    <row r="109" spans="1:11" x14ac:dyDescent="0.25">
      <c r="A109" s="850">
        <f t="shared" si="3"/>
        <v>66</v>
      </c>
      <c r="B109" s="851">
        <f t="shared" si="4"/>
        <v>61</v>
      </c>
      <c r="C109" s="869">
        <f t="shared" si="5"/>
        <v>3000</v>
      </c>
      <c r="D109" s="868">
        <f t="shared" si="6"/>
        <v>0</v>
      </c>
      <c r="E109" s="869">
        <f t="shared" si="0"/>
        <v>0</v>
      </c>
      <c r="F109" s="837">
        <f t="shared" si="1"/>
        <v>0</v>
      </c>
      <c r="G109" s="869">
        <f t="shared" si="7"/>
        <v>3000</v>
      </c>
      <c r="H109" s="837">
        <f t="shared" si="8"/>
        <v>0</v>
      </c>
      <c r="I109" s="870">
        <f t="shared" si="2"/>
        <v>6000</v>
      </c>
    </row>
    <row r="110" spans="1:11" x14ac:dyDescent="0.25">
      <c r="A110" s="850">
        <f t="shared" si="3"/>
        <v>67</v>
      </c>
      <c r="B110" s="851">
        <f t="shared" si="4"/>
        <v>62</v>
      </c>
      <c r="C110" s="869">
        <f t="shared" si="5"/>
        <v>3060</v>
      </c>
      <c r="D110" s="868">
        <f t="shared" si="6"/>
        <v>0</v>
      </c>
      <c r="E110" s="869">
        <f t="shared" si="0"/>
        <v>0</v>
      </c>
      <c r="F110" s="837">
        <f t="shared" si="1"/>
        <v>0</v>
      </c>
      <c r="G110" s="869">
        <f t="shared" si="7"/>
        <v>3060</v>
      </c>
      <c r="H110" s="837">
        <f t="shared" si="8"/>
        <v>0</v>
      </c>
      <c r="I110" s="870">
        <f t="shared" si="2"/>
        <v>6120</v>
      </c>
    </row>
    <row r="111" spans="1:11" x14ac:dyDescent="0.25">
      <c r="A111" s="850">
        <f t="shared" si="3"/>
        <v>68</v>
      </c>
      <c r="B111" s="851">
        <f t="shared" si="4"/>
        <v>63</v>
      </c>
      <c r="C111" s="869">
        <f t="shared" si="5"/>
        <v>3121.2000000000003</v>
      </c>
      <c r="D111" s="868">
        <f t="shared" si="6"/>
        <v>0</v>
      </c>
      <c r="E111" s="869">
        <f t="shared" si="0"/>
        <v>0</v>
      </c>
      <c r="F111" s="837">
        <f t="shared" si="1"/>
        <v>0</v>
      </c>
      <c r="G111" s="869">
        <f t="shared" si="7"/>
        <v>3121.2000000000003</v>
      </c>
      <c r="H111" s="837">
        <f t="shared" si="8"/>
        <v>0</v>
      </c>
      <c r="I111" s="870">
        <f t="shared" si="2"/>
        <v>6242.4000000000005</v>
      </c>
    </row>
    <row r="112" spans="1:11" x14ac:dyDescent="0.25">
      <c r="A112" s="850">
        <f t="shared" si="3"/>
        <v>69</v>
      </c>
      <c r="B112" s="851">
        <f t="shared" si="4"/>
        <v>64</v>
      </c>
      <c r="C112" s="869">
        <f t="shared" si="5"/>
        <v>3183.6240000000003</v>
      </c>
      <c r="D112" s="868">
        <f t="shared" si="6"/>
        <v>0</v>
      </c>
      <c r="E112" s="869">
        <f t="shared" si="0"/>
        <v>0</v>
      </c>
      <c r="F112" s="837">
        <f t="shared" si="1"/>
        <v>0</v>
      </c>
      <c r="G112" s="869">
        <f t="shared" si="7"/>
        <v>3183.6240000000003</v>
      </c>
      <c r="H112" s="837">
        <f t="shared" si="8"/>
        <v>0</v>
      </c>
      <c r="I112" s="870">
        <f t="shared" si="2"/>
        <v>6367.2480000000005</v>
      </c>
    </row>
    <row r="113" spans="1:9" x14ac:dyDescent="0.25">
      <c r="A113" s="850">
        <f t="shared" si="3"/>
        <v>70</v>
      </c>
      <c r="B113" s="871">
        <f t="shared" si="4"/>
        <v>65</v>
      </c>
      <c r="C113" s="869">
        <f t="shared" si="5"/>
        <v>3247.2964800000004</v>
      </c>
      <c r="D113" s="868">
        <f t="shared" si="6"/>
        <v>3500</v>
      </c>
      <c r="E113" s="869">
        <f t="shared" si="0"/>
        <v>0</v>
      </c>
      <c r="F113" s="837">
        <f t="shared" si="1"/>
        <v>0</v>
      </c>
      <c r="G113" s="869">
        <f t="shared" si="7"/>
        <v>3247.2964800000004</v>
      </c>
      <c r="H113" s="837">
        <f t="shared" si="8"/>
        <v>3500</v>
      </c>
      <c r="I113" s="870">
        <f t="shared" si="2"/>
        <v>13494.592960000002</v>
      </c>
    </row>
    <row r="114" spans="1:9" x14ac:dyDescent="0.25">
      <c r="A114" s="850">
        <f t="shared" si="3"/>
        <v>71</v>
      </c>
      <c r="B114" s="851">
        <f t="shared" si="4"/>
        <v>66</v>
      </c>
      <c r="C114" s="869">
        <f t="shared" si="5"/>
        <v>3312.2424096000004</v>
      </c>
      <c r="D114" s="868">
        <f t="shared" si="6"/>
        <v>3500</v>
      </c>
      <c r="E114" s="869">
        <f t="shared" si="0"/>
        <v>0</v>
      </c>
      <c r="F114" s="837">
        <f t="shared" si="1"/>
        <v>0</v>
      </c>
      <c r="G114" s="869">
        <f t="shared" si="7"/>
        <v>3312.2424096000004</v>
      </c>
      <c r="H114" s="837">
        <f t="shared" si="8"/>
        <v>3500</v>
      </c>
      <c r="I114" s="870">
        <f t="shared" si="2"/>
        <v>13624.484819200001</v>
      </c>
    </row>
    <row r="115" spans="1:9" x14ac:dyDescent="0.25">
      <c r="A115" s="873">
        <f t="shared" si="3"/>
        <v>72</v>
      </c>
      <c r="B115" s="874">
        <f t="shared" si="4"/>
        <v>67</v>
      </c>
      <c r="C115" s="869">
        <f t="shared" si="5"/>
        <v>3378.4872577920005</v>
      </c>
      <c r="D115" s="868">
        <f t="shared" si="6"/>
        <v>3500</v>
      </c>
      <c r="E115" s="869">
        <f t="shared" si="0"/>
        <v>0</v>
      </c>
      <c r="F115" s="837">
        <f t="shared" si="1"/>
        <v>0</v>
      </c>
      <c r="G115" s="869">
        <f t="shared" si="7"/>
        <v>3378.4872577920005</v>
      </c>
      <c r="H115" s="837">
        <f t="shared" si="8"/>
        <v>3500</v>
      </c>
      <c r="I115" s="870">
        <f t="shared" si="2"/>
        <v>13756.974515584001</v>
      </c>
    </row>
    <row r="116" spans="1:9" x14ac:dyDescent="0.25">
      <c r="A116" s="850">
        <f t="shared" si="3"/>
        <v>73</v>
      </c>
      <c r="B116" s="851">
        <f t="shared" si="4"/>
        <v>68</v>
      </c>
      <c r="C116" s="869">
        <f t="shared" si="5"/>
        <v>3446.0570029478404</v>
      </c>
      <c r="D116" s="868">
        <f t="shared" si="6"/>
        <v>3500</v>
      </c>
      <c r="E116" s="869">
        <f t="shared" si="0"/>
        <v>0</v>
      </c>
      <c r="F116" s="837">
        <f t="shared" si="1"/>
        <v>0</v>
      </c>
      <c r="G116" s="869">
        <f t="shared" si="7"/>
        <v>3446.0570029478404</v>
      </c>
      <c r="H116" s="837">
        <f t="shared" si="8"/>
        <v>3500</v>
      </c>
      <c r="I116" s="870">
        <f t="shared" si="2"/>
        <v>13892.114005895681</v>
      </c>
    </row>
    <row r="117" spans="1:9" x14ac:dyDescent="0.25">
      <c r="A117" s="850">
        <f t="shared" si="3"/>
        <v>74</v>
      </c>
      <c r="B117" s="851">
        <f t="shared" si="4"/>
        <v>69</v>
      </c>
      <c r="C117" s="869">
        <f t="shared" si="5"/>
        <v>3514.9781430067974</v>
      </c>
      <c r="D117" s="868">
        <f t="shared" si="6"/>
        <v>3500</v>
      </c>
      <c r="E117" s="869">
        <f t="shared" si="0"/>
        <v>0</v>
      </c>
      <c r="F117" s="837">
        <f t="shared" si="1"/>
        <v>0</v>
      </c>
      <c r="G117" s="869">
        <f t="shared" si="7"/>
        <v>3514.9781430067974</v>
      </c>
      <c r="H117" s="837">
        <f t="shared" si="8"/>
        <v>3500</v>
      </c>
      <c r="I117" s="870">
        <f t="shared" si="2"/>
        <v>14029.956286013596</v>
      </c>
    </row>
    <row r="118" spans="1:9" x14ac:dyDescent="0.25">
      <c r="A118" s="850">
        <f t="shared" si="3"/>
        <v>75</v>
      </c>
      <c r="B118" s="851">
        <f t="shared" si="4"/>
        <v>70</v>
      </c>
      <c r="C118" s="869">
        <f t="shared" si="5"/>
        <v>3585.2777058669335</v>
      </c>
      <c r="D118" s="868">
        <f t="shared" si="6"/>
        <v>3500</v>
      </c>
      <c r="E118" s="869">
        <f t="shared" si="0"/>
        <v>0</v>
      </c>
      <c r="F118" s="837">
        <f t="shared" si="1"/>
        <v>0</v>
      </c>
      <c r="G118" s="869">
        <f t="shared" si="7"/>
        <v>3585.2777058669335</v>
      </c>
      <c r="H118" s="837">
        <f t="shared" si="8"/>
        <v>3500</v>
      </c>
      <c r="I118" s="870">
        <f t="shared" si="2"/>
        <v>14170.555411733867</v>
      </c>
    </row>
    <row r="119" spans="1:9" x14ac:dyDescent="0.25">
      <c r="A119" s="850">
        <f t="shared" si="3"/>
        <v>76</v>
      </c>
      <c r="B119" s="851">
        <f t="shared" si="4"/>
        <v>71</v>
      </c>
      <c r="C119" s="869">
        <f t="shared" si="5"/>
        <v>3656.9832599842721</v>
      </c>
      <c r="D119" s="868">
        <f t="shared" si="6"/>
        <v>3500</v>
      </c>
      <c r="E119" s="869">
        <f t="shared" si="0"/>
        <v>0</v>
      </c>
      <c r="F119" s="837">
        <f t="shared" si="1"/>
        <v>0</v>
      </c>
      <c r="G119" s="869">
        <f t="shared" si="7"/>
        <v>3656.9832599842721</v>
      </c>
      <c r="H119" s="837">
        <f t="shared" si="8"/>
        <v>3500</v>
      </c>
      <c r="I119" s="870">
        <f t="shared" si="2"/>
        <v>14313.966519968544</v>
      </c>
    </row>
    <row r="120" spans="1:9" x14ac:dyDescent="0.25">
      <c r="A120" s="850">
        <f t="shared" si="3"/>
        <v>77</v>
      </c>
      <c r="B120" s="851">
        <f t="shared" si="4"/>
        <v>72</v>
      </c>
      <c r="C120" s="869">
        <f t="shared" si="5"/>
        <v>3730.1229251839577</v>
      </c>
      <c r="D120" s="868">
        <f t="shared" si="6"/>
        <v>3500</v>
      </c>
      <c r="E120" s="869">
        <f t="shared" si="0"/>
        <v>0</v>
      </c>
      <c r="F120" s="837">
        <f t="shared" si="1"/>
        <v>0</v>
      </c>
      <c r="G120" s="869">
        <f t="shared" si="7"/>
        <v>3730.1229251839577</v>
      </c>
      <c r="H120" s="837">
        <f t="shared" si="8"/>
        <v>3500</v>
      </c>
      <c r="I120" s="870">
        <f t="shared" si="2"/>
        <v>14460.245850367915</v>
      </c>
    </row>
    <row r="121" spans="1:9" x14ac:dyDescent="0.25">
      <c r="A121" s="850">
        <f t="shared" si="3"/>
        <v>78</v>
      </c>
      <c r="B121" s="851">
        <f t="shared" si="4"/>
        <v>73</v>
      </c>
      <c r="C121" s="869">
        <f t="shared" si="5"/>
        <v>3804.7253836876371</v>
      </c>
      <c r="D121" s="868">
        <f t="shared" si="6"/>
        <v>3500</v>
      </c>
      <c r="E121" s="869">
        <f t="shared" si="0"/>
        <v>0</v>
      </c>
      <c r="F121" s="837">
        <f t="shared" si="1"/>
        <v>0</v>
      </c>
      <c r="G121" s="869">
        <f t="shared" si="7"/>
        <v>3804.7253836876371</v>
      </c>
      <c r="H121" s="837">
        <f t="shared" si="8"/>
        <v>3500</v>
      </c>
      <c r="I121" s="870">
        <f t="shared" si="2"/>
        <v>14609.450767375274</v>
      </c>
    </row>
    <row r="122" spans="1:9" x14ac:dyDescent="0.25">
      <c r="A122" s="850">
        <f t="shared" si="3"/>
        <v>79</v>
      </c>
      <c r="B122" s="851">
        <f t="shared" si="4"/>
        <v>74</v>
      </c>
      <c r="C122" s="869">
        <f t="shared" si="5"/>
        <v>3880.8198913613901</v>
      </c>
      <c r="D122" s="868">
        <f t="shared" si="6"/>
        <v>3500</v>
      </c>
      <c r="E122" s="869">
        <f t="shared" si="0"/>
        <v>0</v>
      </c>
      <c r="F122" s="837">
        <f t="shared" si="1"/>
        <v>0</v>
      </c>
      <c r="G122" s="869">
        <f t="shared" si="7"/>
        <v>3880.8198913613901</v>
      </c>
      <c r="H122" s="837">
        <f t="shared" si="8"/>
        <v>3500</v>
      </c>
      <c r="I122" s="870">
        <f t="shared" si="2"/>
        <v>14761.639782722781</v>
      </c>
    </row>
    <row r="123" spans="1:9" x14ac:dyDescent="0.25">
      <c r="A123" s="850">
        <f t="shared" si="3"/>
        <v>80</v>
      </c>
      <c r="B123" s="851">
        <f t="shared" si="4"/>
        <v>75</v>
      </c>
      <c r="C123" s="869">
        <f t="shared" si="5"/>
        <v>3958.436289188618</v>
      </c>
      <c r="D123" s="868">
        <f t="shared" si="6"/>
        <v>3500</v>
      </c>
      <c r="E123" s="869">
        <f t="shared" si="0"/>
        <v>0</v>
      </c>
      <c r="F123" s="837">
        <f t="shared" si="1"/>
        <v>0</v>
      </c>
      <c r="G123" s="869">
        <f t="shared" si="7"/>
        <v>3958.436289188618</v>
      </c>
      <c r="H123" s="837">
        <f t="shared" si="8"/>
        <v>3500</v>
      </c>
      <c r="I123" s="870">
        <f t="shared" si="2"/>
        <v>14916.872578377235</v>
      </c>
    </row>
    <row r="124" spans="1:9" x14ac:dyDescent="0.25">
      <c r="A124" s="850">
        <f t="shared" si="3"/>
        <v>81</v>
      </c>
      <c r="B124" s="851">
        <f t="shared" si="4"/>
        <v>76</v>
      </c>
      <c r="C124" s="869">
        <f t="shared" si="5"/>
        <v>4037.6050149723906</v>
      </c>
      <c r="D124" s="868">
        <f t="shared" si="6"/>
        <v>3500</v>
      </c>
      <c r="E124" s="869">
        <f t="shared" si="0"/>
        <v>0</v>
      </c>
      <c r="F124" s="837">
        <f t="shared" si="1"/>
        <v>0</v>
      </c>
      <c r="G124" s="869">
        <f t="shared" si="7"/>
        <v>4037.6050149723906</v>
      </c>
      <c r="H124" s="837">
        <f t="shared" si="8"/>
        <v>3500</v>
      </c>
      <c r="I124" s="870">
        <f t="shared" si="2"/>
        <v>15075.210029944781</v>
      </c>
    </row>
    <row r="125" spans="1:9" x14ac:dyDescent="0.25">
      <c r="A125" s="850">
        <f t="shared" si="3"/>
        <v>82</v>
      </c>
      <c r="B125" s="851">
        <f t="shared" si="4"/>
        <v>77</v>
      </c>
      <c r="C125" s="869">
        <f t="shared" si="5"/>
        <v>4118.3571152718387</v>
      </c>
      <c r="D125" s="868">
        <f t="shared" si="6"/>
        <v>3500</v>
      </c>
      <c r="E125" s="869">
        <f t="shared" si="0"/>
        <v>0</v>
      </c>
      <c r="F125" s="837">
        <f t="shared" si="1"/>
        <v>0</v>
      </c>
      <c r="G125" s="869">
        <f t="shared" si="7"/>
        <v>4118.3571152718387</v>
      </c>
      <c r="H125" s="837">
        <f t="shared" si="8"/>
        <v>3500</v>
      </c>
      <c r="I125" s="870">
        <f t="shared" si="2"/>
        <v>15236.714230543677</v>
      </c>
    </row>
    <row r="126" spans="1:9" x14ac:dyDescent="0.25">
      <c r="A126" s="850">
        <f t="shared" si="3"/>
        <v>83</v>
      </c>
      <c r="B126" s="851">
        <f t="shared" si="4"/>
        <v>78</v>
      </c>
      <c r="C126" s="869">
        <f t="shared" si="5"/>
        <v>4200.7242575772752</v>
      </c>
      <c r="D126" s="868">
        <f t="shared" si="6"/>
        <v>3500</v>
      </c>
      <c r="E126" s="869">
        <f t="shared" si="0"/>
        <v>0</v>
      </c>
      <c r="F126" s="837">
        <f t="shared" si="1"/>
        <v>0</v>
      </c>
      <c r="G126" s="869">
        <f t="shared" si="7"/>
        <v>4200.7242575772752</v>
      </c>
      <c r="H126" s="837">
        <f t="shared" si="8"/>
        <v>3500</v>
      </c>
      <c r="I126" s="870">
        <f t="shared" si="2"/>
        <v>15401.44851515455</v>
      </c>
    </row>
    <row r="127" spans="1:9" x14ac:dyDescent="0.25">
      <c r="A127" s="850">
        <f t="shared" si="3"/>
        <v>84</v>
      </c>
      <c r="B127" s="851">
        <f t="shared" si="4"/>
        <v>79</v>
      </c>
      <c r="C127" s="869">
        <f t="shared" si="5"/>
        <v>4284.7387427288204</v>
      </c>
      <c r="D127" s="868">
        <f t="shared" si="6"/>
        <v>3500</v>
      </c>
      <c r="E127" s="869">
        <f t="shared" si="0"/>
        <v>0</v>
      </c>
      <c r="F127" s="837">
        <f t="shared" si="1"/>
        <v>0</v>
      </c>
      <c r="G127" s="869">
        <f t="shared" si="7"/>
        <v>4284.7387427288204</v>
      </c>
      <c r="H127" s="837">
        <f t="shared" si="8"/>
        <v>3500</v>
      </c>
      <c r="I127" s="870">
        <f t="shared" si="2"/>
        <v>15569.477485457641</v>
      </c>
    </row>
    <row r="128" spans="1:9" x14ac:dyDescent="0.25">
      <c r="A128" s="873">
        <f t="shared" si="3"/>
        <v>85</v>
      </c>
      <c r="B128" s="874">
        <f t="shared" si="4"/>
        <v>80</v>
      </c>
      <c r="C128" s="869">
        <f t="shared" si="5"/>
        <v>4370.4335175833967</v>
      </c>
      <c r="D128" s="868">
        <f t="shared" si="6"/>
        <v>3500</v>
      </c>
      <c r="E128" s="869">
        <f t="shared" si="0"/>
        <v>0</v>
      </c>
      <c r="F128" s="837">
        <f t="shared" si="1"/>
        <v>0</v>
      </c>
      <c r="G128" s="869">
        <f t="shared" si="7"/>
        <v>4370.4335175833967</v>
      </c>
      <c r="H128" s="837">
        <f t="shared" si="8"/>
        <v>3500</v>
      </c>
      <c r="I128" s="870">
        <f t="shared" si="2"/>
        <v>15740.867035166793</v>
      </c>
    </row>
    <row r="129" spans="1:9" x14ac:dyDescent="0.25">
      <c r="A129" s="850">
        <f t="shared" si="3"/>
        <v>86</v>
      </c>
      <c r="B129" s="851">
        <f t="shared" si="4"/>
        <v>81</v>
      </c>
      <c r="C129" s="869">
        <f t="shared" si="5"/>
        <v>0</v>
      </c>
      <c r="D129" s="868">
        <f t="shared" si="6"/>
        <v>3500</v>
      </c>
      <c r="E129" s="869">
        <f t="shared" si="0"/>
        <v>0</v>
      </c>
      <c r="F129" s="837">
        <f t="shared" si="1"/>
        <v>0</v>
      </c>
      <c r="G129" s="869">
        <f t="shared" si="7"/>
        <v>0</v>
      </c>
      <c r="H129" s="837">
        <f t="shared" si="8"/>
        <v>3500</v>
      </c>
      <c r="I129" s="870">
        <f t="shared" si="2"/>
        <v>7000</v>
      </c>
    </row>
    <row r="130" spans="1:9" x14ac:dyDescent="0.25">
      <c r="A130" s="850">
        <f t="shared" si="3"/>
        <v>87</v>
      </c>
      <c r="B130" s="851">
        <f t="shared" si="4"/>
        <v>82</v>
      </c>
      <c r="C130" s="869">
        <f t="shared" si="5"/>
        <v>0</v>
      </c>
      <c r="D130" s="868">
        <f t="shared" si="6"/>
        <v>3500</v>
      </c>
      <c r="E130" s="869">
        <f t="shared" si="0"/>
        <v>0</v>
      </c>
      <c r="F130" s="837">
        <f t="shared" si="1"/>
        <v>0</v>
      </c>
      <c r="G130" s="869">
        <f t="shared" si="7"/>
        <v>0</v>
      </c>
      <c r="H130" s="837">
        <f t="shared" si="8"/>
        <v>3500</v>
      </c>
      <c r="I130" s="870">
        <f t="shared" si="2"/>
        <v>7000</v>
      </c>
    </row>
    <row r="131" spans="1:9" x14ac:dyDescent="0.25">
      <c r="A131" s="850">
        <f t="shared" si="3"/>
        <v>88</v>
      </c>
      <c r="B131" s="851">
        <f t="shared" si="4"/>
        <v>83</v>
      </c>
      <c r="C131" s="869">
        <f t="shared" si="5"/>
        <v>0</v>
      </c>
      <c r="D131" s="868">
        <f t="shared" si="6"/>
        <v>3500</v>
      </c>
      <c r="E131" s="869">
        <f t="shared" si="0"/>
        <v>0</v>
      </c>
      <c r="F131" s="837">
        <f t="shared" si="1"/>
        <v>0</v>
      </c>
      <c r="G131" s="869">
        <f t="shared" si="7"/>
        <v>0</v>
      </c>
      <c r="H131" s="837">
        <f t="shared" si="8"/>
        <v>3500</v>
      </c>
      <c r="I131" s="870">
        <f t="shared" si="2"/>
        <v>7000</v>
      </c>
    </row>
    <row r="132" spans="1:9" x14ac:dyDescent="0.25">
      <c r="A132" s="850">
        <f t="shared" si="3"/>
        <v>89</v>
      </c>
      <c r="B132" s="851">
        <f t="shared" si="4"/>
        <v>84</v>
      </c>
      <c r="C132" s="869">
        <f t="shared" si="5"/>
        <v>0</v>
      </c>
      <c r="D132" s="868">
        <f t="shared" si="6"/>
        <v>3500</v>
      </c>
      <c r="E132" s="869">
        <f t="shared" si="0"/>
        <v>0</v>
      </c>
      <c r="F132" s="837">
        <f t="shared" si="1"/>
        <v>0</v>
      </c>
      <c r="G132" s="869">
        <f t="shared" si="7"/>
        <v>0</v>
      </c>
      <c r="H132" s="837">
        <f t="shared" si="8"/>
        <v>3500</v>
      </c>
      <c r="I132" s="870">
        <f t="shared" si="2"/>
        <v>7000</v>
      </c>
    </row>
    <row r="133" spans="1:9" x14ac:dyDescent="0.25">
      <c r="A133" s="850">
        <f t="shared" si="3"/>
        <v>90</v>
      </c>
      <c r="B133" s="851">
        <f t="shared" si="4"/>
        <v>85</v>
      </c>
      <c r="C133" s="869">
        <f t="shared" si="5"/>
        <v>0</v>
      </c>
      <c r="D133" s="868">
        <f t="shared" si="6"/>
        <v>3500</v>
      </c>
      <c r="E133" s="869">
        <f t="shared" si="0"/>
        <v>0</v>
      </c>
      <c r="F133" s="837">
        <f t="shared" si="1"/>
        <v>0</v>
      </c>
      <c r="G133" s="869">
        <f t="shared" si="7"/>
        <v>0</v>
      </c>
      <c r="H133" s="837">
        <f t="shared" si="8"/>
        <v>3500</v>
      </c>
      <c r="I133" s="870">
        <f t="shared" si="2"/>
        <v>7000</v>
      </c>
    </row>
    <row r="134" spans="1:9" x14ac:dyDescent="0.25">
      <c r="A134" s="850">
        <f t="shared" si="3"/>
        <v>91</v>
      </c>
      <c r="B134" s="851">
        <f t="shared" si="4"/>
        <v>86</v>
      </c>
      <c r="C134" s="869">
        <f t="shared" si="5"/>
        <v>0</v>
      </c>
      <c r="D134" s="868">
        <f t="shared" si="6"/>
        <v>3500</v>
      </c>
      <c r="E134" s="869">
        <f t="shared" si="0"/>
        <v>0</v>
      </c>
      <c r="F134" s="837">
        <f t="shared" si="1"/>
        <v>0</v>
      </c>
      <c r="G134" s="869">
        <f t="shared" si="7"/>
        <v>0</v>
      </c>
      <c r="H134" s="837">
        <f t="shared" si="8"/>
        <v>3500</v>
      </c>
      <c r="I134" s="870">
        <f t="shared" si="2"/>
        <v>7000</v>
      </c>
    </row>
    <row r="135" spans="1:9" x14ac:dyDescent="0.25">
      <c r="A135" s="850">
        <f t="shared" si="3"/>
        <v>92</v>
      </c>
      <c r="B135" s="851">
        <f t="shared" si="4"/>
        <v>87</v>
      </c>
      <c r="C135" s="869">
        <f t="shared" si="5"/>
        <v>0</v>
      </c>
      <c r="D135" s="868">
        <f t="shared" si="6"/>
        <v>3500</v>
      </c>
      <c r="E135" s="869">
        <f t="shared" si="0"/>
        <v>0</v>
      </c>
      <c r="F135" s="837">
        <f t="shared" si="1"/>
        <v>0</v>
      </c>
      <c r="G135" s="869">
        <f t="shared" si="7"/>
        <v>0</v>
      </c>
      <c r="H135" s="837">
        <f t="shared" si="8"/>
        <v>3500</v>
      </c>
      <c r="I135" s="870">
        <f t="shared" si="2"/>
        <v>7000</v>
      </c>
    </row>
    <row r="136" spans="1:9" x14ac:dyDescent="0.25">
      <c r="A136" s="850">
        <f t="shared" si="3"/>
        <v>93</v>
      </c>
      <c r="B136" s="851">
        <f t="shared" si="4"/>
        <v>88</v>
      </c>
      <c r="C136" s="869">
        <f t="shared" si="5"/>
        <v>0</v>
      </c>
      <c r="D136" s="868">
        <f t="shared" si="6"/>
        <v>0</v>
      </c>
      <c r="E136" s="869">
        <f t="shared" si="0"/>
        <v>0</v>
      </c>
      <c r="F136" s="837">
        <f t="shared" si="1"/>
        <v>0</v>
      </c>
      <c r="G136" s="869">
        <f t="shared" si="7"/>
        <v>0</v>
      </c>
      <c r="H136" s="837">
        <f t="shared" si="8"/>
        <v>0</v>
      </c>
      <c r="I136" s="870">
        <f t="shared" si="2"/>
        <v>0</v>
      </c>
    </row>
    <row r="137" spans="1:9" x14ac:dyDescent="0.25">
      <c r="A137" s="850">
        <f t="shared" si="3"/>
        <v>94</v>
      </c>
      <c r="B137" s="851">
        <f t="shared" si="4"/>
        <v>89</v>
      </c>
      <c r="C137" s="869">
        <f t="shared" si="5"/>
        <v>0</v>
      </c>
      <c r="D137" s="868">
        <f t="shared" si="6"/>
        <v>0</v>
      </c>
      <c r="E137" s="869">
        <f t="shared" si="0"/>
        <v>0</v>
      </c>
      <c r="F137" s="837">
        <f t="shared" si="1"/>
        <v>0</v>
      </c>
      <c r="G137" s="869">
        <f t="shared" si="7"/>
        <v>0</v>
      </c>
      <c r="H137" s="837">
        <f t="shared" si="8"/>
        <v>0</v>
      </c>
      <c r="I137" s="870">
        <f t="shared" si="2"/>
        <v>0</v>
      </c>
    </row>
    <row r="138" spans="1:9" x14ac:dyDescent="0.25">
      <c r="A138" s="850">
        <f t="shared" si="3"/>
        <v>95</v>
      </c>
      <c r="B138" s="851">
        <f t="shared" si="4"/>
        <v>90</v>
      </c>
      <c r="C138" s="869">
        <f t="shared" si="5"/>
        <v>0</v>
      </c>
      <c r="D138" s="868">
        <f t="shared" si="6"/>
        <v>0</v>
      </c>
      <c r="E138" s="869">
        <f t="shared" si="0"/>
        <v>0</v>
      </c>
      <c r="F138" s="837">
        <f t="shared" si="1"/>
        <v>0</v>
      </c>
      <c r="G138" s="869">
        <f t="shared" si="7"/>
        <v>0</v>
      </c>
      <c r="H138" s="837">
        <f t="shared" si="8"/>
        <v>0</v>
      </c>
      <c r="I138" s="870">
        <f t="shared" si="2"/>
        <v>0</v>
      </c>
    </row>
    <row r="139" spans="1:9" ht="15.75" thickBot="1" x14ac:dyDescent="0.3">
      <c r="A139" s="852">
        <f t="shared" si="3"/>
        <v>96</v>
      </c>
      <c r="B139" s="853">
        <f t="shared" si="4"/>
        <v>91</v>
      </c>
      <c r="C139" s="878">
        <f t="shared" si="5"/>
        <v>0</v>
      </c>
      <c r="D139" s="877">
        <f t="shared" si="6"/>
        <v>0</v>
      </c>
      <c r="E139" s="878">
        <f t="shared" si="0"/>
        <v>0</v>
      </c>
      <c r="F139" s="843">
        <f t="shared" si="1"/>
        <v>0</v>
      </c>
      <c r="G139" s="878">
        <f t="shared" si="7"/>
        <v>0</v>
      </c>
      <c r="H139" s="877">
        <f t="shared" si="8"/>
        <v>0</v>
      </c>
      <c r="I139" s="879">
        <f t="shared" si="2"/>
        <v>0</v>
      </c>
    </row>
    <row r="140" spans="1:9" ht="15.75" thickTop="1" x14ac:dyDescent="0.25"/>
    <row r="141" spans="1:9" s="1382" customFormat="1" ht="15.75" x14ac:dyDescent="0.25">
      <c r="B141" s="1471" t="s">
        <v>1442</v>
      </c>
      <c r="G141" s="1383" t="s">
        <v>1122</v>
      </c>
    </row>
    <row r="142" spans="1:9" s="1384" customFormat="1" ht="16.5" thickBot="1" x14ac:dyDescent="0.3">
      <c r="A142" s="1382"/>
      <c r="B142" s="1379"/>
      <c r="C142" s="1382"/>
      <c r="D142" s="1382"/>
      <c r="E142" s="1382"/>
      <c r="F142" s="1382"/>
      <c r="G142" s="1379"/>
      <c r="H142" s="1382"/>
      <c r="I142" s="1382"/>
    </row>
    <row r="143" spans="1:9" ht="19.5" thickTop="1" x14ac:dyDescent="0.3">
      <c r="A143" s="960" t="s">
        <v>486</v>
      </c>
      <c r="B143" s="946"/>
      <c r="C143" s="946"/>
      <c r="D143" s="947"/>
      <c r="E143" s="947"/>
      <c r="F143" s="946"/>
      <c r="G143" s="946"/>
      <c r="H143" s="949"/>
    </row>
    <row r="144" spans="1:9" ht="15.75" x14ac:dyDescent="0.25">
      <c r="A144" s="964" t="s">
        <v>736</v>
      </c>
      <c r="B144" s="944"/>
      <c r="C144" s="944"/>
      <c r="D144" s="945"/>
      <c r="E144" s="945"/>
      <c r="F144" s="944"/>
      <c r="G144" s="944"/>
      <c r="H144" s="950"/>
    </row>
    <row r="145" spans="1:8" x14ac:dyDescent="0.25">
      <c r="A145" s="1054"/>
      <c r="B145" s="943" t="s">
        <v>326</v>
      </c>
      <c r="C145" s="945"/>
      <c r="D145" s="945"/>
      <c r="E145" s="945"/>
      <c r="F145" s="944"/>
      <c r="G145" s="944"/>
      <c r="H145" s="950"/>
    </row>
    <row r="146" spans="1:8" x14ac:dyDescent="0.25">
      <c r="A146" s="1054"/>
      <c r="B146" s="1356" t="s">
        <v>870</v>
      </c>
      <c r="C146" s="1357"/>
      <c r="D146" s="1357"/>
      <c r="E146" s="945"/>
      <c r="F146" s="944"/>
      <c r="G146" s="944"/>
      <c r="H146" s="950"/>
    </row>
    <row r="147" spans="1:8" x14ac:dyDescent="0.25">
      <c r="A147" s="1054"/>
      <c r="B147" s="942" t="s">
        <v>1103</v>
      </c>
      <c r="C147" s="945"/>
      <c r="D147" s="945"/>
      <c r="E147" s="945"/>
      <c r="F147" s="944"/>
      <c r="G147" s="944"/>
      <c r="H147" s="950"/>
    </row>
    <row r="148" spans="1:8" x14ac:dyDescent="0.25">
      <c r="A148" s="1054" t="s">
        <v>154</v>
      </c>
      <c r="B148" s="942" t="s">
        <v>1104</v>
      </c>
      <c r="C148" s="945"/>
      <c r="D148" s="945"/>
      <c r="E148" s="945"/>
      <c r="F148" s="944"/>
      <c r="G148" s="944"/>
      <c r="H148" s="950"/>
    </row>
    <row r="149" spans="1:8" x14ac:dyDescent="0.25">
      <c r="A149" s="1054"/>
      <c r="B149" s="942" t="s">
        <v>1105</v>
      </c>
      <c r="C149" s="945"/>
      <c r="D149" s="945"/>
      <c r="E149" s="945"/>
      <c r="F149" s="944"/>
      <c r="G149" s="944"/>
      <c r="H149" s="950"/>
    </row>
    <row r="150" spans="1:8" x14ac:dyDescent="0.25">
      <c r="A150" s="1890"/>
      <c r="B150" s="942" t="s">
        <v>1106</v>
      </c>
      <c r="C150" s="1019"/>
      <c r="D150" s="945"/>
      <c r="E150" s="945"/>
      <c r="F150" s="944"/>
      <c r="G150" s="944"/>
      <c r="H150" s="950"/>
    </row>
    <row r="151" spans="1:8" x14ac:dyDescent="0.25">
      <c r="A151" s="1890"/>
      <c r="B151" s="942" t="s">
        <v>1449</v>
      </c>
      <c r="C151" s="1019"/>
      <c r="D151" s="945"/>
      <c r="E151" s="945"/>
      <c r="F151" s="944"/>
      <c r="G151" s="944"/>
      <c r="H151" s="950"/>
    </row>
    <row r="152" spans="1:8" x14ac:dyDescent="0.25">
      <c r="A152" s="1890"/>
      <c r="B152" s="942" t="s">
        <v>1462</v>
      </c>
      <c r="C152" s="1019"/>
      <c r="D152" s="945"/>
      <c r="E152" s="945"/>
      <c r="F152" s="944"/>
      <c r="G152" s="944"/>
      <c r="H152" s="950"/>
    </row>
    <row r="153" spans="1:8" x14ac:dyDescent="0.25">
      <c r="A153" s="1890"/>
      <c r="B153" s="942" t="s">
        <v>1450</v>
      </c>
      <c r="C153" s="1019"/>
      <c r="D153" s="945"/>
      <c r="E153" s="945"/>
      <c r="F153" s="944"/>
      <c r="G153" s="944"/>
      <c r="H153" s="950"/>
    </row>
    <row r="154" spans="1:8" x14ac:dyDescent="0.25">
      <c r="A154" s="1890"/>
      <c r="B154" s="942" t="s">
        <v>1107</v>
      </c>
      <c r="C154" s="1019"/>
      <c r="D154" s="945"/>
      <c r="E154" s="945"/>
      <c r="F154" s="944"/>
      <c r="G154" s="944"/>
      <c r="H154" s="950"/>
    </row>
    <row r="155" spans="1:8" x14ac:dyDescent="0.25">
      <c r="A155" s="1890"/>
      <c r="B155" s="943" t="s">
        <v>1108</v>
      </c>
      <c r="C155" s="1019"/>
      <c r="D155" s="945"/>
      <c r="E155" s="945"/>
      <c r="F155" s="944"/>
      <c r="G155" s="944"/>
      <c r="H155" s="950"/>
    </row>
    <row r="156" spans="1:8" x14ac:dyDescent="0.25">
      <c r="A156" s="1890"/>
      <c r="B156" s="943" t="s">
        <v>1100</v>
      </c>
      <c r="C156" s="1019"/>
      <c r="D156" s="945"/>
      <c r="E156" s="945"/>
      <c r="F156" s="944"/>
      <c r="G156" s="944"/>
      <c r="H156" s="950"/>
    </row>
    <row r="157" spans="1:8" x14ac:dyDescent="0.25">
      <c r="A157" s="1054"/>
      <c r="B157" s="943" t="s">
        <v>1099</v>
      </c>
      <c r="C157" s="945"/>
      <c r="D157" s="945"/>
      <c r="E157" s="945"/>
      <c r="F157" s="944"/>
      <c r="G157" s="944"/>
      <c r="H157" s="950"/>
    </row>
    <row r="158" spans="1:8" x14ac:dyDescent="0.25">
      <c r="A158" s="1054"/>
      <c r="B158" s="943" t="s">
        <v>1098</v>
      </c>
      <c r="C158" s="945"/>
      <c r="D158" s="945"/>
      <c r="E158" s="945"/>
      <c r="F158" s="944"/>
      <c r="G158" s="944"/>
      <c r="H158" s="950"/>
    </row>
    <row r="159" spans="1:8" x14ac:dyDescent="0.25">
      <c r="A159" s="1054"/>
      <c r="B159" s="942" t="s">
        <v>1097</v>
      </c>
      <c r="C159" s="945"/>
      <c r="D159" s="945"/>
      <c r="E159" s="945"/>
      <c r="F159" s="944"/>
      <c r="G159" s="944"/>
      <c r="H159" s="950"/>
    </row>
    <row r="160" spans="1:8" x14ac:dyDescent="0.25">
      <c r="A160" s="1054"/>
      <c r="B160" s="943" t="s">
        <v>1101</v>
      </c>
      <c r="C160" s="945"/>
      <c r="D160" s="945"/>
      <c r="E160" s="945"/>
      <c r="F160" s="944"/>
      <c r="G160" s="944"/>
      <c r="H160" s="950"/>
    </row>
    <row r="161" spans="1:8" x14ac:dyDescent="0.25">
      <c r="A161" s="1054"/>
      <c r="B161" s="943" t="s">
        <v>1102</v>
      </c>
      <c r="C161" s="945"/>
      <c r="D161" s="1019" t="s">
        <v>1762</v>
      </c>
      <c r="E161" s="945"/>
      <c r="F161" s="944"/>
      <c r="G161" s="944"/>
      <c r="H161" s="950"/>
    </row>
    <row r="162" spans="1:8" x14ac:dyDescent="0.25">
      <c r="A162" s="1083"/>
      <c r="B162" s="1081" t="s">
        <v>719</v>
      </c>
      <c r="C162" s="945"/>
      <c r="D162" s="1019" t="s">
        <v>1764</v>
      </c>
      <c r="E162" s="945"/>
      <c r="F162" s="944"/>
      <c r="G162" s="944"/>
      <c r="H162" s="950"/>
    </row>
    <row r="163" spans="1:8" x14ac:dyDescent="0.25">
      <c r="A163" s="1083"/>
      <c r="B163" s="1081" t="s">
        <v>720</v>
      </c>
      <c r="C163" s="945"/>
      <c r="D163" s="1019" t="s">
        <v>1289</v>
      </c>
      <c r="E163" s="945"/>
      <c r="F163" s="945"/>
      <c r="G163" s="945"/>
      <c r="H163" s="950"/>
    </row>
    <row r="164" spans="1:8" x14ac:dyDescent="0.25">
      <c r="A164" s="1083"/>
      <c r="B164" s="1081" t="s">
        <v>721</v>
      </c>
      <c r="C164" s="945"/>
      <c r="D164" s="945" t="s">
        <v>722</v>
      </c>
      <c r="E164" s="945"/>
      <c r="F164" s="945"/>
      <c r="G164" s="945"/>
      <c r="H164" s="950"/>
    </row>
    <row r="165" spans="1:8" x14ac:dyDescent="0.25">
      <c r="A165" s="1083"/>
      <c r="B165" s="1081" t="s">
        <v>725</v>
      </c>
      <c r="C165" s="945"/>
      <c r="D165" s="1019" t="s">
        <v>1763</v>
      </c>
      <c r="E165" s="945"/>
      <c r="F165" s="945"/>
      <c r="G165" s="945"/>
      <c r="H165" s="950"/>
    </row>
    <row r="166" spans="1:8" ht="15.75" thickBot="1" x14ac:dyDescent="0.3">
      <c r="A166" s="1088"/>
      <c r="B166" s="1089" t="s">
        <v>577</v>
      </c>
      <c r="C166" s="948"/>
      <c r="D166" s="1087" t="s">
        <v>578</v>
      </c>
      <c r="E166" s="948"/>
      <c r="F166" s="948"/>
      <c r="G166" s="948"/>
      <c r="H166" s="951"/>
    </row>
    <row r="167" spans="1:8" ht="15.75" thickTop="1" x14ac:dyDescent="0.25"/>
  </sheetData>
  <sheetProtection sheet="1" objects="1" scenarios="1"/>
  <phoneticPr fontId="0" type="noConversion"/>
  <dataValidations count="1">
    <dataValidation type="list" allowBlank="1" showInputMessage="1" showErrorMessage="1" sqref="F45 F81">
      <formula1>"Results!$b$13:$b$50"</formula1>
    </dataValidation>
  </dataValidations>
  <hyperlinks>
    <hyperlink ref="C66" r:id="rId1"/>
    <hyperlink ref="C65" r:id="rId2" location="en_US_2011_publink1000226762"/>
    <hyperlink ref="E28" r:id="rId3"/>
    <hyperlink ref="B1" location="'5. SocSecData'!A1" display="Previous worksheet (5. SocSecData)"/>
    <hyperlink ref="G1" location="'7. IRAdata'!A1" display="Next worksheet (7. IRAData)"/>
    <hyperlink ref="I12" location="'5. WorkData'!A1" display="Previous worksheet (5. WorkData)"/>
    <hyperlink ref="B141" location="'5. SocSecData'!A1" display="Previous worksheet (5. SocSecData)"/>
    <hyperlink ref="G141" location="'7. IRAdata'!A1" display="Next worksheet (7. IRAData)"/>
    <hyperlink ref="B148" location="'S. Setup'!A1" display="Setup"/>
    <hyperlink ref="B149" location="'1. AgeData'!A1" display="AgeData"/>
    <hyperlink ref="B150" location="'2. TaxData'!A1" display="TaxData"/>
    <hyperlink ref="B152" location="'4. PensionData'!A1" display="4. PensionData"/>
    <hyperlink ref="B153" location="'5. SocSecData'!A1" display="5. SocSecData"/>
    <hyperlink ref="B151" location="'3. WorkData'!A1" display="3. WorkData"/>
    <hyperlink ref="B154" location="'6. AnnuityData'!A1" display="AnnuityData"/>
    <hyperlink ref="B155" location="'7. IRAdata'!A1" display="IRAdata"/>
    <hyperlink ref="B156" location="'8. RothData'!A1" display="RothData"/>
    <hyperlink ref="B157" location="'9. SavingsData'!A1" display="SavingsData"/>
    <hyperlink ref="B147" location="'R. Results'!A1" display="Results"/>
    <hyperlink ref="B159" location="'11. CashData'!A1" display="CashData"/>
    <hyperlink ref="B158" location="'10. ExpensesData'!A1" display="ExpensesData"/>
    <hyperlink ref="B160" location="'12. RMDtable'!A1" display="RMDtable"/>
    <hyperlink ref="B145" location="Introduction!A1" display="Introduction"/>
    <hyperlink ref="B165" location="'Appendix D'!A1" display="Appendix D"/>
    <hyperlink ref="B162" location="'Appendix A'!A1" display="Appendix A"/>
    <hyperlink ref="B163" location="'Appendix B'!A1" display="Appendix B"/>
    <hyperlink ref="B164" location="'Appendix C'!A1" display="Appendix C"/>
    <hyperlink ref="B166" location="FAQ!A1" display="FAQ"/>
    <hyperlink ref="B146" location="Assumptions!A1" display="Assumptions"/>
    <hyperlink ref="B161" location="'RS. Resources'!A1" display="Resources"/>
  </hyperlinks>
  <printOptions headings="1" gridLines="1"/>
  <pageMargins left="0.7" right="0.7" top="0.75" bottom="0.75" header="0.3" footer="0.3"/>
  <pageSetup orientation="landscape" horizontalDpi="1200" verticalDpi="1200" r:id="rId4"/>
  <headerFooter alignWithMargins="0">
    <oddHeader>&amp;L&amp;F&amp;C   &amp;D &amp;T&amp;R&amp;A &amp;P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1:N942"/>
  <sheetViews>
    <sheetView zoomScaleNormal="100" workbookViewId="0">
      <selection activeCell="C75" sqref="C75"/>
    </sheetView>
  </sheetViews>
  <sheetFormatPr defaultRowHeight="15" x14ac:dyDescent="0.25"/>
  <cols>
    <col min="1" max="1" width="6.140625" customWidth="1"/>
    <col min="2" max="2" width="6.7109375" customWidth="1"/>
    <col min="3" max="3" width="9.85546875" customWidth="1"/>
    <col min="4" max="4" width="10" customWidth="1"/>
    <col min="5" max="5" width="9.42578125" customWidth="1"/>
    <col min="6" max="6" width="9.140625" customWidth="1"/>
    <col min="7" max="7" width="11.140625" customWidth="1"/>
    <col min="8" max="8" width="9" customWidth="1"/>
    <col min="9" max="9" width="8.28515625" customWidth="1"/>
    <col min="10" max="10" width="8.5703125" customWidth="1"/>
    <col min="11" max="11" width="8.140625" customWidth="1"/>
    <col min="12" max="12" width="10.5703125" customWidth="1"/>
    <col min="13" max="13" width="9.28515625" customWidth="1"/>
  </cols>
  <sheetData>
    <row r="1" spans="1:13" s="1382" customFormat="1" ht="15.75" x14ac:dyDescent="0.25">
      <c r="B1" s="1383" t="s">
        <v>1120</v>
      </c>
      <c r="G1" s="1383" t="s">
        <v>1121</v>
      </c>
    </row>
    <row r="2" spans="1:13" s="1382" customFormat="1" ht="15.75" x14ac:dyDescent="0.25">
      <c r="A2" s="1408"/>
      <c r="B2" s="1409"/>
      <c r="C2" s="1408"/>
      <c r="D2" s="1408"/>
      <c r="E2" s="1408"/>
      <c r="F2" s="1408"/>
      <c r="G2" s="1409"/>
      <c r="H2" s="1408"/>
      <c r="I2" s="1408"/>
      <c r="J2" s="1408"/>
      <c r="K2" s="1408"/>
      <c r="L2" s="1408"/>
      <c r="M2" s="1408"/>
    </row>
    <row r="4" spans="1:13" ht="18.75" x14ac:dyDescent="0.3">
      <c r="A4" s="144" t="s">
        <v>2994</v>
      </c>
      <c r="B4" s="6"/>
      <c r="C4" s="17"/>
      <c r="D4" s="25"/>
      <c r="E4" s="6"/>
      <c r="F4" s="6"/>
      <c r="G4" s="6"/>
      <c r="H4" s="6"/>
      <c r="I4" s="6"/>
      <c r="J4" s="6"/>
      <c r="K4" s="6"/>
    </row>
    <row r="5" spans="1:13" ht="18.75" x14ac:dyDescent="0.3">
      <c r="A5" s="144"/>
      <c r="B5" s="6"/>
      <c r="C5" s="17"/>
      <c r="D5" s="25"/>
      <c r="E5" s="6"/>
      <c r="F5" s="6"/>
      <c r="G5" s="6"/>
      <c r="H5" s="6"/>
      <c r="I5" s="6"/>
      <c r="J5" s="6"/>
      <c r="K5" s="6"/>
    </row>
    <row r="6" spans="1:13" ht="15.75" x14ac:dyDescent="0.25">
      <c r="A6" s="1582" t="s">
        <v>2989</v>
      </c>
      <c r="B6" s="6"/>
      <c r="C6" s="17"/>
      <c r="D6" s="25"/>
      <c r="E6" s="6"/>
      <c r="F6" s="6"/>
      <c r="G6" s="6"/>
      <c r="H6" s="6"/>
      <c r="I6" s="6"/>
      <c r="J6" s="6"/>
      <c r="K6" s="6"/>
    </row>
    <row r="7" spans="1:13" x14ac:dyDescent="0.25">
      <c r="A7" s="1296" t="s">
        <v>3493</v>
      </c>
      <c r="B7" s="6"/>
      <c r="C7" s="17"/>
      <c r="D7" s="25"/>
      <c r="E7" s="6"/>
      <c r="F7" s="6"/>
      <c r="G7" s="6"/>
      <c r="H7" s="6"/>
      <c r="I7" s="6"/>
      <c r="J7" s="6"/>
      <c r="K7" s="6"/>
    </row>
    <row r="8" spans="1:13" x14ac:dyDescent="0.25">
      <c r="A8" s="1503" t="s">
        <v>3321</v>
      </c>
      <c r="B8" s="6"/>
      <c r="C8" s="17"/>
      <c r="D8" s="25"/>
      <c r="E8" s="6"/>
      <c r="F8" s="6"/>
      <c r="G8" s="6"/>
      <c r="H8" s="6"/>
      <c r="I8" s="6"/>
      <c r="J8" s="6"/>
      <c r="K8" s="6"/>
    </row>
    <row r="9" spans="1:13" x14ac:dyDescent="0.25">
      <c r="A9" s="1503" t="s">
        <v>3357</v>
      </c>
      <c r="B9" s="6"/>
      <c r="C9" s="17"/>
      <c r="D9" s="25"/>
      <c r="E9" s="6"/>
      <c r="F9" s="6"/>
      <c r="G9" s="6"/>
      <c r="H9" s="6"/>
      <c r="I9" s="6"/>
      <c r="J9" s="6"/>
      <c r="K9" s="6"/>
    </row>
    <row r="10" spans="1:13" x14ac:dyDescent="0.25">
      <c r="A10" s="1503" t="s">
        <v>3358</v>
      </c>
      <c r="B10" s="6"/>
      <c r="C10" s="17"/>
      <c r="D10" s="25"/>
      <c r="E10" s="6"/>
      <c r="F10" s="6"/>
      <c r="G10" s="6"/>
      <c r="H10" s="6"/>
      <c r="I10" s="6"/>
      <c r="J10" s="6"/>
      <c r="K10" s="6"/>
    </row>
    <row r="11" spans="1:13" x14ac:dyDescent="0.25">
      <c r="A11" s="1503" t="s">
        <v>3359</v>
      </c>
      <c r="B11" s="6"/>
      <c r="C11" s="17"/>
      <c r="D11" s="25"/>
      <c r="E11" s="6"/>
      <c r="F11" s="6"/>
      <c r="G11" s="6"/>
      <c r="H11" s="6"/>
      <c r="I11" s="6"/>
      <c r="J11" s="6"/>
      <c r="K11" s="6"/>
    </row>
    <row r="12" spans="1:13" x14ac:dyDescent="0.25">
      <c r="A12" s="1503" t="s">
        <v>3356</v>
      </c>
      <c r="B12" s="6"/>
      <c r="C12" s="17"/>
      <c r="D12" s="25"/>
      <c r="E12" s="6"/>
      <c r="F12" s="6"/>
      <c r="G12" s="6"/>
      <c r="H12" s="6"/>
      <c r="I12" s="6"/>
      <c r="J12" s="6"/>
      <c r="K12" s="6"/>
    </row>
    <row r="13" spans="1:13" ht="15.75" thickBot="1" x14ac:dyDescent="0.3">
      <c r="A13" s="1503"/>
      <c r="B13" s="6"/>
      <c r="C13" s="17"/>
      <c r="D13" s="25"/>
      <c r="E13" s="6"/>
      <c r="F13" s="6"/>
      <c r="G13" s="6"/>
      <c r="H13" s="6"/>
      <c r="I13" s="6"/>
      <c r="J13" s="6"/>
      <c r="K13" s="6"/>
    </row>
    <row r="14" spans="1:13" ht="19.5" thickBot="1" x14ac:dyDescent="0.35">
      <c r="A14" s="94"/>
      <c r="B14" s="2638" t="str">
        <f>IF('S. Setup'!$K$39="used","You MUST edit this worksheet","You DO NOT HAVE TO edit this worksheet")</f>
        <v>You MUST edit this worksheet</v>
      </c>
      <c r="C14" s="628"/>
      <c r="D14" s="628"/>
      <c r="E14" s="628"/>
      <c r="F14" s="628"/>
      <c r="G14" s="629"/>
      <c r="H14" s="628"/>
      <c r="I14" s="3066" t="str">
        <f>'S. Setup'!$K$39</f>
        <v>used</v>
      </c>
      <c r="J14" s="3068"/>
      <c r="K14" s="33"/>
      <c r="L14" s="6"/>
      <c r="M14" s="33"/>
    </row>
    <row r="15" spans="1:13" ht="19.5" thickBot="1" x14ac:dyDescent="0.35">
      <c r="A15" s="94"/>
      <c r="B15" s="2362" t="s">
        <v>2096</v>
      </c>
      <c r="C15" s="2363"/>
      <c r="D15" s="2364"/>
      <c r="E15" s="2364"/>
      <c r="F15" s="2364"/>
      <c r="G15" s="2365"/>
      <c r="H15" s="2365"/>
      <c r="I15" s="3067" t="str">
        <f>'S. Setup'!$J$78</f>
        <v>yes</v>
      </c>
      <c r="J15" s="3069"/>
      <c r="K15" s="33"/>
      <c r="M15" s="33"/>
    </row>
    <row r="16" spans="1:13" ht="19.5" thickBot="1" x14ac:dyDescent="0.35">
      <c r="A16" s="94"/>
      <c r="B16" s="2362" t="s">
        <v>2223</v>
      </c>
      <c r="C16" s="2363"/>
      <c r="D16" s="2364"/>
      <c r="E16" s="2364"/>
      <c r="F16" s="2364"/>
      <c r="G16" s="2365"/>
      <c r="H16" s="2365"/>
      <c r="I16" s="3067" t="str">
        <f>'S. Setup'!$J$57</f>
        <v>yes</v>
      </c>
      <c r="J16" s="635"/>
      <c r="K16" s="33"/>
      <c r="M16" s="33"/>
    </row>
    <row r="17" spans="1:12" ht="15.75" x14ac:dyDescent="0.25">
      <c r="B17" s="1097" t="s">
        <v>60</v>
      </c>
      <c r="C17" s="1097"/>
      <c r="D17" s="1097"/>
      <c r="E17" s="1097"/>
      <c r="F17" s="1097"/>
      <c r="G17" s="1097"/>
      <c r="H17" s="1097"/>
      <c r="I17" s="1473" t="s">
        <v>1104</v>
      </c>
    </row>
    <row r="18" spans="1:12" ht="15.75" thickBot="1" x14ac:dyDescent="0.3">
      <c r="B18" s="1097"/>
      <c r="C18" s="1097"/>
      <c r="D18" s="1097"/>
      <c r="E18" s="1097"/>
      <c r="F18" s="1097"/>
      <c r="G18" s="1097"/>
      <c r="H18" s="1097"/>
      <c r="I18" s="1098"/>
    </row>
    <row r="19" spans="1:12" ht="18.75" x14ac:dyDescent="0.3">
      <c r="A19" s="699" t="s">
        <v>253</v>
      </c>
      <c r="B19" s="700"/>
      <c r="C19" s="701"/>
      <c r="D19" s="702"/>
      <c r="E19" s="701"/>
      <c r="F19" s="701"/>
      <c r="G19" s="701"/>
      <c r="H19" s="701"/>
      <c r="I19" s="701"/>
      <c r="J19" s="703"/>
      <c r="K19" s="703"/>
      <c r="L19" s="704"/>
    </row>
    <row r="20" spans="1:12" x14ac:dyDescent="0.25">
      <c r="A20" s="705" t="s">
        <v>747</v>
      </c>
      <c r="B20" s="17"/>
      <c r="C20" s="6"/>
      <c r="D20" s="25"/>
      <c r="E20" s="6"/>
      <c r="F20" s="6"/>
      <c r="G20" s="6"/>
      <c r="H20" s="6"/>
      <c r="I20" s="6"/>
      <c r="J20" s="210"/>
      <c r="K20" s="210"/>
      <c r="L20" s="706"/>
    </row>
    <row r="21" spans="1:12" x14ac:dyDescent="0.25">
      <c r="A21" s="705" t="s">
        <v>2099</v>
      </c>
      <c r="B21" s="17"/>
      <c r="C21" s="6"/>
      <c r="D21" s="25"/>
      <c r="E21" s="6"/>
      <c r="F21" s="6"/>
      <c r="G21" s="6"/>
      <c r="H21" s="6"/>
      <c r="I21" s="6"/>
      <c r="J21" s="210"/>
      <c r="K21" s="210"/>
      <c r="L21" s="706"/>
    </row>
    <row r="22" spans="1:12" x14ac:dyDescent="0.25">
      <c r="A22" s="705" t="s">
        <v>2841</v>
      </c>
      <c r="B22" s="17"/>
      <c r="C22" s="6"/>
      <c r="D22" s="25"/>
      <c r="E22" s="6"/>
      <c r="F22" s="6"/>
      <c r="G22" s="6"/>
      <c r="H22" s="6"/>
      <c r="I22" s="6"/>
      <c r="J22" s="210"/>
      <c r="K22" s="210"/>
      <c r="L22" s="706"/>
    </row>
    <row r="23" spans="1:12" x14ac:dyDescent="0.25">
      <c r="A23" s="705" t="s">
        <v>2842</v>
      </c>
      <c r="B23" s="17"/>
      <c r="C23" s="6"/>
      <c r="D23" s="25"/>
      <c r="E23" s="6"/>
      <c r="F23" s="6"/>
      <c r="G23" s="6"/>
      <c r="H23" s="6"/>
      <c r="I23" s="6"/>
      <c r="J23" s="210"/>
      <c r="K23" s="210"/>
      <c r="L23" s="706"/>
    </row>
    <row r="24" spans="1:12" x14ac:dyDescent="0.25">
      <c r="A24" s="705" t="s">
        <v>2527</v>
      </c>
      <c r="B24" s="17"/>
      <c r="C24" s="6"/>
      <c r="D24" s="25"/>
      <c r="E24" s="6"/>
      <c r="F24" s="6"/>
      <c r="G24" s="6"/>
      <c r="H24" s="6"/>
      <c r="I24" s="6"/>
      <c r="J24" s="210"/>
      <c r="K24" s="210"/>
      <c r="L24" s="706"/>
    </row>
    <row r="25" spans="1:12" x14ac:dyDescent="0.25">
      <c r="A25" s="705" t="s">
        <v>2100</v>
      </c>
      <c r="B25" s="17"/>
      <c r="C25" s="6"/>
      <c r="D25" s="25"/>
      <c r="E25" s="6"/>
      <c r="F25" s="6"/>
      <c r="G25" s="6"/>
      <c r="H25" s="6"/>
      <c r="I25" s="6"/>
      <c r="J25" s="210"/>
      <c r="K25" s="210"/>
      <c r="L25" s="706"/>
    </row>
    <row r="26" spans="1:12" x14ac:dyDescent="0.25">
      <c r="A26" s="705" t="s">
        <v>2843</v>
      </c>
      <c r="B26" s="17"/>
      <c r="C26" s="6"/>
      <c r="D26" s="25"/>
      <c r="E26" s="6"/>
      <c r="F26" s="6"/>
      <c r="G26" s="6"/>
      <c r="H26" s="6"/>
      <c r="I26" s="6"/>
      <c r="J26" s="210"/>
      <c r="K26" s="210"/>
      <c r="L26" s="706"/>
    </row>
    <row r="27" spans="1:12" x14ac:dyDescent="0.25">
      <c r="A27" s="705" t="s">
        <v>2534</v>
      </c>
      <c r="B27" s="17"/>
      <c r="C27" s="6"/>
      <c r="D27" s="25"/>
      <c r="E27" s="6"/>
      <c r="F27" s="6"/>
      <c r="G27" s="6"/>
      <c r="H27" s="6"/>
      <c r="I27" s="6"/>
      <c r="J27" s="210"/>
      <c r="K27" s="210"/>
      <c r="L27" s="706"/>
    </row>
    <row r="28" spans="1:12" x14ac:dyDescent="0.25">
      <c r="A28" s="705" t="s">
        <v>2844</v>
      </c>
      <c r="B28" s="17"/>
      <c r="C28" s="6"/>
      <c r="D28" s="25"/>
      <c r="E28" s="6"/>
      <c r="F28" s="6"/>
      <c r="G28" s="6"/>
      <c r="H28" s="6"/>
      <c r="I28" s="6"/>
      <c r="J28" s="210"/>
      <c r="K28" s="210"/>
      <c r="L28" s="706"/>
    </row>
    <row r="29" spans="1:12" x14ac:dyDescent="0.25">
      <c r="A29" s="705" t="s">
        <v>2226</v>
      </c>
      <c r="B29" s="695"/>
      <c r="C29" s="6"/>
      <c r="D29" s="695"/>
      <c r="E29" s="695"/>
      <c r="F29" s="694"/>
      <c r="G29" s="6"/>
      <c r="H29" s="6"/>
      <c r="I29" s="6"/>
      <c r="K29" s="210"/>
      <c r="L29" s="706"/>
    </row>
    <row r="30" spans="1:12" x14ac:dyDescent="0.25">
      <c r="A30" s="705" t="s">
        <v>2227</v>
      </c>
      <c r="B30" s="695"/>
      <c r="C30" s="6"/>
      <c r="D30" s="695"/>
      <c r="E30" s="695"/>
      <c r="F30" s="694"/>
      <c r="G30" s="6"/>
      <c r="H30" s="6"/>
      <c r="I30" s="6"/>
      <c r="J30" s="210"/>
      <c r="K30" s="210"/>
      <c r="L30" s="706"/>
    </row>
    <row r="31" spans="1:12" x14ac:dyDescent="0.25">
      <c r="A31" s="705" t="s">
        <v>2228</v>
      </c>
      <c r="B31" s="696"/>
      <c r="C31" s="6"/>
      <c r="D31" s="697"/>
      <c r="E31" s="694"/>
      <c r="F31" s="694"/>
      <c r="G31" s="6"/>
      <c r="H31" s="6"/>
      <c r="I31" s="6"/>
      <c r="J31" s="210"/>
      <c r="K31" s="210"/>
      <c r="L31" s="706"/>
    </row>
    <row r="32" spans="1:12" x14ac:dyDescent="0.25">
      <c r="A32" s="705" t="s">
        <v>2845</v>
      </c>
      <c r="B32" s="696"/>
      <c r="C32" s="6"/>
      <c r="D32" s="697"/>
      <c r="E32" s="694"/>
      <c r="F32" s="694"/>
      <c r="G32" s="6"/>
      <c r="H32" s="6"/>
      <c r="I32" s="6"/>
      <c r="J32" s="210"/>
      <c r="K32" s="210"/>
      <c r="L32" s="706"/>
    </row>
    <row r="33" spans="1:12" x14ac:dyDescent="0.25">
      <c r="A33" s="705" t="s">
        <v>2230</v>
      </c>
      <c r="B33" s="696"/>
      <c r="C33" s="6"/>
      <c r="D33" s="697"/>
      <c r="E33" s="694"/>
      <c r="F33" s="694"/>
      <c r="G33" s="6"/>
      <c r="H33" s="6"/>
      <c r="I33" s="6"/>
      <c r="J33" s="210"/>
      <c r="K33" s="210"/>
      <c r="L33" s="706"/>
    </row>
    <row r="34" spans="1:12" x14ac:dyDescent="0.25">
      <c r="A34" s="705" t="s">
        <v>2231</v>
      </c>
      <c r="B34" s="696"/>
      <c r="C34" s="6"/>
      <c r="D34" s="697"/>
      <c r="E34" s="694"/>
      <c r="F34" s="694"/>
      <c r="G34" s="6"/>
      <c r="H34" s="6"/>
      <c r="I34" s="6"/>
      <c r="J34" s="210"/>
      <c r="K34" s="210"/>
      <c r="L34" s="706"/>
    </row>
    <row r="35" spans="1:12" x14ac:dyDescent="0.25">
      <c r="A35" s="705" t="s">
        <v>2232</v>
      </c>
      <c r="B35" s="696"/>
      <c r="C35" s="6"/>
      <c r="D35" s="697"/>
      <c r="E35" s="694"/>
      <c r="F35" s="694"/>
      <c r="G35" s="6"/>
      <c r="H35" s="6"/>
      <c r="I35" s="6"/>
      <c r="J35" s="210"/>
      <c r="K35" s="210"/>
      <c r="L35" s="706"/>
    </row>
    <row r="36" spans="1:12" x14ac:dyDescent="0.25">
      <c r="A36" s="705" t="s">
        <v>2233</v>
      </c>
      <c r="B36" s="696"/>
      <c r="C36" s="6"/>
      <c r="D36" s="697"/>
      <c r="E36" s="694"/>
      <c r="F36" s="694"/>
      <c r="G36" s="6"/>
      <c r="H36" s="6"/>
      <c r="I36" s="6"/>
      <c r="J36" s="210"/>
      <c r="K36" s="210"/>
      <c r="L36" s="706"/>
    </row>
    <row r="37" spans="1:12" x14ac:dyDescent="0.25">
      <c r="A37" s="705" t="s">
        <v>2234</v>
      </c>
      <c r="B37" s="696"/>
      <c r="C37" s="6"/>
      <c r="D37" s="697"/>
      <c r="E37" s="694"/>
      <c r="F37" s="694"/>
      <c r="G37" s="6"/>
      <c r="H37" s="6"/>
      <c r="I37" s="6"/>
      <c r="J37" s="210"/>
      <c r="K37" s="210"/>
      <c r="L37" s="706"/>
    </row>
    <row r="38" spans="1:12" x14ac:dyDescent="0.25">
      <c r="A38" s="705" t="s">
        <v>2235</v>
      </c>
      <c r="B38" s="6"/>
      <c r="C38" s="6"/>
      <c r="D38" s="697"/>
      <c r="E38" s="694"/>
      <c r="F38" s="694"/>
      <c r="G38" s="6"/>
      <c r="H38" s="6"/>
      <c r="I38" s="6"/>
      <c r="J38" s="210"/>
      <c r="K38" s="210"/>
      <c r="L38" s="706"/>
    </row>
    <row r="39" spans="1:12" x14ac:dyDescent="0.25">
      <c r="A39" s="705" t="s">
        <v>2236</v>
      </c>
      <c r="B39" s="6"/>
      <c r="C39" s="6"/>
      <c r="D39" s="697"/>
      <c r="E39" s="694"/>
      <c r="F39" s="694"/>
      <c r="G39" s="6"/>
      <c r="H39" s="6"/>
      <c r="I39" s="6"/>
      <c r="J39" s="210"/>
      <c r="K39" s="210"/>
      <c r="L39" s="706"/>
    </row>
    <row r="40" spans="1:12" x14ac:dyDescent="0.25">
      <c r="A40" s="705" t="s">
        <v>2237</v>
      </c>
      <c r="B40" s="6"/>
      <c r="C40" s="6"/>
      <c r="D40" s="697"/>
      <c r="E40" s="694"/>
      <c r="F40" s="694"/>
      <c r="G40" s="6"/>
      <c r="H40" s="6"/>
      <c r="I40" s="6"/>
      <c r="J40" s="210"/>
      <c r="K40" s="210"/>
      <c r="L40" s="706"/>
    </row>
    <row r="41" spans="1:12" ht="15.75" thickBot="1" x14ac:dyDescent="0.3">
      <c r="A41" s="2654" t="s">
        <v>2238</v>
      </c>
      <c r="B41" s="707"/>
      <c r="C41" s="707"/>
      <c r="D41" s="710"/>
      <c r="E41" s="711"/>
      <c r="F41" s="711"/>
      <c r="G41" s="707"/>
      <c r="H41" s="707"/>
      <c r="I41" s="707"/>
      <c r="J41" s="708"/>
      <c r="K41" s="708"/>
      <c r="L41" s="709"/>
    </row>
    <row r="42" spans="1:12" x14ac:dyDescent="0.25">
      <c r="A42" s="698"/>
      <c r="B42" s="696"/>
      <c r="C42" s="6"/>
      <c r="D42" s="697"/>
      <c r="E42" s="694"/>
      <c r="F42" s="694"/>
      <c r="G42" s="6"/>
      <c r="H42" s="6"/>
      <c r="I42" s="6"/>
      <c r="J42" s="210"/>
      <c r="K42" s="210"/>
      <c r="L42" s="210"/>
    </row>
    <row r="43" spans="1:12" x14ac:dyDescent="0.25">
      <c r="A43" s="3592" t="s">
        <v>3322</v>
      </c>
      <c r="B43" s="6"/>
      <c r="C43" s="17"/>
      <c r="D43" s="25"/>
      <c r="E43" s="6"/>
      <c r="F43" s="6"/>
      <c r="G43" s="6"/>
      <c r="H43" s="6"/>
      <c r="I43" s="6"/>
      <c r="J43" s="6"/>
      <c r="K43" s="6"/>
    </row>
    <row r="44" spans="1:12" x14ac:dyDescent="0.25">
      <c r="A44" s="1503" t="s">
        <v>3324</v>
      </c>
      <c r="B44" s="6"/>
      <c r="C44" s="17"/>
      <c r="D44" s="25"/>
      <c r="E44" s="6"/>
      <c r="F44" s="6"/>
      <c r="G44" s="6"/>
      <c r="H44" s="6"/>
      <c r="I44" s="6"/>
      <c r="J44" s="6"/>
      <c r="K44" s="6"/>
    </row>
    <row r="45" spans="1:12" x14ac:dyDescent="0.25">
      <c r="A45" s="1503" t="s">
        <v>3323</v>
      </c>
      <c r="B45" s="6"/>
      <c r="C45" s="17"/>
      <c r="D45" s="25"/>
      <c r="E45" s="6"/>
      <c r="F45" s="6"/>
      <c r="G45" s="6"/>
      <c r="H45" s="6"/>
      <c r="I45" s="6"/>
      <c r="J45" s="6"/>
      <c r="K45" s="6"/>
    </row>
    <row r="46" spans="1:12" x14ac:dyDescent="0.25">
      <c r="A46" s="1503"/>
      <c r="B46" s="6" t="s">
        <v>2536</v>
      </c>
      <c r="C46" s="17"/>
      <c r="D46" s="25"/>
      <c r="E46" s="6"/>
      <c r="F46" s="6"/>
      <c r="G46" s="6"/>
      <c r="H46" s="6"/>
      <c r="I46" s="6"/>
      <c r="J46" s="6"/>
      <c r="K46" s="6"/>
    </row>
    <row r="47" spans="1:12" x14ac:dyDescent="0.25">
      <c r="A47" s="1503"/>
      <c r="B47" s="6" t="s">
        <v>2537</v>
      </c>
      <c r="C47" s="17"/>
      <c r="D47" s="25"/>
      <c r="E47" s="6"/>
      <c r="F47" s="6"/>
      <c r="G47" s="6"/>
      <c r="H47" s="6"/>
      <c r="I47" s="6"/>
      <c r="J47" s="6"/>
      <c r="K47" s="6"/>
    </row>
    <row r="48" spans="1:12" x14ac:dyDescent="0.25">
      <c r="A48" s="1503"/>
      <c r="B48" s="6" t="s">
        <v>2538</v>
      </c>
      <c r="C48" s="17"/>
      <c r="D48" s="25"/>
      <c r="E48" s="6"/>
      <c r="F48" s="6"/>
      <c r="G48" s="6"/>
      <c r="H48" s="6"/>
      <c r="I48" s="6"/>
      <c r="J48" s="6"/>
      <c r="K48" s="6"/>
    </row>
    <row r="49" spans="1:13" x14ac:dyDescent="0.25">
      <c r="A49" s="1503"/>
      <c r="B49" s="6" t="s">
        <v>2539</v>
      </c>
      <c r="C49" s="17"/>
      <c r="D49" s="25"/>
      <c r="E49" s="6"/>
      <c r="F49" s="6"/>
      <c r="G49" s="6"/>
      <c r="H49" s="6"/>
      <c r="I49" s="6"/>
      <c r="J49" s="6"/>
      <c r="K49" s="6"/>
    </row>
    <row r="50" spans="1:13" x14ac:dyDescent="0.25">
      <c r="A50" s="1503" t="s">
        <v>3325</v>
      </c>
      <c r="B50" s="6"/>
      <c r="C50" s="17"/>
      <c r="D50" s="25"/>
      <c r="E50" s="6"/>
      <c r="F50" s="6"/>
      <c r="G50" s="6"/>
      <c r="H50" s="6"/>
      <c r="I50" s="6"/>
      <c r="J50" s="6"/>
      <c r="K50" s="6"/>
    </row>
    <row r="51" spans="1:13" x14ac:dyDescent="0.25">
      <c r="A51" s="1503"/>
      <c r="B51" s="6"/>
      <c r="C51" s="17"/>
      <c r="D51" s="25"/>
      <c r="E51" s="6"/>
      <c r="F51" s="6"/>
      <c r="G51" s="6"/>
      <c r="H51" s="6"/>
      <c r="I51" s="6"/>
      <c r="J51" s="6"/>
      <c r="K51" s="6"/>
    </row>
    <row r="52" spans="1:13" x14ac:dyDescent="0.25">
      <c r="A52" s="2739" t="s">
        <v>2289</v>
      </c>
      <c r="B52" s="6"/>
      <c r="C52" s="17"/>
      <c r="D52" s="25"/>
      <c r="E52" s="6"/>
      <c r="F52" s="6"/>
      <c r="G52" s="6"/>
      <c r="H52" s="6"/>
      <c r="I52" s="6"/>
      <c r="J52" s="6"/>
      <c r="K52" s="6"/>
    </row>
    <row r="53" spans="1:13" x14ac:dyDescent="0.25">
      <c r="A53" s="3631" t="s">
        <v>2851</v>
      </c>
      <c r="B53" s="3632"/>
      <c r="C53" s="3633"/>
      <c r="D53" s="3634"/>
      <c r="E53" s="3632"/>
      <c r="F53" s="3632"/>
      <c r="G53" s="3632"/>
      <c r="H53" s="3632"/>
      <c r="I53" s="3632"/>
      <c r="J53" s="3632"/>
      <c r="K53" s="3632"/>
      <c r="L53" s="3631"/>
      <c r="M53" s="3631"/>
    </row>
    <row r="54" spans="1:13" x14ac:dyDescent="0.25">
      <c r="A54" s="3631" t="s">
        <v>2852</v>
      </c>
      <c r="B54" s="3632"/>
      <c r="C54" s="3633"/>
      <c r="D54" s="3634"/>
      <c r="E54" s="3632"/>
      <c r="F54" s="3632"/>
      <c r="G54" s="3632"/>
      <c r="H54" s="3632"/>
      <c r="I54" s="3632"/>
      <c r="J54" s="3632"/>
      <c r="K54" s="3631"/>
      <c r="L54" s="3631"/>
      <c r="M54" s="3631"/>
    </row>
    <row r="55" spans="1:13" x14ac:dyDescent="0.25">
      <c r="A55" s="1296"/>
      <c r="B55" s="6"/>
      <c r="C55" s="17"/>
      <c r="D55" s="25"/>
      <c r="E55" s="6"/>
      <c r="F55" s="6"/>
      <c r="G55" s="6"/>
      <c r="H55" s="6"/>
      <c r="I55" s="6"/>
      <c r="J55" s="6"/>
      <c r="K55" s="6"/>
    </row>
    <row r="56" spans="1:13" x14ac:dyDescent="0.25">
      <c r="A56" s="1503" t="s">
        <v>3326</v>
      </c>
      <c r="B56" s="6"/>
      <c r="C56" s="17"/>
      <c r="D56" s="25"/>
      <c r="E56" s="6"/>
      <c r="F56" s="6"/>
      <c r="G56" s="6"/>
      <c r="H56" s="6"/>
      <c r="I56" s="6"/>
      <c r="J56" s="6"/>
      <c r="K56" s="6"/>
    </row>
    <row r="57" spans="1:13" x14ac:dyDescent="0.25">
      <c r="A57" s="1296" t="s">
        <v>2284</v>
      </c>
      <c r="B57" s="6"/>
      <c r="C57" s="17"/>
      <c r="D57" s="25"/>
      <c r="E57" s="6"/>
      <c r="F57" s="6"/>
      <c r="G57" s="6"/>
      <c r="H57" s="6"/>
      <c r="I57" s="6"/>
      <c r="J57" s="209"/>
      <c r="K57" s="209"/>
    </row>
    <row r="58" spans="1:13" x14ac:dyDescent="0.25">
      <c r="A58" s="1351" t="s">
        <v>2285</v>
      </c>
      <c r="B58" s="6"/>
      <c r="C58" s="17"/>
      <c r="D58" s="25"/>
      <c r="E58" s="6"/>
      <c r="F58" s="6"/>
      <c r="G58" s="6"/>
      <c r="H58" s="6"/>
      <c r="I58" s="6"/>
      <c r="J58" s="209"/>
      <c r="K58" s="209"/>
    </row>
    <row r="59" spans="1:13" x14ac:dyDescent="0.25">
      <c r="A59" s="66" t="s">
        <v>3327</v>
      </c>
      <c r="B59" s="6"/>
      <c r="C59" s="17"/>
      <c r="D59" s="25"/>
      <c r="E59" s="6"/>
      <c r="F59" s="6"/>
      <c r="G59" s="6"/>
      <c r="H59" s="6"/>
      <c r="I59" s="6"/>
      <c r="J59" s="210"/>
      <c r="K59" s="210"/>
      <c r="L59" s="211"/>
    </row>
    <row r="60" spans="1:13" x14ac:dyDescent="0.25">
      <c r="A60" s="1351" t="s">
        <v>3411</v>
      </c>
      <c r="B60" s="6"/>
      <c r="C60" s="17"/>
      <c r="D60" s="25"/>
      <c r="E60" s="6"/>
      <c r="F60" s="6"/>
      <c r="G60" s="6"/>
      <c r="H60" s="6"/>
      <c r="I60" s="6"/>
      <c r="J60" s="210"/>
      <c r="K60" s="210"/>
      <c r="L60" s="211"/>
    </row>
    <row r="61" spans="1:13" x14ac:dyDescent="0.25">
      <c r="A61" s="1351" t="s">
        <v>3328</v>
      </c>
      <c r="B61" s="6"/>
      <c r="C61" s="17"/>
      <c r="D61" s="25"/>
      <c r="E61" s="6"/>
      <c r="F61" s="6"/>
      <c r="G61" s="6"/>
      <c r="H61" s="6"/>
      <c r="I61" s="6"/>
      <c r="J61" s="210"/>
      <c r="K61" s="210"/>
      <c r="L61" s="211"/>
    </row>
    <row r="62" spans="1:13" x14ac:dyDescent="0.25">
      <c r="A62" s="1296" t="s">
        <v>2286</v>
      </c>
      <c r="B62" s="6"/>
      <c r="C62" s="17"/>
      <c r="D62" s="25"/>
      <c r="E62" s="6"/>
      <c r="F62" s="6"/>
      <c r="G62" s="6"/>
      <c r="H62" s="6"/>
      <c r="I62" s="6"/>
      <c r="J62" s="210"/>
      <c r="K62" s="210"/>
      <c r="L62" s="211"/>
    </row>
    <row r="63" spans="1:13" x14ac:dyDescent="0.25">
      <c r="A63" s="1296" t="s">
        <v>2287</v>
      </c>
      <c r="B63" s="6"/>
      <c r="C63" s="17"/>
      <c r="D63" s="25"/>
      <c r="E63" s="6"/>
      <c r="F63" s="6"/>
      <c r="G63" s="6"/>
      <c r="H63" s="6"/>
      <c r="I63" s="6"/>
      <c r="J63" s="210"/>
      <c r="K63" s="210"/>
      <c r="L63" s="211"/>
    </row>
    <row r="64" spans="1:13" x14ac:dyDescent="0.25">
      <c r="A64" s="1296"/>
      <c r="B64" s="1296"/>
      <c r="C64" s="1296"/>
      <c r="D64" s="1296"/>
      <c r="E64" s="1296"/>
      <c r="F64" s="1296"/>
      <c r="G64" s="1296"/>
      <c r="H64" s="1296"/>
      <c r="I64" s="1296"/>
      <c r="J64" s="1296"/>
      <c r="K64" s="1296"/>
      <c r="L64" s="1296"/>
      <c r="M64" s="1296"/>
    </row>
    <row r="65" spans="1:13" s="67" customFormat="1" x14ac:dyDescent="0.25">
      <c r="A65" s="1351" t="s">
        <v>3329</v>
      </c>
      <c r="B65" s="122"/>
    </row>
    <row r="66" spans="1:13" s="67" customFormat="1" ht="14.25" customHeight="1" x14ac:dyDescent="0.25">
      <c r="A66" s="1351" t="s">
        <v>3330</v>
      </c>
      <c r="B66" s="122"/>
      <c r="F66" s="66"/>
      <c r="G66" s="66"/>
      <c r="H66" s="66"/>
      <c r="I66" s="66"/>
      <c r="J66" s="2653"/>
      <c r="K66" s="2653"/>
      <c r="L66" s="2653"/>
    </row>
    <row r="67" spans="1:13" s="67" customFormat="1" ht="14.25" customHeight="1" x14ac:dyDescent="0.25">
      <c r="A67" s="1351" t="s">
        <v>3331</v>
      </c>
      <c r="B67" s="122"/>
      <c r="F67" s="66"/>
      <c r="G67" s="66"/>
      <c r="H67" s="66"/>
      <c r="I67" s="66"/>
      <c r="J67" s="2653"/>
      <c r="K67" s="2653"/>
      <c r="L67" s="2653"/>
    </row>
    <row r="68" spans="1:13" s="67" customFormat="1" ht="14.25" customHeight="1" x14ac:dyDescent="0.25">
      <c r="A68" s="1351" t="s">
        <v>3332</v>
      </c>
      <c r="B68" s="122"/>
      <c r="F68" s="66"/>
      <c r="G68" s="66"/>
      <c r="H68" s="66"/>
      <c r="I68" s="66"/>
      <c r="J68" s="2653"/>
      <c r="K68" s="2653"/>
      <c r="L68" s="2653"/>
    </row>
    <row r="69" spans="1:13" s="67" customFormat="1" ht="14.25" customHeight="1" x14ac:dyDescent="0.25">
      <c r="A69" s="1351" t="s">
        <v>2224</v>
      </c>
      <c r="B69" s="122"/>
      <c r="F69" s="66"/>
      <c r="G69" s="66"/>
      <c r="H69" s="66"/>
      <c r="I69" s="66"/>
      <c r="J69" s="2653"/>
      <c r="K69" s="2653"/>
      <c r="L69" s="2653"/>
    </row>
    <row r="70" spans="1:13" s="67" customFormat="1" ht="14.25" customHeight="1" x14ac:dyDescent="0.25">
      <c r="A70" s="1351" t="s">
        <v>3333</v>
      </c>
      <c r="B70" s="122"/>
      <c r="F70" s="66"/>
      <c r="G70" s="66"/>
      <c r="H70" s="66"/>
      <c r="I70" s="66"/>
      <c r="J70" s="2653"/>
      <c r="K70" s="2653"/>
      <c r="L70" s="2653"/>
    </row>
    <row r="71" spans="1:13" s="67" customFormat="1" ht="14.25" customHeight="1" x14ac:dyDescent="0.25">
      <c r="A71" s="1351" t="s">
        <v>3334</v>
      </c>
      <c r="B71" s="122"/>
      <c r="F71" s="66"/>
      <c r="G71" s="66"/>
      <c r="H71" s="66"/>
      <c r="I71" s="66"/>
      <c r="J71" s="2653"/>
      <c r="K71" s="2653"/>
      <c r="L71" s="2653"/>
    </row>
    <row r="72" spans="1:13" s="67" customFormat="1" ht="14.25" customHeight="1" x14ac:dyDescent="0.25">
      <c r="A72" s="1351" t="s">
        <v>3335</v>
      </c>
      <c r="B72" s="122"/>
      <c r="F72" s="66"/>
      <c r="G72" s="66"/>
      <c r="H72" s="66"/>
      <c r="I72" s="66"/>
      <c r="J72" s="2653"/>
      <c r="K72" s="2653"/>
      <c r="L72" s="2653"/>
    </row>
    <row r="73" spans="1:13" s="67" customFormat="1" ht="14.25" customHeight="1" x14ac:dyDescent="0.25">
      <c r="A73" s="1351" t="s">
        <v>3336</v>
      </c>
      <c r="B73" s="122"/>
      <c r="F73" s="66"/>
      <c r="G73" s="66"/>
      <c r="H73" s="66"/>
      <c r="I73" s="66"/>
      <c r="J73" s="2653"/>
      <c r="K73" s="2653"/>
      <c r="L73" s="2653"/>
    </row>
    <row r="74" spans="1:13" s="67" customFormat="1" ht="14.25" customHeight="1" x14ac:dyDescent="0.25">
      <c r="A74" s="1351" t="s">
        <v>3337</v>
      </c>
      <c r="B74" s="122"/>
      <c r="F74" s="66"/>
      <c r="G74" s="66"/>
      <c r="H74" s="66"/>
      <c r="I74" s="66"/>
      <c r="J74" s="2653"/>
      <c r="K74" s="2653"/>
      <c r="L74" s="2653"/>
    </row>
    <row r="75" spans="1:13" s="67" customFormat="1" ht="14.25" customHeight="1" x14ac:dyDescent="0.25">
      <c r="A75" s="1351" t="s">
        <v>3338</v>
      </c>
      <c r="B75" s="122"/>
      <c r="F75" s="66"/>
      <c r="G75" s="66"/>
      <c r="H75" s="66"/>
      <c r="I75" s="66"/>
      <c r="J75" s="2653"/>
      <c r="K75" s="2653"/>
      <c r="L75" s="2653"/>
    </row>
    <row r="76" spans="1:13" s="67" customFormat="1" ht="14.25" customHeight="1" x14ac:dyDescent="0.25">
      <c r="A76" s="1351" t="s">
        <v>3339</v>
      </c>
      <c r="B76" s="122"/>
      <c r="F76" s="66"/>
      <c r="G76" s="66"/>
      <c r="H76" s="66"/>
      <c r="I76" s="66"/>
      <c r="J76" s="2653"/>
      <c r="K76" s="2653"/>
      <c r="L76" s="2653"/>
    </row>
    <row r="77" spans="1:13" s="67" customFormat="1" ht="14.25" customHeight="1" x14ac:dyDescent="0.25">
      <c r="A77" s="1351" t="s">
        <v>3382</v>
      </c>
      <c r="B77" s="122"/>
      <c r="F77" s="66"/>
      <c r="G77" s="66"/>
      <c r="H77" s="66"/>
      <c r="I77" s="66"/>
      <c r="J77" s="2653"/>
      <c r="K77" s="2653"/>
      <c r="L77" s="2653"/>
    </row>
    <row r="78" spans="1:13" ht="15.75" thickBot="1" x14ac:dyDescent="0.3">
      <c r="A78" s="161"/>
      <c r="B78" s="66"/>
      <c r="C78" s="66"/>
      <c r="D78" s="66"/>
      <c r="E78" s="66"/>
      <c r="F78" s="6"/>
      <c r="G78" s="6"/>
      <c r="H78" s="6"/>
      <c r="I78" s="6"/>
      <c r="J78" s="6"/>
      <c r="K78" s="6"/>
      <c r="L78" s="6"/>
      <c r="M78" s="6"/>
    </row>
    <row r="79" spans="1:13" ht="19.5" thickTop="1" x14ac:dyDescent="0.3">
      <c r="A79" s="2238" t="s">
        <v>2098</v>
      </c>
      <c r="B79" s="50"/>
      <c r="C79" s="2239"/>
      <c r="D79" s="2240"/>
      <c r="E79" s="50"/>
      <c r="F79" s="50"/>
      <c r="G79" s="50"/>
      <c r="H79" s="50"/>
      <c r="I79" s="50"/>
      <c r="J79" s="50"/>
      <c r="K79" s="50"/>
      <c r="L79" s="1635"/>
      <c r="M79" s="1342"/>
    </row>
    <row r="80" spans="1:13" ht="15.75" x14ac:dyDescent="0.25">
      <c r="A80" s="2241"/>
      <c r="B80" s="2655" t="s">
        <v>2853</v>
      </c>
      <c r="C80" s="2656"/>
      <c r="D80" s="2656"/>
      <c r="E80" s="2656"/>
      <c r="F80" s="2656"/>
      <c r="G80" s="2656"/>
      <c r="H80" s="2656"/>
      <c r="I80" s="2656"/>
      <c r="J80" s="2656"/>
      <c r="K80" s="2566"/>
      <c r="L80" s="2566"/>
      <c r="M80" s="1311"/>
    </row>
    <row r="81" spans="1:13" x14ac:dyDescent="0.25">
      <c r="A81" t="s">
        <v>2854</v>
      </c>
      <c r="B81" s="122"/>
      <c r="C81" s="1441"/>
      <c r="D81" s="122"/>
      <c r="E81" s="122"/>
      <c r="F81" s="33"/>
      <c r="G81" s="33"/>
      <c r="H81" s="33"/>
      <c r="I81" s="33"/>
      <c r="J81" s="33"/>
      <c r="K81" s="33"/>
      <c r="L81" s="2249"/>
      <c r="M81" s="1311"/>
    </row>
    <row r="82" spans="1:13" ht="15.75" x14ac:dyDescent="0.25">
      <c r="A82" s="2052" t="s">
        <v>2855</v>
      </c>
      <c r="B82" s="33"/>
      <c r="C82" s="1442"/>
      <c r="D82" s="1093"/>
      <c r="E82" s="33"/>
      <c r="F82" s="22"/>
      <c r="G82" s="1486"/>
      <c r="H82" s="1486"/>
      <c r="I82" s="1486"/>
      <c r="J82" s="33"/>
      <c r="K82" s="33"/>
      <c r="L82" s="2249"/>
      <c r="M82" s="1311"/>
    </row>
    <row r="83" spans="1:13" ht="15.75" x14ac:dyDescent="0.25">
      <c r="A83" s="2052" t="s">
        <v>2856</v>
      </c>
      <c r="B83" s="33"/>
      <c r="C83" s="1442"/>
      <c r="D83" s="1093"/>
      <c r="E83" s="33"/>
      <c r="F83" s="22"/>
      <c r="G83" s="1486"/>
      <c r="H83" s="1486"/>
      <c r="I83" s="1486"/>
      <c r="J83" s="33"/>
      <c r="K83" s="33"/>
      <c r="L83" s="2249"/>
      <c r="M83" s="1311"/>
    </row>
    <row r="84" spans="1:13" ht="15.75" x14ac:dyDescent="0.25">
      <c r="A84" s="2052" t="s">
        <v>2101</v>
      </c>
      <c r="B84" s="33"/>
      <c r="C84" s="1442"/>
      <c r="D84" s="1093"/>
      <c r="E84" s="33"/>
      <c r="F84" s="22"/>
      <c r="G84" s="1486"/>
      <c r="H84" s="1486"/>
      <c r="I84" s="1486"/>
      <c r="J84" s="33"/>
      <c r="K84" s="33"/>
      <c r="L84" s="2249"/>
      <c r="M84" s="1311"/>
    </row>
    <row r="85" spans="1:13" ht="15.75" x14ac:dyDescent="0.25">
      <c r="A85" s="2052"/>
      <c r="B85" s="33"/>
      <c r="C85" s="1442"/>
      <c r="D85" s="1093"/>
      <c r="E85" s="33"/>
      <c r="F85" s="22"/>
      <c r="G85" s="1486"/>
      <c r="H85" s="1486"/>
      <c r="I85" s="1486"/>
      <c r="J85" s="33"/>
      <c r="K85" s="33"/>
      <c r="L85" s="2249"/>
      <c r="M85" s="1311"/>
    </row>
    <row r="86" spans="1:13" ht="15.75" x14ac:dyDescent="0.25">
      <c r="A86" s="2052" t="s">
        <v>3341</v>
      </c>
      <c r="B86" s="33"/>
      <c r="C86" s="1442"/>
      <c r="D86" s="1093"/>
      <c r="E86" s="33"/>
      <c r="F86" s="22"/>
      <c r="G86" s="1486"/>
      <c r="H86" s="1486"/>
      <c r="I86" s="1486"/>
      <c r="J86" s="33"/>
      <c r="K86" s="33"/>
      <c r="L86" s="2249"/>
      <c r="M86" s="1311"/>
    </row>
    <row r="87" spans="1:13" ht="15.75" x14ac:dyDescent="0.25">
      <c r="A87" s="2248" t="s">
        <v>3340</v>
      </c>
      <c r="B87" s="33"/>
      <c r="C87" s="1442"/>
      <c r="D87" s="1093"/>
      <c r="E87" s="33"/>
      <c r="F87" s="22"/>
      <c r="G87" s="1486"/>
      <c r="H87" s="1486"/>
      <c r="I87" s="1486"/>
      <c r="J87" s="33"/>
      <c r="K87" s="33"/>
      <c r="L87" s="2249"/>
      <c r="M87" s="1311"/>
    </row>
    <row r="88" spans="1:13" s="6" customFormat="1" ht="15.75" x14ac:dyDescent="0.25">
      <c r="A88" s="2052" t="s">
        <v>1841</v>
      </c>
      <c r="B88" s="33"/>
      <c r="C88" s="1442"/>
      <c r="D88" s="1093"/>
      <c r="E88" s="33"/>
      <c r="F88" s="22"/>
      <c r="G88" s="1486"/>
      <c r="H88" s="1486"/>
      <c r="I88" s="1486"/>
      <c r="J88" s="33"/>
      <c r="K88" s="33"/>
      <c r="L88" s="2249"/>
      <c r="M88" s="1311"/>
    </row>
    <row r="89" spans="1:13" ht="15.75" x14ac:dyDescent="0.25">
      <c r="A89" s="2052" t="s">
        <v>3342</v>
      </c>
      <c r="B89" s="33"/>
      <c r="C89" s="1442"/>
      <c r="D89" s="1093"/>
      <c r="E89" s="33"/>
      <c r="F89" s="22"/>
      <c r="G89" s="1486"/>
      <c r="H89" s="1486"/>
      <c r="I89" s="1486"/>
      <c r="J89" s="33"/>
      <c r="K89" s="33"/>
      <c r="L89" s="2249"/>
      <c r="M89" s="1311"/>
    </row>
    <row r="90" spans="1:13" ht="15.75" x14ac:dyDescent="0.25">
      <c r="A90" s="2052"/>
      <c r="B90" s="33"/>
      <c r="C90" s="1442"/>
      <c r="D90" s="1093"/>
      <c r="E90" s="33"/>
      <c r="F90" s="22"/>
      <c r="G90" s="1486"/>
      <c r="H90" s="1486"/>
      <c r="I90" s="1486"/>
      <c r="J90" s="33"/>
      <c r="K90" s="33"/>
      <c r="L90" s="2249"/>
      <c r="M90" s="1311"/>
    </row>
    <row r="91" spans="1:13" ht="15.75" x14ac:dyDescent="0.25">
      <c r="A91" s="801" t="s">
        <v>869</v>
      </c>
      <c r="B91" s="215"/>
      <c r="C91" s="33"/>
      <c r="D91" s="33"/>
      <c r="E91" s="215"/>
      <c r="F91" s="215"/>
      <c r="G91" s="1388" t="s">
        <v>1105</v>
      </c>
      <c r="H91" s="1486"/>
      <c r="I91" s="1486"/>
      <c r="J91" s="33"/>
      <c r="K91" s="33"/>
      <c r="L91" s="2249"/>
      <c r="M91" s="1311"/>
    </row>
    <row r="92" spans="1:13" x14ac:dyDescent="0.25">
      <c r="A92" s="789" t="s">
        <v>1793</v>
      </c>
      <c r="B92" s="2228"/>
      <c r="C92" s="2228"/>
      <c r="D92" s="2228"/>
      <c r="E92" s="215"/>
      <c r="F92" s="2229">
        <f>'1. AgeData'!$E$50</f>
        <v>4.4999999999999998E-2</v>
      </c>
      <c r="G92" s="1351" t="s">
        <v>2711</v>
      </c>
      <c r="I92" s="1486"/>
      <c r="J92" s="33"/>
      <c r="K92" s="33"/>
      <c r="L92" s="2249"/>
      <c r="M92" s="1311"/>
    </row>
    <row r="93" spans="1:13" x14ac:dyDescent="0.25">
      <c r="A93" s="789" t="s">
        <v>1794</v>
      </c>
      <c r="B93" s="2228"/>
      <c r="C93" s="2228"/>
      <c r="D93" s="2228"/>
      <c r="E93" s="215"/>
      <c r="F93" s="2229">
        <f>'1. AgeData'!$E$51</f>
        <v>1.7500000000000002E-2</v>
      </c>
      <c r="G93" s="1351" t="s">
        <v>2712</v>
      </c>
      <c r="H93" s="165"/>
      <c r="I93" s="1486"/>
      <c r="J93" s="33"/>
      <c r="K93" s="33"/>
      <c r="L93" s="2249"/>
      <c r="M93" s="1311"/>
    </row>
    <row r="94" spans="1:13" x14ac:dyDescent="0.25">
      <c r="A94" s="1753"/>
      <c r="B94" s="2228"/>
      <c r="C94" s="2228"/>
      <c r="D94" s="2228"/>
      <c r="E94" s="215"/>
      <c r="F94" s="2229"/>
      <c r="G94" s="1351"/>
      <c r="H94" s="1486"/>
      <c r="I94" s="1486"/>
      <c r="J94" s="33"/>
      <c r="K94" s="33"/>
      <c r="L94" s="2249"/>
      <c r="M94" s="1311"/>
    </row>
    <row r="95" spans="1:13" x14ac:dyDescent="0.25">
      <c r="A95" s="3148" t="s">
        <v>2415</v>
      </c>
      <c r="B95" s="1295"/>
      <c r="C95" s="1026"/>
      <c r="D95" s="3150">
        <f>'1. AgeData'!$D$30</f>
        <v>60</v>
      </c>
      <c r="E95" s="3150">
        <f>'1. AgeData'!$I$30</f>
        <v>85</v>
      </c>
      <c r="F95" s="1155" t="s">
        <v>2414</v>
      </c>
      <c r="G95" s="3149"/>
      <c r="H95" s="1026"/>
      <c r="I95" s="3150">
        <f>'1. AgeData'!$D$31</f>
        <v>55</v>
      </c>
      <c r="J95" s="3150">
        <f>'1. AgeData'!$I$31</f>
        <v>87</v>
      </c>
      <c r="K95" s="1155" t="s">
        <v>2416</v>
      </c>
      <c r="M95" s="1311"/>
    </row>
    <row r="96" spans="1:13" x14ac:dyDescent="0.25">
      <c r="E96" s="33"/>
      <c r="F96" s="22"/>
      <c r="G96" s="1486"/>
      <c r="H96" s="1486"/>
      <c r="I96" s="1486"/>
      <c r="J96" s="33"/>
      <c r="K96" s="33"/>
      <c r="L96" s="2249"/>
      <c r="M96" s="1311"/>
    </row>
    <row r="97" spans="1:13" ht="15.75" x14ac:dyDescent="0.25">
      <c r="A97" s="2230" t="s">
        <v>3494</v>
      </c>
      <c r="B97" s="33"/>
      <c r="C97" s="1442"/>
      <c r="D97" s="1093"/>
      <c r="E97" s="33"/>
      <c r="F97" s="22"/>
      <c r="G97" s="1486"/>
      <c r="H97" s="1486"/>
      <c r="I97" s="1486"/>
      <c r="J97" s="33"/>
      <c r="K97" s="33"/>
      <c r="L97" s="2249"/>
      <c r="M97" s="1311"/>
    </row>
    <row r="98" spans="1:13" x14ac:dyDescent="0.25">
      <c r="A98" s="2231" t="s">
        <v>1792</v>
      </c>
      <c r="B98" s="418"/>
      <c r="C98" s="2232"/>
      <c r="D98" s="2233"/>
      <c r="E98" s="2234"/>
      <c r="F98" s="2235" t="s">
        <v>2422</v>
      </c>
      <c r="G98" s="2236"/>
      <c r="H98" s="2237"/>
      <c r="I98" s="2237"/>
      <c r="J98" s="2234"/>
      <c r="K98" s="2234"/>
      <c r="L98" s="2249"/>
      <c r="M98" s="1311"/>
    </row>
    <row r="99" spans="1:13" x14ac:dyDescent="0.25">
      <c r="A99" s="2231" t="s">
        <v>2535</v>
      </c>
      <c r="B99" s="418"/>
      <c r="C99" s="3337" t="s">
        <v>2521</v>
      </c>
      <c r="D99" s="2233"/>
      <c r="E99" s="2234"/>
      <c r="F99" s="2235"/>
      <c r="G99" s="2236"/>
      <c r="H99" s="2237"/>
      <c r="I99" s="2237"/>
      <c r="J99" s="2234"/>
      <c r="K99" s="2234"/>
      <c r="L99" s="2249"/>
      <c r="M99" s="1311"/>
    </row>
    <row r="100" spans="1:13" x14ac:dyDescent="0.25">
      <c r="A100" s="2231"/>
      <c r="B100" s="418"/>
      <c r="C100" s="3336"/>
      <c r="D100" s="2233"/>
      <c r="E100" s="2234"/>
      <c r="F100" s="2235"/>
      <c r="G100" s="2236"/>
      <c r="H100" s="2237"/>
      <c r="I100" s="2237"/>
      <c r="J100" s="2234"/>
      <c r="K100" s="2234"/>
      <c r="L100" s="2249"/>
      <c r="M100" s="1311"/>
    </row>
    <row r="101" spans="1:13" x14ac:dyDescent="0.25">
      <c r="A101" s="2253" t="s">
        <v>1845</v>
      </c>
      <c r="B101" s="418"/>
      <c r="C101" s="2232"/>
      <c r="D101" s="2233"/>
      <c r="E101" s="2234"/>
      <c r="F101" s="2235"/>
      <c r="G101" s="2236"/>
      <c r="H101" s="2237"/>
      <c r="I101" s="2237"/>
      <c r="J101" s="2234"/>
      <c r="K101" s="2234"/>
      <c r="L101" s="2249"/>
      <c r="M101" s="1311"/>
    </row>
    <row r="102" spans="1:13" ht="15.75" thickBot="1" x14ac:dyDescent="0.3">
      <c r="A102" s="2253"/>
      <c r="B102" s="418"/>
      <c r="C102" s="2232"/>
      <c r="D102" s="2233"/>
      <c r="E102" s="2234"/>
      <c r="F102" s="2235"/>
      <c r="G102" s="2236"/>
      <c r="H102" s="2237"/>
      <c r="I102" s="2237"/>
      <c r="J102" s="2234"/>
      <c r="K102" s="2234"/>
      <c r="L102" s="2249"/>
      <c r="M102" s="1311"/>
    </row>
    <row r="103" spans="1:13" ht="19.5" thickTop="1" x14ac:dyDescent="0.3">
      <c r="A103" s="2306" t="s">
        <v>2857</v>
      </c>
      <c r="B103" s="1341"/>
      <c r="C103" s="2307"/>
      <c r="D103" s="2308"/>
      <c r="E103" s="2309"/>
      <c r="F103" s="2310"/>
      <c r="G103" s="2311"/>
      <c r="H103" s="2312"/>
      <c r="I103" s="2313"/>
      <c r="J103" s="2313"/>
      <c r="K103" s="2310"/>
      <c r="L103" s="2565"/>
      <c r="M103" s="1311"/>
    </row>
    <row r="104" spans="1:13" ht="15.75" x14ac:dyDescent="0.25">
      <c r="A104" s="3299" t="s">
        <v>2526</v>
      </c>
      <c r="B104" s="6"/>
      <c r="C104" s="418"/>
      <c r="D104" s="2232"/>
      <c r="E104" s="2233"/>
      <c r="F104" s="2234"/>
      <c r="G104" s="2242"/>
      <c r="H104" s="2236"/>
      <c r="I104" s="2237"/>
      <c r="J104" s="2237"/>
      <c r="K104" s="2234"/>
      <c r="L104" s="3271"/>
      <c r="M104" s="1311"/>
    </row>
    <row r="105" spans="1:13" ht="15.75" x14ac:dyDescent="0.25">
      <c r="A105" s="3299" t="s">
        <v>2858</v>
      </c>
      <c r="B105" s="6"/>
      <c r="C105" s="418"/>
      <c r="D105" s="2232"/>
      <c r="E105" s="2233"/>
      <c r="F105" s="2234"/>
      <c r="G105" s="2242"/>
      <c r="H105" s="2236"/>
      <c r="I105" s="2237"/>
      <c r="J105" s="2237"/>
      <c r="K105" s="2234"/>
      <c r="L105" s="3271"/>
      <c r="M105" s="1311"/>
    </row>
    <row r="106" spans="1:13" ht="18.75" x14ac:dyDescent="0.3">
      <c r="A106" s="3270"/>
      <c r="B106" s="6"/>
      <c r="C106" s="418"/>
      <c r="D106" s="2232"/>
      <c r="E106" s="2233"/>
      <c r="F106" s="2234"/>
      <c r="G106" s="2242"/>
      <c r="H106" s="2236"/>
      <c r="I106" s="2237"/>
      <c r="J106" s="2237"/>
      <c r="K106" s="2234"/>
      <c r="L106" s="3271"/>
      <c r="M106" s="1311"/>
    </row>
    <row r="107" spans="1:13" ht="18.75" x14ac:dyDescent="0.3">
      <c r="A107" s="1318" t="s">
        <v>2859</v>
      </c>
      <c r="B107" s="6"/>
      <c r="C107" s="418"/>
      <c r="D107" s="2232"/>
      <c r="E107" s="2233"/>
      <c r="F107" s="2234"/>
      <c r="G107" s="2242"/>
      <c r="H107" s="2236"/>
      <c r="I107" s="2237"/>
      <c r="J107" s="2237"/>
      <c r="K107" s="2234"/>
      <c r="L107" s="3271"/>
      <c r="M107" s="1311"/>
    </row>
    <row r="108" spans="1:13" ht="15.75" x14ac:dyDescent="0.25">
      <c r="A108" s="3298" t="s">
        <v>2524</v>
      </c>
      <c r="B108" s="6"/>
      <c r="C108" s="418"/>
      <c r="D108" s="2232"/>
      <c r="E108" s="2233"/>
      <c r="F108" s="2234"/>
      <c r="G108" s="2242"/>
      <c r="H108" s="2236"/>
      <c r="I108" s="2237"/>
      <c r="J108" s="2237"/>
      <c r="K108" s="2234"/>
      <c r="L108" s="3271"/>
      <c r="M108" s="1311"/>
    </row>
    <row r="109" spans="1:13" s="67" customFormat="1" ht="15.75" x14ac:dyDescent="0.25">
      <c r="A109" s="3298" t="s">
        <v>3343</v>
      </c>
      <c r="B109" s="66"/>
      <c r="C109" s="418"/>
      <c r="D109" s="418"/>
      <c r="E109" s="605"/>
      <c r="F109" s="2234"/>
      <c r="G109" s="2242"/>
      <c r="H109" s="2237"/>
      <c r="I109" s="2237"/>
      <c r="J109" s="2237"/>
      <c r="K109" s="2234"/>
      <c r="L109" s="3271"/>
      <c r="M109" s="1344"/>
    </row>
    <row r="110" spans="1:13" s="67" customFormat="1" ht="15.75" x14ac:dyDescent="0.25">
      <c r="A110" s="3298" t="s">
        <v>2860</v>
      </c>
      <c r="B110" s="66"/>
      <c r="C110" s="418"/>
      <c r="D110" s="418"/>
      <c r="E110" s="605"/>
      <c r="F110" s="2234"/>
      <c r="G110" s="2242"/>
      <c r="H110" s="2237"/>
      <c r="I110" s="2237"/>
      <c r="J110" s="2237"/>
      <c r="K110" s="2234"/>
      <c r="L110" s="3271"/>
      <c r="M110" s="1344"/>
    </row>
    <row r="111" spans="1:13" s="67" customFormat="1" ht="16.5" thickBot="1" x14ac:dyDescent="0.3">
      <c r="A111" s="3298" t="s">
        <v>2714</v>
      </c>
      <c r="B111" s="66"/>
      <c r="C111" s="418"/>
      <c r="D111" s="418"/>
      <c r="E111" s="605"/>
      <c r="F111" s="2234"/>
      <c r="G111" s="2242"/>
      <c r="H111" s="2237"/>
      <c r="I111" s="2237"/>
      <c r="J111" s="2237"/>
      <c r="K111" s="2234"/>
      <c r="L111" s="3271"/>
      <c r="M111" s="1344"/>
    </row>
    <row r="112" spans="1:13" ht="51" thickTop="1" thickBot="1" x14ac:dyDescent="0.35">
      <c r="A112" s="3270"/>
      <c r="B112" s="2702" t="s">
        <v>1843</v>
      </c>
      <c r="C112" s="3272"/>
      <c r="D112" s="3273" t="s">
        <v>1788</v>
      </c>
      <c r="E112" s="3274" t="s">
        <v>2823</v>
      </c>
      <c r="F112" s="3275" t="s">
        <v>1947</v>
      </c>
      <c r="G112" s="3276" t="s">
        <v>1948</v>
      </c>
      <c r="H112" s="3277" t="s">
        <v>1949</v>
      </c>
      <c r="I112" s="2237"/>
      <c r="J112" s="2237"/>
      <c r="K112" s="2234"/>
      <c r="L112" s="3271"/>
      <c r="M112" s="1311"/>
    </row>
    <row r="113" spans="1:13" ht="19.5" thickTop="1" x14ac:dyDescent="0.3">
      <c r="A113" s="3270"/>
      <c r="B113" s="3520" t="s">
        <v>2861</v>
      </c>
      <c r="C113" s="3278"/>
      <c r="D113" s="3481">
        <v>10000</v>
      </c>
      <c r="E113" s="3279">
        <v>3.5000000000000003E-2</v>
      </c>
      <c r="F113" s="3280">
        <f>$F$92*G113+$F$93*H113</f>
        <v>3.125E-2</v>
      </c>
      <c r="G113" s="3281">
        <v>0.5</v>
      </c>
      <c r="H113" s="3282">
        <f t="shared" ref="H113:H117" si="0">100%-G113</f>
        <v>0.5</v>
      </c>
      <c r="I113" s="2237"/>
      <c r="J113" s="2237"/>
      <c r="K113" s="2234"/>
      <c r="L113" s="3271"/>
      <c r="M113" s="1311"/>
    </row>
    <row r="114" spans="1:13" ht="18.75" x14ac:dyDescent="0.3">
      <c r="A114" s="3270"/>
      <c r="B114" s="3521" t="s">
        <v>2862</v>
      </c>
      <c r="C114" s="3283"/>
      <c r="D114" s="3482">
        <v>20000</v>
      </c>
      <c r="E114" s="3279">
        <v>3.2000000000000001E-2</v>
      </c>
      <c r="F114" s="3280">
        <f>$F$92*G114+$F$93*H114</f>
        <v>2.8499999999999998E-2</v>
      </c>
      <c r="G114" s="3281">
        <v>0.4</v>
      </c>
      <c r="H114" s="3282">
        <f t="shared" si="0"/>
        <v>0.6</v>
      </c>
      <c r="I114" s="2237"/>
      <c r="J114" s="2237"/>
      <c r="K114" s="2234"/>
      <c r="L114" s="3271"/>
      <c r="M114" s="1311"/>
    </row>
    <row r="115" spans="1:13" ht="18.75" x14ac:dyDescent="0.3">
      <c r="A115" s="3270"/>
      <c r="B115" s="3521" t="s">
        <v>2863</v>
      </c>
      <c r="C115" s="3283"/>
      <c r="D115" s="3482">
        <v>30000</v>
      </c>
      <c r="E115" s="3279">
        <v>3.7999999999999999E-2</v>
      </c>
      <c r="F115" s="3280">
        <f>$F$92*G115+$F$93*H115</f>
        <v>3.4000000000000002E-2</v>
      </c>
      <c r="G115" s="3281">
        <v>0.6</v>
      </c>
      <c r="H115" s="3282">
        <f t="shared" si="0"/>
        <v>0.4</v>
      </c>
      <c r="I115" s="2237"/>
      <c r="J115" s="2237"/>
      <c r="K115" s="2234"/>
      <c r="L115" s="3271"/>
      <c r="M115" s="1311"/>
    </row>
    <row r="116" spans="1:13" ht="18.75" x14ac:dyDescent="0.3">
      <c r="A116" s="3270"/>
      <c r="B116" s="2358" t="s">
        <v>2523</v>
      </c>
      <c r="C116" s="3284"/>
      <c r="D116" s="3223">
        <v>115000</v>
      </c>
      <c r="E116" s="3279">
        <v>3.5299999999999998E-2</v>
      </c>
      <c r="F116" s="3280">
        <f>$F$92*G116+$F$93*H116</f>
        <v>3.1524999999999997E-2</v>
      </c>
      <c r="G116" s="3281">
        <v>0.51</v>
      </c>
      <c r="H116" s="3282">
        <f t="shared" si="0"/>
        <v>0.49</v>
      </c>
      <c r="I116" s="2237"/>
      <c r="J116" s="2237"/>
      <c r="K116" s="2234"/>
      <c r="L116" s="3271"/>
      <c r="M116" s="1311"/>
    </row>
    <row r="117" spans="1:13" ht="19.5" thickBot="1" x14ac:dyDescent="0.35">
      <c r="A117" s="3270"/>
      <c r="B117" s="2358" t="s">
        <v>2525</v>
      </c>
      <c r="C117" s="3284"/>
      <c r="D117" s="3482">
        <v>40000</v>
      </c>
      <c r="E117" s="3279">
        <v>3.6499999999999998E-2</v>
      </c>
      <c r="F117" s="3280">
        <f>$F$92*G117+$F$93*H117</f>
        <v>3.2625000000000001E-2</v>
      </c>
      <c r="G117" s="3281">
        <v>0.55000000000000004</v>
      </c>
      <c r="H117" s="3282">
        <f t="shared" si="0"/>
        <v>0.44999999999999996</v>
      </c>
      <c r="I117" s="2237"/>
      <c r="J117" s="2237"/>
      <c r="K117" s="2234"/>
      <c r="L117" s="3271"/>
      <c r="M117" s="1311"/>
    </row>
    <row r="118" spans="1:13" ht="19.5" thickBot="1" x14ac:dyDescent="0.35">
      <c r="A118" s="3270"/>
      <c r="B118" s="3522" t="s">
        <v>2825</v>
      </c>
      <c r="C118" s="3518"/>
      <c r="D118" s="3544">
        <f>SUM(D113:D117)</f>
        <v>215000</v>
      </c>
      <c r="E118" s="3545">
        <f>IF($D$118=0,0,(E$113*$D$113+E$114*$D$114+E$115*$D$115+E$116*$D$116+E$117*$D$117)/$D$118)</f>
        <v>3.5579069767441858E-2</v>
      </c>
      <c r="F118" s="3546">
        <f>IF($D$118=0,0,(F$113*$D$113+F$114*$D$114+F$115*$D$115+F$116*$D$116+F$117*$D$117)/$D$118)</f>
        <v>3.178081395348837E-2</v>
      </c>
      <c r="G118" s="3547">
        <f>IF($D$118=0,0,(G$113*$D$113+G$114*$D$114+G$115*$D$115+G$116*$D$116+G$117*$D$117)/$D$118)</f>
        <v>0.51930232558139533</v>
      </c>
      <c r="H118" s="3548">
        <f>IF($D$118=0,0,(H$113*$D$113+H$114*$D$114+H$115*$D$115+H$116*$D$116+H$117*$D$117)/$D$118)</f>
        <v>0.48069767441860467</v>
      </c>
      <c r="I118" s="2237"/>
      <c r="J118" s="2237"/>
      <c r="K118" s="2234"/>
      <c r="L118" s="3271"/>
      <c r="M118" s="1311"/>
    </row>
    <row r="119" spans="1:13" ht="20.25" thickTop="1" thickBot="1" x14ac:dyDescent="0.35">
      <c r="A119" s="3270"/>
      <c r="B119" s="2715"/>
      <c r="C119" s="3286"/>
      <c r="D119" s="3287"/>
      <c r="E119" s="3287"/>
      <c r="F119" s="3288"/>
      <c r="G119" s="3287"/>
      <c r="H119" s="3289"/>
      <c r="I119" s="2237"/>
      <c r="J119" s="2237"/>
      <c r="K119" s="2234"/>
      <c r="L119" s="3271"/>
      <c r="M119" s="1311"/>
    </row>
    <row r="120" spans="1:13" ht="51" thickTop="1" thickBot="1" x14ac:dyDescent="0.35">
      <c r="A120" s="3270"/>
      <c r="B120" s="2702" t="s">
        <v>1844</v>
      </c>
      <c r="C120" s="3272"/>
      <c r="D120" s="3273" t="s">
        <v>1789</v>
      </c>
      <c r="E120" s="3274" t="s">
        <v>2824</v>
      </c>
      <c r="F120" s="3290" t="s">
        <v>2208</v>
      </c>
      <c r="G120" s="3276" t="s">
        <v>2209</v>
      </c>
      <c r="H120" s="3277" t="s">
        <v>2210</v>
      </c>
      <c r="I120" s="2237"/>
      <c r="J120" s="2237"/>
      <c r="K120" s="2234"/>
      <c r="L120" s="3271"/>
      <c r="M120" s="1311"/>
    </row>
    <row r="121" spans="1:13" ht="19.5" thickTop="1" x14ac:dyDescent="0.3">
      <c r="A121" s="3270"/>
      <c r="B121" s="3520" t="s">
        <v>2861</v>
      </c>
      <c r="C121" s="3278"/>
      <c r="D121" s="3481">
        <v>0</v>
      </c>
      <c r="E121" s="3279">
        <v>0</v>
      </c>
      <c r="F121" s="3291">
        <f>$F$92*G121+$F$93*H121</f>
        <v>1.7500000000000002E-2</v>
      </c>
      <c r="G121" s="3292">
        <v>0</v>
      </c>
      <c r="H121" s="3293">
        <f>100%-G121</f>
        <v>1</v>
      </c>
      <c r="I121" s="2237"/>
      <c r="J121" s="2237"/>
      <c r="K121" s="2234"/>
      <c r="L121" s="3271"/>
      <c r="M121" s="1311"/>
    </row>
    <row r="122" spans="1:13" ht="18.75" x14ac:dyDescent="0.3">
      <c r="A122" s="3270"/>
      <c r="B122" s="3521" t="s">
        <v>2862</v>
      </c>
      <c r="C122" s="3283"/>
      <c r="D122" s="3482">
        <v>0</v>
      </c>
      <c r="E122" s="3279">
        <v>0</v>
      </c>
      <c r="F122" s="3280">
        <f>$F$92*G122+$F$93*H122</f>
        <v>1.7500000000000002E-2</v>
      </c>
      <c r="G122" s="3281">
        <v>0</v>
      </c>
      <c r="H122" s="3282">
        <f t="shared" ref="H122:H125" si="1">100%-G122</f>
        <v>1</v>
      </c>
      <c r="I122" s="2237"/>
      <c r="J122" s="2237"/>
      <c r="K122" s="2234"/>
      <c r="L122" s="3271"/>
      <c r="M122" s="1311"/>
    </row>
    <row r="123" spans="1:13" ht="18.75" x14ac:dyDescent="0.3">
      <c r="A123" s="3270"/>
      <c r="B123" s="3521" t="s">
        <v>2863</v>
      </c>
      <c r="C123" s="3283"/>
      <c r="D123" s="3482">
        <v>0</v>
      </c>
      <c r="E123" s="3279">
        <v>0</v>
      </c>
      <c r="F123" s="3280">
        <f>$F$92*G123+$F$93*H123</f>
        <v>1.7500000000000002E-2</v>
      </c>
      <c r="G123" s="3281">
        <v>0</v>
      </c>
      <c r="H123" s="3282">
        <f t="shared" si="1"/>
        <v>1</v>
      </c>
      <c r="I123" s="2237"/>
      <c r="J123" s="2237"/>
      <c r="K123" s="2234"/>
      <c r="L123" s="3271"/>
      <c r="M123" s="1311"/>
    </row>
    <row r="124" spans="1:13" ht="18.75" x14ac:dyDescent="0.3">
      <c r="A124" s="3270"/>
      <c r="B124" s="2358" t="s">
        <v>2523</v>
      </c>
      <c r="C124" s="3284"/>
      <c r="D124" s="3223">
        <v>90000</v>
      </c>
      <c r="E124" s="3279">
        <v>3.5900000000000001E-2</v>
      </c>
      <c r="F124" s="3280">
        <f>$F$92*G124+$F$93*H124</f>
        <v>3.2074999999999999E-2</v>
      </c>
      <c r="G124" s="3281">
        <v>0.53</v>
      </c>
      <c r="H124" s="3282">
        <f t="shared" si="1"/>
        <v>0.47</v>
      </c>
      <c r="I124" s="2237"/>
      <c r="J124" s="2237"/>
      <c r="K124" s="2234"/>
      <c r="L124" s="3271"/>
      <c r="M124" s="1311"/>
    </row>
    <row r="125" spans="1:13" ht="19.5" thickBot="1" x14ac:dyDescent="0.35">
      <c r="A125" s="3270"/>
      <c r="B125" s="2358" t="s">
        <v>2525</v>
      </c>
      <c r="C125" s="3284"/>
      <c r="D125" s="3482">
        <v>0</v>
      </c>
      <c r="E125" s="3279">
        <v>0</v>
      </c>
      <c r="F125" s="3294">
        <f>$F$92*G125+$F$93*H125</f>
        <v>1.7500000000000002E-2</v>
      </c>
      <c r="G125" s="3295">
        <v>0</v>
      </c>
      <c r="H125" s="3296">
        <f t="shared" si="1"/>
        <v>1</v>
      </c>
      <c r="I125" s="2237"/>
      <c r="J125" s="2237"/>
      <c r="K125" s="2234"/>
      <c r="L125" s="3271"/>
      <c r="M125" s="1311"/>
    </row>
    <row r="126" spans="1:13" ht="19.5" thickBot="1" x14ac:dyDescent="0.35">
      <c r="A126" s="3270"/>
      <c r="B126" s="3522" t="s">
        <v>2825</v>
      </c>
      <c r="C126" s="3285"/>
      <c r="D126" s="3544">
        <f>SUM(D121:D125)</f>
        <v>90000</v>
      </c>
      <c r="E126" s="3549">
        <f>IF($D$126=0,0,($D$121*E$121+$D$122*E$122+$D$123*E$123+$D$124*E$124+$D$125*E$125)/$D$126)</f>
        <v>3.5900000000000001E-2</v>
      </c>
      <c r="F126" s="3546">
        <f>IF($D$126=0,0,($D$121*F$121+$D$122*F$122+$D$123*F$123+$D$124*F$124+$D$125*F$125)/$D$126)</f>
        <v>3.2074999999999999E-2</v>
      </c>
      <c r="G126" s="3547">
        <f t="shared" ref="G126:H126" si="2">IF($D$126=0,0,($D$121*G$121+$D$122*G$122+$D$123*G$123+$D$124*G$124+$D$125*G$125)/$D$126)</f>
        <v>0.53</v>
      </c>
      <c r="H126" s="3548">
        <f t="shared" si="2"/>
        <v>0.47</v>
      </c>
      <c r="I126" s="2237"/>
      <c r="J126" s="2237"/>
      <c r="K126" s="2234"/>
      <c r="L126" s="3271"/>
      <c r="M126" s="1311"/>
    </row>
    <row r="127" spans="1:13" ht="19.5" thickTop="1" x14ac:dyDescent="0.3">
      <c r="A127" s="3270"/>
      <c r="B127" s="3266"/>
      <c r="C127" s="3265"/>
      <c r="D127" s="3267"/>
      <c r="E127" s="2227"/>
      <c r="F127" s="2227"/>
      <c r="G127" s="2227"/>
      <c r="H127" s="2227"/>
      <c r="I127" s="2237"/>
      <c r="J127" s="2237"/>
      <c r="K127" s="2234"/>
      <c r="L127" s="3271"/>
      <c r="M127" s="1311"/>
    </row>
    <row r="128" spans="1:13" ht="18.75" x14ac:dyDescent="0.3">
      <c r="A128" s="1318" t="s">
        <v>2533</v>
      </c>
      <c r="B128" s="3266"/>
      <c r="C128" s="3265"/>
      <c r="D128" s="3267"/>
      <c r="E128" s="2227"/>
      <c r="F128" s="2227"/>
      <c r="G128" s="2227"/>
      <c r="H128" s="2227"/>
      <c r="I128" s="2237"/>
      <c r="J128" s="2237"/>
      <c r="K128" s="2234"/>
      <c r="L128" s="3271"/>
      <c r="M128" s="1311"/>
    </row>
    <row r="129" spans="1:13" ht="15.75" thickBot="1" x14ac:dyDescent="0.3">
      <c r="A129" s="6" t="s">
        <v>3344</v>
      </c>
      <c r="B129" s="3266"/>
      <c r="C129" s="3265"/>
      <c r="D129" s="3267"/>
      <c r="E129" s="2227"/>
      <c r="F129" s="2227"/>
      <c r="G129" s="2227"/>
      <c r="H129" s="2227"/>
      <c r="I129" s="2237"/>
      <c r="J129" s="2237"/>
      <c r="K129" s="2234"/>
      <c r="L129" s="3271"/>
      <c r="M129" s="1311"/>
    </row>
    <row r="130" spans="1:13" s="442" customFormat="1" ht="53.25" thickTop="1" thickBot="1" x14ac:dyDescent="0.3">
      <c r="A130" s="2543"/>
      <c r="B130" s="2702" t="s">
        <v>1843</v>
      </c>
      <c r="C130" s="2703"/>
      <c r="D130" s="2704" t="s">
        <v>1788</v>
      </c>
      <c r="E130" s="2705" t="s">
        <v>2823</v>
      </c>
      <c r="F130" s="2706" t="s">
        <v>1947</v>
      </c>
      <c r="G130" s="2707" t="s">
        <v>1948</v>
      </c>
      <c r="H130" s="2708" t="s">
        <v>1949</v>
      </c>
      <c r="I130" s="2709" t="s">
        <v>1950</v>
      </c>
      <c r="J130" s="2710" t="s">
        <v>2206</v>
      </c>
      <c r="L130" s="2141"/>
      <c r="M130" s="2141"/>
    </row>
    <row r="131" spans="1:13" ht="15.75" thickTop="1" x14ac:dyDescent="0.25">
      <c r="A131" s="2353"/>
      <c r="B131" s="2746" t="s">
        <v>2825</v>
      </c>
      <c r="C131" s="2712"/>
      <c r="D131" s="3523">
        <f>D118</f>
        <v>215000</v>
      </c>
      <c r="E131" s="3524">
        <f>E118</f>
        <v>3.5579069767441858E-2</v>
      </c>
      <c r="F131" s="3525">
        <f>F118</f>
        <v>3.178081395348837E-2</v>
      </c>
      <c r="G131" s="3526">
        <f>G118</f>
        <v>0.51930232558139533</v>
      </c>
      <c r="H131" s="3527">
        <f>H118</f>
        <v>0.48069767441860467</v>
      </c>
      <c r="I131" s="2713" t="s">
        <v>1796</v>
      </c>
      <c r="J131" s="2544" t="s">
        <v>1791</v>
      </c>
      <c r="L131" s="1311"/>
      <c r="M131" s="1311"/>
    </row>
    <row r="132" spans="1:13" x14ac:dyDescent="0.25">
      <c r="A132" s="2353"/>
      <c r="B132" s="2747" t="s">
        <v>2291</v>
      </c>
      <c r="C132" s="2359"/>
      <c r="D132" s="3528">
        <v>10000</v>
      </c>
      <c r="E132" s="3529">
        <v>3.7999999999999999E-2</v>
      </c>
      <c r="F132" s="3280">
        <f>$F$92*G132+$F$93*H132</f>
        <v>3.4000000000000002E-2</v>
      </c>
      <c r="G132" s="3530">
        <v>0.6</v>
      </c>
      <c r="H132" s="3531">
        <f>100%-G132</f>
        <v>0.4</v>
      </c>
      <c r="I132" s="2714" t="s">
        <v>1901</v>
      </c>
      <c r="J132" s="2280" t="s">
        <v>1791</v>
      </c>
      <c r="L132" s="1311"/>
      <c r="M132" s="1311"/>
    </row>
    <row r="133" spans="1:13" x14ac:dyDescent="0.25">
      <c r="A133" s="2353"/>
      <c r="B133" s="2747" t="s">
        <v>2293</v>
      </c>
      <c r="C133" s="2359"/>
      <c r="D133" s="3528">
        <v>6000</v>
      </c>
      <c r="E133" s="3529">
        <v>3.2000000000000001E-2</v>
      </c>
      <c r="F133" s="3280">
        <f>$F$92*G133+$F$93*H133</f>
        <v>2.8499999999999998E-2</v>
      </c>
      <c r="G133" s="3530">
        <v>0.4</v>
      </c>
      <c r="H133" s="3531">
        <f>100%-G133</f>
        <v>0.6</v>
      </c>
      <c r="I133" s="2714" t="s">
        <v>1902</v>
      </c>
      <c r="J133" s="2280" t="s">
        <v>1791</v>
      </c>
      <c r="L133" s="1311"/>
      <c r="M133" s="1311"/>
    </row>
    <row r="134" spans="1:13" s="442" customFormat="1" ht="15.75" thickBot="1" x14ac:dyDescent="0.3">
      <c r="A134" s="2738" t="s">
        <v>1791</v>
      </c>
      <c r="B134" s="2748" t="s">
        <v>2864</v>
      </c>
      <c r="C134" s="2559"/>
      <c r="D134" s="3532">
        <v>0</v>
      </c>
      <c r="E134" s="3533">
        <v>0</v>
      </c>
      <c r="F134" s="3534">
        <f>$F$92*G134+$F$93*H134</f>
        <v>1.7500000000000002E-2</v>
      </c>
      <c r="G134" s="3535">
        <v>0</v>
      </c>
      <c r="H134" s="3536">
        <f>100%-G134</f>
        <v>1</v>
      </c>
      <c r="I134" s="2561" t="s">
        <v>2097</v>
      </c>
      <c r="J134" s="2562">
        <v>0</v>
      </c>
      <c r="K134" s="442" t="s">
        <v>212</v>
      </c>
      <c r="L134" s="2141"/>
      <c r="M134" s="2141"/>
    </row>
    <row r="135" spans="1:13" ht="16.5" thickTop="1" thickBot="1" x14ac:dyDescent="0.3">
      <c r="A135" s="2353"/>
      <c r="B135" s="2715"/>
      <c r="C135" s="2716"/>
      <c r="D135" s="2717"/>
      <c r="E135" s="2717"/>
      <c r="F135" s="2718"/>
      <c r="G135" s="2717"/>
      <c r="H135" s="2719"/>
      <c r="I135" s="2720"/>
      <c r="J135" s="2721"/>
      <c r="L135" s="1311"/>
      <c r="M135" s="1311"/>
    </row>
    <row r="136" spans="1:13" ht="53.25" thickTop="1" thickBot="1" x14ac:dyDescent="0.3">
      <c r="A136" s="2353"/>
      <c r="B136" s="2702" t="s">
        <v>1844</v>
      </c>
      <c r="C136" s="2703"/>
      <c r="D136" s="2704" t="s">
        <v>1789</v>
      </c>
      <c r="E136" s="2705" t="s">
        <v>2824</v>
      </c>
      <c r="F136" s="2722" t="s">
        <v>2208</v>
      </c>
      <c r="G136" s="2707" t="s">
        <v>2209</v>
      </c>
      <c r="H136" s="2723" t="s">
        <v>2210</v>
      </c>
      <c r="I136" s="2709" t="s">
        <v>2205</v>
      </c>
      <c r="J136" s="2710" t="s">
        <v>2207</v>
      </c>
      <c r="L136" s="1311"/>
      <c r="M136" s="1311"/>
    </row>
    <row r="137" spans="1:13" ht="15.75" thickTop="1" x14ac:dyDescent="0.25">
      <c r="A137" s="2353"/>
      <c r="B137" s="2746" t="s">
        <v>2825</v>
      </c>
      <c r="C137" s="2359"/>
      <c r="D137" s="3537">
        <f>D126</f>
        <v>90000</v>
      </c>
      <c r="E137" s="3540">
        <f t="shared" ref="E137:H137" si="3">E126</f>
        <v>3.5900000000000001E-2</v>
      </c>
      <c r="F137" s="3541">
        <f t="shared" si="3"/>
        <v>3.2074999999999999E-2</v>
      </c>
      <c r="G137" s="3526">
        <f t="shared" si="3"/>
        <v>0.53</v>
      </c>
      <c r="H137" s="3527">
        <f t="shared" si="3"/>
        <v>0.47</v>
      </c>
      <c r="I137" s="2453" t="s">
        <v>1796</v>
      </c>
      <c r="J137" s="2544" t="s">
        <v>1791</v>
      </c>
      <c r="L137" s="1311"/>
      <c r="M137" s="1311"/>
    </row>
    <row r="138" spans="1:13" x14ac:dyDescent="0.25">
      <c r="A138" s="2353"/>
      <c r="B138" s="2747" t="s">
        <v>2291</v>
      </c>
      <c r="C138" s="2359"/>
      <c r="D138" s="3528">
        <v>8000</v>
      </c>
      <c r="E138" s="3529">
        <v>3.95E-2</v>
      </c>
      <c r="F138" s="3280">
        <f>$F$92*G138+$F$93*H138</f>
        <v>3.5374999999999997E-2</v>
      </c>
      <c r="G138" s="3530">
        <v>0.65</v>
      </c>
      <c r="H138" s="3531">
        <f>100%-G138</f>
        <v>0.35</v>
      </c>
      <c r="I138" s="2714" t="s">
        <v>1901</v>
      </c>
      <c r="J138" s="2280" t="s">
        <v>1791</v>
      </c>
      <c r="L138" s="1311"/>
      <c r="M138" s="1311"/>
    </row>
    <row r="139" spans="1:13" x14ac:dyDescent="0.25">
      <c r="A139" s="2353"/>
      <c r="B139" s="2747" t="s">
        <v>2293</v>
      </c>
      <c r="C139" s="2359"/>
      <c r="D139" s="3528">
        <v>12000</v>
      </c>
      <c r="E139" s="3529">
        <v>3.3500000000000002E-2</v>
      </c>
      <c r="F139" s="3280">
        <f>$F$92*G139+$F$93*H139</f>
        <v>2.9875000000000002E-2</v>
      </c>
      <c r="G139" s="3530">
        <v>0.45</v>
      </c>
      <c r="H139" s="3531">
        <f>100%-G139</f>
        <v>0.55000000000000004</v>
      </c>
      <c r="I139" s="2714" t="s">
        <v>1902</v>
      </c>
      <c r="J139" s="2280" t="s">
        <v>1791</v>
      </c>
      <c r="L139" s="1311"/>
      <c r="M139" s="1311"/>
    </row>
    <row r="140" spans="1:13" ht="15.75" thickBot="1" x14ac:dyDescent="0.3">
      <c r="A140" s="2737" t="s">
        <v>1791</v>
      </c>
      <c r="B140" s="2748" t="s">
        <v>2864</v>
      </c>
      <c r="C140" s="2564"/>
      <c r="D140" s="3538">
        <v>0</v>
      </c>
      <c r="E140" s="3539">
        <v>0</v>
      </c>
      <c r="F140" s="3534">
        <f>$F$92*G140+$F$93*H140</f>
        <v>1.7500000000000002E-2</v>
      </c>
      <c r="G140" s="3542">
        <v>0</v>
      </c>
      <c r="H140" s="3543">
        <f>100%-G140</f>
        <v>1</v>
      </c>
      <c r="I140" s="2561" t="s">
        <v>2097</v>
      </c>
      <c r="J140" s="2563">
        <v>0</v>
      </c>
      <c r="K140" s="2073"/>
      <c r="L140" s="1315"/>
      <c r="M140" s="1311"/>
    </row>
    <row r="141" spans="1:13" ht="15.75" thickTop="1" x14ac:dyDescent="0.25">
      <c r="A141" s="2241"/>
      <c r="B141" s="122"/>
      <c r="C141" s="122"/>
      <c r="D141" s="122"/>
      <c r="E141" s="122"/>
      <c r="F141" s="33"/>
      <c r="G141" s="33"/>
      <c r="H141" s="33"/>
      <c r="I141" s="33"/>
      <c r="J141" s="33"/>
      <c r="K141" s="33"/>
      <c r="L141" s="33"/>
      <c r="M141" s="1311"/>
    </row>
    <row r="142" spans="1:13" s="215" customFormat="1" ht="15.75" thickBot="1" x14ac:dyDescent="0.3">
      <c r="A142" s="2547"/>
      <c r="B142" s="1757"/>
      <c r="C142" s="1757"/>
      <c r="D142" s="1757"/>
      <c r="E142" s="1757"/>
      <c r="F142" s="2548"/>
      <c r="G142" s="1757"/>
      <c r="H142" s="1757"/>
      <c r="I142" s="1757"/>
      <c r="J142" s="1757"/>
      <c r="K142" s="1757"/>
      <c r="L142" s="1757"/>
      <c r="M142" s="1454"/>
    </row>
    <row r="143" spans="1:13" s="215" customFormat="1" ht="20.25" thickTop="1" thickBot="1" x14ac:dyDescent="0.35">
      <c r="A143" s="2306" t="s">
        <v>2095</v>
      </c>
      <c r="B143" s="2307"/>
      <c r="C143" s="2308"/>
      <c r="D143" s="2309"/>
      <c r="E143" s="2310"/>
      <c r="F143" s="2311"/>
      <c r="G143" s="2312"/>
      <c r="H143" s="2313"/>
      <c r="I143" s="2313"/>
      <c r="J143" s="2310"/>
      <c r="K143" s="2310"/>
      <c r="L143" s="2546"/>
      <c r="M143" s="1454"/>
    </row>
    <row r="144" spans="1:13" s="215" customFormat="1" ht="19.5" thickBot="1" x14ac:dyDescent="0.35">
      <c r="A144" s="1336"/>
      <c r="B144" s="2362" t="str">
        <f>IF($I$15="yes","Using scheduled IRA (Contributions and Withdrawals)","NOT Using scheduled IRA (Contributions and Withdrawals)")</f>
        <v>Using scheduled IRA (Contributions and Withdrawals)</v>
      </c>
      <c r="C144" s="2363"/>
      <c r="D144" s="2364"/>
      <c r="E144" s="2364"/>
      <c r="F144" s="2364"/>
      <c r="G144" s="2365"/>
      <c r="H144" s="2366"/>
      <c r="J144" s="6"/>
      <c r="K144" s="2234"/>
      <c r="L144" s="2378"/>
      <c r="M144" s="1454"/>
    </row>
    <row r="145" spans="1:13" s="215" customFormat="1" ht="15.75" x14ac:dyDescent="0.25">
      <c r="A145" s="2357"/>
      <c r="B145" s="1097" t="s">
        <v>59</v>
      </c>
      <c r="C145" s="1097"/>
      <c r="D145" s="1097"/>
      <c r="E145" s="1097"/>
      <c r="F145" s="1097"/>
      <c r="G145" s="1097"/>
      <c r="H145" s="1097"/>
      <c r="I145" s="1388" t="s">
        <v>1104</v>
      </c>
      <c r="J145" s="6"/>
      <c r="K145" s="2234"/>
      <c r="L145" s="2378"/>
      <c r="M145" s="1454"/>
    </row>
    <row r="146" spans="1:13" s="215" customFormat="1" ht="18.75" x14ac:dyDescent="0.3">
      <c r="A146" s="2357" t="s">
        <v>2865</v>
      </c>
      <c r="B146" s="2549"/>
      <c r="C146" s="2550"/>
      <c r="D146" s="2551"/>
      <c r="E146" s="2551"/>
      <c r="F146" s="2551"/>
      <c r="G146" s="2314"/>
      <c r="H146" s="2314"/>
      <c r="I146" s="2552"/>
      <c r="J146" s="33"/>
      <c r="K146" s="2234"/>
      <c r="L146" s="2378"/>
      <c r="M146" s="1454"/>
    </row>
    <row r="147" spans="1:13" s="215" customFormat="1" x14ac:dyDescent="0.25">
      <c r="A147" s="2357" t="s">
        <v>3405</v>
      </c>
      <c r="B147" s="418"/>
      <c r="C147" s="2232"/>
      <c r="D147" s="2233"/>
      <c r="E147" s="2234"/>
      <c r="F147" s="2242"/>
      <c r="G147" s="2236"/>
      <c r="H147" s="2237"/>
      <c r="I147" s="2237"/>
      <c r="J147" s="2234"/>
      <c r="K147" s="2234"/>
      <c r="L147" s="2378"/>
      <c r="M147" s="1454"/>
    </row>
    <row r="148" spans="1:13" s="215" customFormat="1" x14ac:dyDescent="0.25">
      <c r="A148" s="2357" t="s">
        <v>3345</v>
      </c>
      <c r="B148" s="418"/>
      <c r="C148" s="2232"/>
      <c r="D148" s="2233"/>
      <c r="E148" s="2234"/>
      <c r="F148" s="2242"/>
      <c r="G148" s="2236"/>
      <c r="H148" s="2237"/>
      <c r="I148" s="2237"/>
      <c r="J148" s="2234"/>
      <c r="K148" s="2234"/>
      <c r="L148" s="2378"/>
      <c r="M148" s="1454"/>
    </row>
    <row r="149" spans="1:13" s="215" customFormat="1" x14ac:dyDescent="0.25">
      <c r="A149" s="2357" t="s">
        <v>3346</v>
      </c>
      <c r="B149" s="418"/>
      <c r="C149" s="2232"/>
      <c r="D149" s="2233"/>
      <c r="E149" s="2234"/>
      <c r="F149" s="2242"/>
      <c r="G149" s="2236"/>
      <c r="H149" s="2237"/>
      <c r="I149" s="2237"/>
      <c r="J149" s="2234"/>
      <c r="K149" s="2234"/>
      <c r="L149" s="2378"/>
      <c r="M149" s="1454"/>
    </row>
    <row r="150" spans="1:13" s="215" customFormat="1" x14ac:dyDescent="0.25">
      <c r="A150" t="s">
        <v>3347</v>
      </c>
      <c r="B150" s="418"/>
      <c r="C150" s="2232"/>
      <c r="D150" s="2233"/>
      <c r="E150" s="2234"/>
      <c r="F150" s="2242"/>
      <c r="G150" s="2236"/>
      <c r="H150" s="2237"/>
      <c r="I150" s="2237"/>
      <c r="J150" s="2234"/>
      <c r="K150" s="2234"/>
      <c r="L150" s="2378"/>
      <c r="M150" s="1454"/>
    </row>
    <row r="151" spans="1:13" s="215" customFormat="1" x14ac:dyDescent="0.25">
      <c r="A151" s="2357" t="s">
        <v>3348</v>
      </c>
      <c r="B151" s="418"/>
      <c r="C151" s="2232"/>
      <c r="D151" s="2233"/>
      <c r="E151" s="2234"/>
      <c r="F151" s="2242"/>
      <c r="G151" s="2236"/>
      <c r="H151" s="2237"/>
      <c r="I151" s="2237"/>
      <c r="J151" s="2234"/>
      <c r="K151" s="2234"/>
      <c r="L151" s="2378"/>
      <c r="M151" s="2567"/>
    </row>
    <row r="152" spans="1:13" s="215" customFormat="1" x14ac:dyDescent="0.25">
      <c r="A152" s="1353" t="s">
        <v>1864</v>
      </c>
      <c r="B152" s="433"/>
      <c r="C152" s="433"/>
      <c r="D152" s="6"/>
      <c r="E152" s="3337"/>
      <c r="F152" s="2242"/>
      <c r="G152" s="2236"/>
      <c r="H152" s="2237"/>
      <c r="I152" s="2237"/>
      <c r="J152" s="2234"/>
      <c r="K152" s="2234"/>
      <c r="L152" s="2378"/>
      <c r="M152" s="2567"/>
    </row>
    <row r="153" spans="1:13" s="215" customFormat="1" x14ac:dyDescent="0.25">
      <c r="A153" s="6"/>
      <c r="B153" s="3337" t="s">
        <v>2521</v>
      </c>
      <c r="C153" s="1353"/>
      <c r="D153" s="6"/>
      <c r="E153" s="974"/>
      <c r="F153" s="2242"/>
      <c r="G153" s="2236"/>
      <c r="H153" s="2237"/>
      <c r="I153" s="2237"/>
      <c r="J153" s="2234"/>
      <c r="K153" s="2234"/>
      <c r="L153" s="2378"/>
      <c r="M153" s="2567"/>
    </row>
    <row r="154" spans="1:13" s="215" customFormat="1" x14ac:dyDescent="0.25">
      <c r="A154" s="801"/>
      <c r="B154" s="801"/>
      <c r="C154" s="801"/>
      <c r="D154" s="6"/>
      <c r="E154" s="974"/>
      <c r="F154" s="2242"/>
      <c r="G154" s="2236"/>
      <c r="H154" s="2237"/>
      <c r="I154" s="2237"/>
      <c r="J154" s="2234"/>
      <c r="K154" s="2234"/>
      <c r="L154" s="2378"/>
      <c r="M154" s="2567"/>
    </row>
    <row r="155" spans="1:13" s="215" customFormat="1" ht="18.75" x14ac:dyDescent="0.3">
      <c r="A155" s="1318" t="s">
        <v>2866</v>
      </c>
      <c r="B155" s="6"/>
      <c r="C155" s="433"/>
      <c r="D155" s="6"/>
      <c r="E155" s="974"/>
      <c r="F155" s="2242"/>
      <c r="G155" s="2236"/>
      <c r="H155" s="2237"/>
      <c r="I155" s="2237"/>
      <c r="J155" s="2234"/>
      <c r="K155" s="2234"/>
      <c r="L155" s="2378"/>
      <c r="M155" s="2567"/>
    </row>
    <row r="156" spans="1:13" s="215" customFormat="1" ht="15.75" x14ac:dyDescent="0.25">
      <c r="A156" s="3298" t="s">
        <v>2524</v>
      </c>
      <c r="B156" s="6"/>
      <c r="C156" s="2232"/>
      <c r="D156" s="2233"/>
      <c r="E156" s="2234"/>
      <c r="F156" s="2242"/>
      <c r="G156" s="2236"/>
      <c r="H156" s="2237"/>
      <c r="I156" s="2237"/>
      <c r="J156" s="2234"/>
      <c r="K156" s="2234"/>
      <c r="L156" s="2378"/>
      <c r="M156" s="2567"/>
    </row>
    <row r="157" spans="1:13" s="215" customFormat="1" ht="15.75" x14ac:dyDescent="0.25">
      <c r="A157" s="3298" t="s">
        <v>3349</v>
      </c>
      <c r="B157" s="66"/>
      <c r="C157" s="2232"/>
      <c r="D157" s="2233"/>
      <c r="E157" s="2234"/>
      <c r="F157" s="2242"/>
      <c r="G157" s="2236"/>
      <c r="H157" s="2237"/>
      <c r="I157" s="2237"/>
      <c r="J157" s="2234"/>
      <c r="K157" s="2234"/>
      <c r="L157" s="2378"/>
      <c r="M157" s="2567"/>
    </row>
    <row r="158" spans="1:13" s="215" customFormat="1" ht="15.75" x14ac:dyDescent="0.25">
      <c r="A158" s="3298" t="s">
        <v>2860</v>
      </c>
      <c r="B158" s="66"/>
      <c r="C158" s="2232"/>
      <c r="D158" s="2233"/>
      <c r="E158" s="2234"/>
      <c r="F158" s="2242"/>
      <c r="G158" s="2236"/>
      <c r="H158" s="2237"/>
      <c r="I158" s="2237"/>
      <c r="J158" s="2234"/>
      <c r="K158" s="2234"/>
      <c r="L158" s="2378"/>
      <c r="M158" s="2567"/>
    </row>
    <row r="159" spans="1:13" s="215" customFormat="1" ht="16.5" thickBot="1" x14ac:dyDescent="0.3">
      <c r="A159" s="3298" t="s">
        <v>2714</v>
      </c>
      <c r="B159" s="66"/>
      <c r="C159" s="2232"/>
      <c r="D159" s="2233"/>
      <c r="E159" s="2234"/>
      <c r="F159" s="2242"/>
      <c r="G159" s="2236"/>
      <c r="H159" s="2237"/>
      <c r="I159" s="2237"/>
      <c r="J159" s="2234"/>
      <c r="K159" s="2234"/>
      <c r="L159" s="2378"/>
      <c r="M159" s="2567"/>
    </row>
    <row r="160" spans="1:13" s="215" customFormat="1" ht="66" thickTop="1" thickBot="1" x14ac:dyDescent="0.3">
      <c r="A160" s="2357"/>
      <c r="B160" s="2255" t="s">
        <v>1843</v>
      </c>
      <c r="C160" s="3263"/>
      <c r="D160" s="2257" t="s">
        <v>1852</v>
      </c>
      <c r="E160" s="2078" t="s">
        <v>2408</v>
      </c>
      <c r="F160" s="2078" t="s">
        <v>1855</v>
      </c>
      <c r="G160" s="2078" t="s">
        <v>1856</v>
      </c>
      <c r="H160" s="2299" t="s">
        <v>1865</v>
      </c>
      <c r="I160" s="1293" t="s">
        <v>1860</v>
      </c>
      <c r="J160" s="3307" t="s">
        <v>1861</v>
      </c>
      <c r="K160" s="2234"/>
      <c r="L160" s="2378"/>
      <c r="M160" s="2567"/>
    </row>
    <row r="161" spans="1:13" s="215" customFormat="1" ht="15.75" thickTop="1" x14ac:dyDescent="0.25">
      <c r="A161" s="2357"/>
      <c r="B161" s="3520" t="s">
        <v>2861</v>
      </c>
      <c r="C161" s="3258"/>
      <c r="D161" s="3248">
        <v>1000</v>
      </c>
      <c r="E161" s="2298">
        <v>0.01</v>
      </c>
      <c r="F161" s="3249">
        <v>61</v>
      </c>
      <c r="G161" s="3250">
        <v>65</v>
      </c>
      <c r="H161" s="3251">
        <v>5.0000000000000001E-3</v>
      </c>
      <c r="I161" s="3249">
        <v>65</v>
      </c>
      <c r="J161" s="3308">
        <v>70</v>
      </c>
      <c r="K161" s="2234"/>
      <c r="L161" s="2378"/>
      <c r="M161" s="2567"/>
    </row>
    <row r="162" spans="1:13" s="215" customFormat="1" x14ac:dyDescent="0.25">
      <c r="A162" s="2357"/>
      <c r="B162" s="3521" t="s">
        <v>2862</v>
      </c>
      <c r="C162" s="3259"/>
      <c r="D162" s="1696">
        <v>1500</v>
      </c>
      <c r="E162" s="1697">
        <v>1.4999999999999999E-2</v>
      </c>
      <c r="F162" s="2736">
        <v>60</v>
      </c>
      <c r="G162" s="1698">
        <v>65</v>
      </c>
      <c r="H162" s="3146">
        <v>0</v>
      </c>
      <c r="I162" s="2736">
        <v>0</v>
      </c>
      <c r="J162" s="3264">
        <v>70</v>
      </c>
      <c r="K162" s="2234"/>
      <c r="L162" s="2378"/>
      <c r="M162" s="2567"/>
    </row>
    <row r="163" spans="1:13" s="215" customFormat="1" x14ac:dyDescent="0.25">
      <c r="A163" s="2357"/>
      <c r="B163" s="3521" t="s">
        <v>2863</v>
      </c>
      <c r="C163" s="3259"/>
      <c r="D163" s="1696">
        <v>1700</v>
      </c>
      <c r="E163" s="1697">
        <v>5.0000000000000001E-3</v>
      </c>
      <c r="F163" s="2736">
        <v>60</v>
      </c>
      <c r="G163" s="1698">
        <v>66</v>
      </c>
      <c r="H163" s="3146">
        <v>0</v>
      </c>
      <c r="I163" s="2736">
        <v>0</v>
      </c>
      <c r="J163" s="3264">
        <v>70</v>
      </c>
      <c r="K163" s="2234"/>
      <c r="L163" s="2378"/>
      <c r="M163" s="2567"/>
    </row>
    <row r="164" spans="1:13" s="215" customFormat="1" x14ac:dyDescent="0.25">
      <c r="A164" s="2357"/>
      <c r="B164" s="2358" t="s">
        <v>2523</v>
      </c>
      <c r="C164" s="3260"/>
      <c r="D164" s="1696">
        <v>2000</v>
      </c>
      <c r="E164" s="1697">
        <v>0.01</v>
      </c>
      <c r="F164" s="2736">
        <v>60</v>
      </c>
      <c r="G164" s="1698">
        <v>65</v>
      </c>
      <c r="H164" s="3146">
        <v>3.7999999999999999E-2</v>
      </c>
      <c r="I164" s="2736">
        <v>60</v>
      </c>
      <c r="J164" s="3264">
        <v>64</v>
      </c>
      <c r="K164" s="2234"/>
      <c r="L164" s="2378"/>
      <c r="M164" s="2567"/>
    </row>
    <row r="165" spans="1:13" s="215" customFormat="1" ht="15.75" thickBot="1" x14ac:dyDescent="0.3">
      <c r="A165" s="2357"/>
      <c r="B165" s="2358" t="s">
        <v>2525</v>
      </c>
      <c r="C165" s="3260"/>
      <c r="D165" s="1696">
        <v>0</v>
      </c>
      <c r="E165" s="1697">
        <v>0</v>
      </c>
      <c r="F165" s="2736">
        <v>0</v>
      </c>
      <c r="G165" s="1698">
        <v>0</v>
      </c>
      <c r="H165" s="3146">
        <v>0.01</v>
      </c>
      <c r="I165" s="2736">
        <v>62</v>
      </c>
      <c r="J165" s="3264">
        <v>70</v>
      </c>
      <c r="K165" s="2234"/>
      <c r="L165" s="2378"/>
      <c r="M165" s="2567"/>
    </row>
    <row r="166" spans="1:13" s="215" customFormat="1" ht="15.75" thickBot="1" x14ac:dyDescent="0.3">
      <c r="A166" s="2357"/>
      <c r="B166" s="3522" t="s">
        <v>2825</v>
      </c>
      <c r="C166" s="3268"/>
      <c r="D166" s="3303">
        <f>SUM(D161:D165)</f>
        <v>6200</v>
      </c>
      <c r="E166" s="3269">
        <f t="shared" ref="E166:J166" si="4">IF($D$166=0,0,($D$161*E$161+$D$162*E$162+$D$163*E$163+$D$164*E4162+$D$165*E$165)/$D$166)</f>
        <v>6.6129032258064515E-3</v>
      </c>
      <c r="F166" s="3302">
        <f t="shared" si="4"/>
        <v>40.806451612903224</v>
      </c>
      <c r="G166" s="3302">
        <f t="shared" si="4"/>
        <v>44.306451612903224</v>
      </c>
      <c r="H166" s="3480">
        <f t="shared" si="4"/>
        <v>8.0645161290322581E-4</v>
      </c>
      <c r="I166" s="3302">
        <f t="shared" si="4"/>
        <v>10.483870967741936</v>
      </c>
      <c r="J166" s="3304">
        <f t="shared" si="4"/>
        <v>47.41935483870968</v>
      </c>
      <c r="K166" s="2234"/>
      <c r="L166" s="2378"/>
      <c r="M166" s="2567"/>
    </row>
    <row r="167" spans="1:13" s="215" customFormat="1" ht="16.5" thickTop="1" thickBot="1" x14ac:dyDescent="0.3">
      <c r="A167" s="2357"/>
      <c r="B167" s="2241"/>
      <c r="C167" s="3262"/>
      <c r="D167" s="2717"/>
      <c r="E167" s="2717"/>
      <c r="F167" s="2725"/>
      <c r="G167" s="2725"/>
      <c r="H167" s="2726"/>
      <c r="I167" s="2751"/>
      <c r="J167" s="2986"/>
      <c r="K167" s="2234"/>
      <c r="L167" s="2378"/>
      <c r="M167" s="2567"/>
    </row>
    <row r="168" spans="1:13" s="215" customFormat="1" ht="66" thickTop="1" thickBot="1" x14ac:dyDescent="0.3">
      <c r="A168" s="2357"/>
      <c r="B168" s="2255" t="s">
        <v>1844</v>
      </c>
      <c r="C168" s="3257"/>
      <c r="D168" s="2704" t="s">
        <v>1853</v>
      </c>
      <c r="E168" s="2705" t="s">
        <v>2409</v>
      </c>
      <c r="F168" s="2705" t="s">
        <v>1858</v>
      </c>
      <c r="G168" s="2705" t="s">
        <v>1857</v>
      </c>
      <c r="H168" s="2730" t="s">
        <v>1866</v>
      </c>
      <c r="I168" s="2731" t="s">
        <v>1867</v>
      </c>
      <c r="J168" s="2987" t="s">
        <v>1868</v>
      </c>
      <c r="K168" s="2234"/>
      <c r="L168" s="2378"/>
      <c r="M168" s="2567"/>
    </row>
    <row r="169" spans="1:13" s="215" customFormat="1" ht="15.75" thickTop="1" x14ac:dyDescent="0.25">
      <c r="A169" s="2357"/>
      <c r="B169" s="3520" t="s">
        <v>2861</v>
      </c>
      <c r="C169" s="3278"/>
      <c r="D169" s="3248">
        <v>0</v>
      </c>
      <c r="E169" s="2298">
        <v>0</v>
      </c>
      <c r="F169" s="3249">
        <v>0</v>
      </c>
      <c r="G169" s="3250">
        <v>0</v>
      </c>
      <c r="H169" s="3251">
        <v>0</v>
      </c>
      <c r="I169" s="3249">
        <v>0</v>
      </c>
      <c r="J169" s="3308">
        <v>0</v>
      </c>
      <c r="K169" s="2234"/>
      <c r="L169" s="2378"/>
      <c r="M169" s="2567"/>
    </row>
    <row r="170" spans="1:13" s="215" customFormat="1" x14ac:dyDescent="0.25">
      <c r="A170" s="2357"/>
      <c r="B170" s="3521" t="s">
        <v>2862</v>
      </c>
      <c r="C170" s="3283"/>
      <c r="D170" s="1696">
        <v>0</v>
      </c>
      <c r="E170" s="1697">
        <v>0</v>
      </c>
      <c r="F170" s="2736">
        <v>0</v>
      </c>
      <c r="G170" s="1698">
        <v>0</v>
      </c>
      <c r="H170" s="3146">
        <v>0</v>
      </c>
      <c r="I170" s="2736">
        <v>0</v>
      </c>
      <c r="J170" s="3264">
        <v>0</v>
      </c>
      <c r="K170" s="2234"/>
      <c r="L170" s="2378"/>
      <c r="M170" s="2567"/>
    </row>
    <row r="171" spans="1:13" s="215" customFormat="1" x14ac:dyDescent="0.25">
      <c r="A171" s="2357"/>
      <c r="B171" s="3521" t="s">
        <v>2863</v>
      </c>
      <c r="C171" s="3259"/>
      <c r="D171" s="1696">
        <v>0</v>
      </c>
      <c r="E171" s="1697">
        <v>0</v>
      </c>
      <c r="F171" s="2736">
        <v>0</v>
      </c>
      <c r="G171" s="1698">
        <v>0</v>
      </c>
      <c r="H171" s="3146">
        <v>0</v>
      </c>
      <c r="I171" s="2736">
        <v>0</v>
      </c>
      <c r="J171" s="3264">
        <v>0</v>
      </c>
      <c r="K171" s="2234"/>
      <c r="L171" s="2378"/>
      <c r="M171" s="2567"/>
    </row>
    <row r="172" spans="1:13" s="215" customFormat="1" x14ac:dyDescent="0.25">
      <c r="A172" s="2357"/>
      <c r="B172" s="2358" t="s">
        <v>2867</v>
      </c>
      <c r="C172" s="3260"/>
      <c r="D172" s="1696">
        <v>2500</v>
      </c>
      <c r="E172" s="1697">
        <v>0.01</v>
      </c>
      <c r="F172" s="1698">
        <v>55</v>
      </c>
      <c r="G172" s="1698">
        <v>64</v>
      </c>
      <c r="H172" s="3146">
        <v>0.04</v>
      </c>
      <c r="I172" s="2736">
        <v>60</v>
      </c>
      <c r="J172" s="3264">
        <v>63</v>
      </c>
      <c r="K172" s="2234"/>
      <c r="L172" s="2378"/>
      <c r="M172" s="2567"/>
    </row>
    <row r="173" spans="1:13" s="215" customFormat="1" ht="15.75" thickBot="1" x14ac:dyDescent="0.3">
      <c r="A173" s="2357"/>
      <c r="B173" s="2743" t="s">
        <v>2522</v>
      </c>
      <c r="C173" s="3261"/>
      <c r="D173" s="3256">
        <v>0</v>
      </c>
      <c r="E173" s="3252">
        <v>0</v>
      </c>
      <c r="F173" s="3253">
        <v>0</v>
      </c>
      <c r="G173" s="3254">
        <v>0</v>
      </c>
      <c r="H173" s="2806">
        <v>0</v>
      </c>
      <c r="I173" s="3253">
        <v>0</v>
      </c>
      <c r="J173" s="3255">
        <v>0</v>
      </c>
      <c r="K173" s="2234"/>
      <c r="L173" s="2378"/>
      <c r="M173" s="2567"/>
    </row>
    <row r="174" spans="1:13" s="215" customFormat="1" ht="16.5" thickTop="1" thickBot="1" x14ac:dyDescent="0.3">
      <c r="A174" s="2357"/>
      <c r="B174" s="3522" t="s">
        <v>2825</v>
      </c>
      <c r="C174" s="3300"/>
      <c r="D174" s="3305">
        <f>SUM(D169:D173)</f>
        <v>2500</v>
      </c>
      <c r="E174" s="3301">
        <f>IF($D$174=0,0,($D$169*E$169+$D$170*E$170+$D$171*E$171+$D$172*E$172+$D$173*E$173)/$D174)</f>
        <v>0.01</v>
      </c>
      <c r="F174" s="3306">
        <f t="shared" ref="F174:J174" si="5">IF($D$174=0,0,($D$169*F$169+$D$170*F$170+$D$171*F$171+$D$172*F$172+$D$173*F$173)/$D174)</f>
        <v>55</v>
      </c>
      <c r="G174" s="3306">
        <f t="shared" si="5"/>
        <v>64</v>
      </c>
      <c r="H174" s="3478">
        <f t="shared" si="5"/>
        <v>0.04</v>
      </c>
      <c r="I174" s="3306">
        <f t="shared" si="5"/>
        <v>60</v>
      </c>
      <c r="J174" s="3479">
        <f t="shared" si="5"/>
        <v>63</v>
      </c>
      <c r="K174" s="2234"/>
      <c r="L174" s="2378"/>
      <c r="M174" s="2567"/>
    </row>
    <row r="175" spans="1:13" s="215" customFormat="1" ht="15.75" thickTop="1" x14ac:dyDescent="0.25">
      <c r="A175" s="2357"/>
      <c r="B175" s="3266"/>
      <c r="C175" s="3265"/>
      <c r="D175" s="3309"/>
      <c r="E175" s="3297"/>
      <c r="F175" s="3310"/>
      <c r="G175" s="3310"/>
      <c r="H175" s="3297"/>
      <c r="I175" s="3311"/>
      <c r="J175" s="3311"/>
      <c r="K175" s="2234"/>
      <c r="L175" s="2378"/>
      <c r="M175" s="2567"/>
    </row>
    <row r="176" spans="1:13" s="215" customFormat="1" x14ac:dyDescent="0.25">
      <c r="A176" s="2357"/>
      <c r="B176" s="418"/>
      <c r="C176" s="2232"/>
      <c r="D176" s="2233"/>
      <c r="E176" s="2234"/>
      <c r="F176" s="2242"/>
      <c r="G176" s="2236"/>
      <c r="H176" s="2237"/>
      <c r="I176" s="2237"/>
      <c r="J176" s="2234"/>
      <c r="K176" s="2234"/>
      <c r="L176" s="2378"/>
      <c r="M176" s="2567"/>
    </row>
    <row r="177" spans="1:14" s="215" customFormat="1" ht="18.75" x14ac:dyDescent="0.3">
      <c r="A177" s="1318" t="s">
        <v>2528</v>
      </c>
      <c r="B177" s="3266"/>
      <c r="C177" s="3265"/>
      <c r="D177" s="3267"/>
      <c r="E177" s="2227"/>
      <c r="F177" s="2227"/>
      <c r="G177" s="2227"/>
      <c r="H177" s="2227"/>
      <c r="I177" s="2237"/>
      <c r="J177" s="2237"/>
      <c r="K177" s="2234"/>
      <c r="L177" s="2378"/>
      <c r="M177" s="2567"/>
    </row>
    <row r="178" spans="1:14" s="215" customFormat="1" ht="15.75" thickBot="1" x14ac:dyDescent="0.3">
      <c r="A178" s="6" t="s">
        <v>3350</v>
      </c>
      <c r="B178" s="3266"/>
      <c r="C178" s="3265"/>
      <c r="D178" s="3267"/>
      <c r="E178" s="2227"/>
      <c r="F178" s="2227"/>
      <c r="G178" s="2227"/>
      <c r="H178" s="2227"/>
      <c r="I178" s="2237"/>
      <c r="J178" s="2237"/>
      <c r="K178" s="2234"/>
      <c r="L178" s="2378"/>
      <c r="M178" s="2567"/>
    </row>
    <row r="179" spans="1:14" s="215" customFormat="1" ht="66" thickTop="1" thickBot="1" x14ac:dyDescent="0.3">
      <c r="A179" s="1336"/>
      <c r="B179" s="2255" t="s">
        <v>1843</v>
      </c>
      <c r="C179" s="2256"/>
      <c r="D179" s="2257" t="s">
        <v>1852</v>
      </c>
      <c r="E179" s="2078" t="s">
        <v>2408</v>
      </c>
      <c r="F179" s="2078" t="s">
        <v>1855</v>
      </c>
      <c r="G179" s="2078" t="s">
        <v>1856</v>
      </c>
      <c r="H179" s="2299" t="s">
        <v>1865</v>
      </c>
      <c r="I179" s="1293" t="s">
        <v>1860</v>
      </c>
      <c r="J179" s="1293" t="s">
        <v>1861</v>
      </c>
      <c r="K179" s="2640" t="s">
        <v>2419</v>
      </c>
      <c r="L179" s="2456" t="s">
        <v>1862</v>
      </c>
      <c r="M179" s="1454"/>
    </row>
    <row r="180" spans="1:14" s="215" customFormat="1" ht="15.75" thickTop="1" x14ac:dyDescent="0.25">
      <c r="A180" s="1336"/>
      <c r="B180" s="3519" t="s">
        <v>2825</v>
      </c>
      <c r="C180" s="2712"/>
      <c r="D180" s="3309">
        <f t="shared" ref="D180:J180" si="6">D166</f>
        <v>6200</v>
      </c>
      <c r="E180" s="3297">
        <f t="shared" si="6"/>
        <v>6.6129032258064515E-3</v>
      </c>
      <c r="F180" s="3310">
        <f t="shared" si="6"/>
        <v>40.806451612903224</v>
      </c>
      <c r="G180" s="3310">
        <f t="shared" si="6"/>
        <v>44.306451612903224</v>
      </c>
      <c r="H180" s="3312">
        <f t="shared" si="6"/>
        <v>8.0645161290322581E-4</v>
      </c>
      <c r="I180" s="3313">
        <f t="shared" si="6"/>
        <v>10.483870967741936</v>
      </c>
      <c r="J180" s="3314">
        <f t="shared" si="6"/>
        <v>47.41935483870968</v>
      </c>
      <c r="K180" s="3151">
        <v>70</v>
      </c>
      <c r="L180" s="2457" t="str">
        <f>CONCATENATE(IF(AND(D180&gt;0,G148&lt;F148),"ERROR - S1 IRA contribution start age &gt; end age",""), IF(AND(H180&gt;0,J180&lt;I180)," --- S1 IRA withdrawal start age &gt; end age",""),".")</f>
        <v>.</v>
      </c>
      <c r="M180" s="1454"/>
    </row>
    <row r="181" spans="1:14" s="215" customFormat="1" x14ac:dyDescent="0.25">
      <c r="A181" s="1336"/>
      <c r="B181" s="2747" t="s">
        <v>2291</v>
      </c>
      <c r="C181" s="2359"/>
      <c r="D181" s="2367" t="s">
        <v>1791</v>
      </c>
      <c r="E181" s="2368" t="s">
        <v>1791</v>
      </c>
      <c r="F181" s="2368" t="s">
        <v>1791</v>
      </c>
      <c r="G181" s="2796" t="s">
        <v>1791</v>
      </c>
      <c r="H181" s="3146">
        <v>1.8499999999999999E-2</v>
      </c>
      <c r="I181" s="2369">
        <v>62</v>
      </c>
      <c r="J181" s="2302">
        <v>64</v>
      </c>
      <c r="K181" s="2369">
        <v>71</v>
      </c>
      <c r="L181" s="2457" t="str">
        <f>IF(AND(H181&gt;0,J181&lt;I181),"ERROR - S1 inherited-5yr IRA withdrawal start age &gt; end age",".")</f>
        <v>.</v>
      </c>
      <c r="M181" s="1454"/>
    </row>
    <row r="182" spans="1:14" s="215" customFormat="1" x14ac:dyDescent="0.25">
      <c r="A182" s="1336"/>
      <c r="B182" s="2747" t="s">
        <v>2293</v>
      </c>
      <c r="C182" s="2359"/>
      <c r="D182" s="2367" t="s">
        <v>1791</v>
      </c>
      <c r="E182" s="2368" t="s">
        <v>1791</v>
      </c>
      <c r="F182" s="2368" t="s">
        <v>1791</v>
      </c>
      <c r="G182" s="2796" t="s">
        <v>1791</v>
      </c>
      <c r="H182" s="3146">
        <v>1.7999999999999999E-2</v>
      </c>
      <c r="I182" s="2369">
        <v>63</v>
      </c>
      <c r="J182" s="2302">
        <v>67</v>
      </c>
      <c r="K182" s="2369">
        <v>72</v>
      </c>
      <c r="L182" s="2457" t="str">
        <f>IF(AND(H182&gt;0,J182&lt;I182),"ERROR - S1 inherited-Lifetime IRA withdrawal start age &gt; end age",".")</f>
        <v>.</v>
      </c>
      <c r="M182" s="1454"/>
    </row>
    <row r="183" spans="1:14" s="215" customFormat="1" ht="15.75" thickBot="1" x14ac:dyDescent="0.3">
      <c r="A183" s="2738" t="s">
        <v>1791</v>
      </c>
      <c r="B183" s="2553" t="s">
        <v>2864</v>
      </c>
      <c r="C183" s="2559"/>
      <c r="D183" s="2555">
        <v>0</v>
      </c>
      <c r="E183" s="2556">
        <v>0</v>
      </c>
      <c r="F183" s="2557">
        <v>0</v>
      </c>
      <c r="G183" s="2557">
        <v>0</v>
      </c>
      <c r="H183" s="2805">
        <v>0</v>
      </c>
      <c r="I183" s="2558">
        <v>0</v>
      </c>
      <c r="J183" s="2560">
        <v>0</v>
      </c>
      <c r="K183" s="2724">
        <v>70</v>
      </c>
      <c r="L183" s="2627" t="str">
        <f>CONCATENATE(IF(AND(D183&gt;0,G183&lt;F183),"ERROR - S1 deductible-IRA contribution start age &gt; end age",""),IF(AND(H183&gt;0,J183&lt;I183)," --- S1 deductible-IRA withdrawal start age &gt; end age",""),".")</f>
        <v>.</v>
      </c>
      <c r="M183" s="1454"/>
    </row>
    <row r="184" spans="1:14" s="215" customFormat="1" ht="16.5" thickTop="1" thickBot="1" x14ac:dyDescent="0.3">
      <c r="A184" s="1336"/>
      <c r="B184" s="2241"/>
      <c r="C184" s="2716"/>
      <c r="D184" s="2717"/>
      <c r="E184" s="2717"/>
      <c r="F184" s="2725"/>
      <c r="G184" s="2725"/>
      <c r="H184" s="2726"/>
      <c r="I184" s="2727"/>
      <c r="J184" s="2727"/>
      <c r="K184" s="2728"/>
      <c r="L184" s="2729"/>
      <c r="M184" s="1454"/>
    </row>
    <row r="185" spans="1:14" s="215" customFormat="1" ht="66" thickTop="1" thickBot="1" x14ac:dyDescent="0.3">
      <c r="A185" s="1336"/>
      <c r="B185" s="2255" t="s">
        <v>1844</v>
      </c>
      <c r="C185" s="2703"/>
      <c r="D185" s="2704" t="s">
        <v>1853</v>
      </c>
      <c r="E185" s="2705" t="s">
        <v>2409</v>
      </c>
      <c r="F185" s="2705" t="s">
        <v>1858</v>
      </c>
      <c r="G185" s="2705" t="s">
        <v>1857</v>
      </c>
      <c r="H185" s="2730" t="s">
        <v>1866</v>
      </c>
      <c r="I185" s="2731" t="s">
        <v>1867</v>
      </c>
      <c r="J185" s="2732" t="s">
        <v>1868</v>
      </c>
      <c r="K185" s="2733" t="s">
        <v>2425</v>
      </c>
      <c r="L185" s="2734" t="s">
        <v>1863</v>
      </c>
      <c r="M185" s="1454"/>
    </row>
    <row r="186" spans="1:14" s="215" customFormat="1" ht="15.75" thickTop="1" x14ac:dyDescent="0.25">
      <c r="A186" s="1336"/>
      <c r="B186" s="3519" t="s">
        <v>2825</v>
      </c>
      <c r="C186" s="2359"/>
      <c r="D186" s="3309">
        <f t="shared" ref="D186:J186" si="7">D174</f>
        <v>2500</v>
      </c>
      <c r="E186" s="3297">
        <f t="shared" si="7"/>
        <v>0.01</v>
      </c>
      <c r="F186" s="3310">
        <f t="shared" si="7"/>
        <v>55</v>
      </c>
      <c r="G186" s="3310">
        <f t="shared" si="7"/>
        <v>64</v>
      </c>
      <c r="H186" s="3312">
        <f t="shared" si="7"/>
        <v>0.04</v>
      </c>
      <c r="I186" s="3313">
        <f t="shared" si="7"/>
        <v>60</v>
      </c>
      <c r="J186" s="3314">
        <f t="shared" si="7"/>
        <v>63</v>
      </c>
      <c r="K186" s="3151">
        <v>70</v>
      </c>
      <c r="L186" s="2457" t="str">
        <f>CONCATENATE(IF(AND(D186&gt;0,G186&lt;F186),"ERROR - S2 IRA contribution start age &gt; end age",""), IF(AND(H185&gt;0,J186&lt;I186)," --- S2 IRA withdrawal start age &gt; end age",""),".")</f>
        <v>.</v>
      </c>
      <c r="M186" s="1454"/>
    </row>
    <row r="187" spans="1:14" s="215" customFormat="1" x14ac:dyDescent="0.25">
      <c r="A187" s="1336"/>
      <c r="B187" s="2747" t="s">
        <v>2291</v>
      </c>
      <c r="C187" s="2359"/>
      <c r="D187" s="2367" t="s">
        <v>1791</v>
      </c>
      <c r="E187" s="2368" t="s">
        <v>1791</v>
      </c>
      <c r="F187" s="2368" t="s">
        <v>1791</v>
      </c>
      <c r="G187" s="2796" t="s">
        <v>1791</v>
      </c>
      <c r="H187" s="3146">
        <v>1.8499999999999999E-2</v>
      </c>
      <c r="I187" s="2369">
        <v>58</v>
      </c>
      <c r="J187" s="2302">
        <v>63</v>
      </c>
      <c r="K187" s="2369">
        <v>58</v>
      </c>
      <c r="L187" s="2457" t="str">
        <f xml:space="preserve"> IF(AND(H187&gt;0,J187&lt;I187),"ERROR - S2 inherited-5yr IRA withdrawal start age &gt; end age",".")</f>
        <v>.</v>
      </c>
      <c r="M187" s="1454"/>
    </row>
    <row r="188" spans="1:14" s="215" customFormat="1" x14ac:dyDescent="0.25">
      <c r="A188" s="1336"/>
      <c r="B188" s="2747" t="s">
        <v>2293</v>
      </c>
      <c r="C188" s="2359"/>
      <c r="D188" s="2367" t="s">
        <v>1791</v>
      </c>
      <c r="E188" s="2368" t="s">
        <v>1791</v>
      </c>
      <c r="F188" s="2368" t="s">
        <v>1791</v>
      </c>
      <c r="G188" s="2796" t="s">
        <v>1791</v>
      </c>
      <c r="H188" s="3146">
        <v>1.7999999999999999E-2</v>
      </c>
      <c r="I188" s="2369">
        <v>59</v>
      </c>
      <c r="J188" s="2302">
        <v>65</v>
      </c>
      <c r="K188" s="2369">
        <v>59</v>
      </c>
      <c r="L188" s="2457" t="str">
        <f>IF(AND(H188&gt;0,J188&lt;I188),"ERROR - S2 inherited-Lifetime IRA withdrawal start age &gt; end age",".")</f>
        <v>.</v>
      </c>
      <c r="M188" s="1454"/>
    </row>
    <row r="189" spans="1:14" s="215" customFormat="1" ht="15.75" thickBot="1" x14ac:dyDescent="0.3">
      <c r="A189" s="2738" t="s">
        <v>1791</v>
      </c>
      <c r="B189" s="2553" t="s">
        <v>2864</v>
      </c>
      <c r="C189" s="2554"/>
      <c r="D189" s="2555">
        <v>0</v>
      </c>
      <c r="E189" s="2556">
        <v>0</v>
      </c>
      <c r="F189" s="2557">
        <v>0</v>
      </c>
      <c r="G189" s="2557">
        <v>0</v>
      </c>
      <c r="H189" s="2805">
        <v>0</v>
      </c>
      <c r="I189" s="2558">
        <v>0</v>
      </c>
      <c r="J189" s="2557">
        <v>0</v>
      </c>
      <c r="K189" s="2735">
        <v>70</v>
      </c>
      <c r="L189" s="2628" t="str">
        <f>CONCATENATE(IF(AND(D189&gt;0,G189&lt;F189),"ERROR - S2 deductible-IRA contribution start age &gt; end age",""),IF(AND(H189&gt;0,J189&lt;I189)," --- S2 deductible-IRA withdrawal start age &gt; end age",""),".")</f>
        <v>.</v>
      </c>
      <c r="M189" s="1454"/>
    </row>
    <row r="190" spans="1:14" s="215" customFormat="1" ht="16.5" thickTop="1" thickBot="1" x14ac:dyDescent="0.3">
      <c r="A190" s="2547"/>
      <c r="B190" s="1757"/>
      <c r="C190" s="1757"/>
      <c r="D190" s="1757"/>
      <c r="E190" s="1757"/>
      <c r="F190" s="2548"/>
      <c r="G190" s="1757"/>
      <c r="H190" s="1757"/>
      <c r="I190" s="1757"/>
      <c r="J190" s="1757"/>
      <c r="K190" s="1757"/>
      <c r="L190" s="1855"/>
      <c r="M190" s="2625"/>
    </row>
    <row r="191" spans="1:14" s="215" customFormat="1" ht="15.75" thickTop="1" x14ac:dyDescent="0.25">
      <c r="A191" s="33"/>
      <c r="B191" s="33"/>
      <c r="C191" s="33"/>
      <c r="D191" s="33"/>
      <c r="E191" s="33"/>
      <c r="F191" s="2545"/>
      <c r="G191" s="33"/>
      <c r="H191" s="33"/>
      <c r="I191" s="33"/>
      <c r="J191" s="33"/>
      <c r="K191" s="33"/>
      <c r="L191" s="33"/>
    </row>
    <row r="192" spans="1:14" ht="15.75" thickBot="1" x14ac:dyDescent="0.3">
      <c r="N192" s="215"/>
    </row>
    <row r="193" spans="1:13" ht="19.5" thickTop="1" x14ac:dyDescent="0.3">
      <c r="A193" s="265" t="s">
        <v>2103</v>
      </c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341"/>
      <c r="M193" s="1342"/>
    </row>
    <row r="194" spans="1:13" x14ac:dyDescent="0.25">
      <c r="A194" s="38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1311"/>
    </row>
    <row r="195" spans="1:13" x14ac:dyDescent="0.25">
      <c r="A195" s="38" t="s">
        <v>266</v>
      </c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1311"/>
    </row>
    <row r="196" spans="1:13" x14ac:dyDescent="0.25">
      <c r="A196" s="38" t="s">
        <v>213</v>
      </c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1311"/>
    </row>
    <row r="197" spans="1:13" x14ac:dyDescent="0.25">
      <c r="A197" s="38" t="s">
        <v>214</v>
      </c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1311"/>
    </row>
    <row r="198" spans="1:13" x14ac:dyDescent="0.25">
      <c r="A198" s="38" t="s">
        <v>215</v>
      </c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1311"/>
    </row>
    <row r="199" spans="1:13" x14ac:dyDescent="0.25">
      <c r="A199" s="38" t="s">
        <v>216</v>
      </c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1311"/>
    </row>
    <row r="200" spans="1:13" x14ac:dyDescent="0.25">
      <c r="A200" s="38" t="s">
        <v>217</v>
      </c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1311"/>
    </row>
    <row r="201" spans="1:13" ht="15.75" thickBot="1" x14ac:dyDescent="0.3">
      <c r="A201" s="38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1311"/>
    </row>
    <row r="202" spans="1:13" ht="19.5" thickBot="1" x14ac:dyDescent="0.35">
      <c r="B202" s="2362" t="str">
        <f>IF($I$16="yes","Using irregular IRA (Contributions and Withdrawals)","NOT Using irregular IRA (Contributions and Withdrawals)")</f>
        <v>Using irregular IRA (Contributions and Withdrawals)</v>
      </c>
      <c r="C202" s="2363"/>
      <c r="D202" s="2364"/>
      <c r="E202" s="2364"/>
      <c r="F202" s="2364"/>
      <c r="G202" s="2365"/>
      <c r="H202" s="2366"/>
      <c r="I202" s="215"/>
      <c r="J202" s="6"/>
      <c r="K202" s="6"/>
      <c r="L202" s="6"/>
      <c r="M202" s="1311"/>
    </row>
    <row r="203" spans="1:13" ht="15.75" x14ac:dyDescent="0.25">
      <c r="B203" s="1097" t="s">
        <v>59</v>
      </c>
      <c r="C203" s="1097"/>
      <c r="D203" s="1097"/>
      <c r="E203" s="1097"/>
      <c r="F203" s="1097"/>
      <c r="G203" s="1097"/>
      <c r="H203" s="1097"/>
      <c r="I203" s="1388" t="s">
        <v>1104</v>
      </c>
      <c r="J203" s="6"/>
      <c r="K203" s="6"/>
      <c r="L203" s="6"/>
      <c r="M203" s="1311"/>
    </row>
    <row r="204" spans="1:13" x14ac:dyDescent="0.25">
      <c r="A204" s="38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1311"/>
    </row>
    <row r="205" spans="1:13" x14ac:dyDescent="0.25">
      <c r="A205" s="38" t="s">
        <v>3353</v>
      </c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1311"/>
    </row>
    <row r="206" spans="1:13" x14ac:dyDescent="0.25">
      <c r="A206" s="38" t="s">
        <v>417</v>
      </c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1311"/>
    </row>
    <row r="207" spans="1:13" x14ac:dyDescent="0.25">
      <c r="A207" s="38" t="s">
        <v>553</v>
      </c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1311"/>
    </row>
    <row r="208" spans="1:13" x14ac:dyDescent="0.25">
      <c r="A208" s="38" t="s">
        <v>418</v>
      </c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1311"/>
    </row>
    <row r="209" spans="1:13" x14ac:dyDescent="0.25">
      <c r="A209" s="38" t="s">
        <v>3351</v>
      </c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1311"/>
    </row>
    <row r="210" spans="1:13" x14ac:dyDescent="0.25">
      <c r="A210" s="1336" t="s">
        <v>3352</v>
      </c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1311"/>
    </row>
    <row r="211" spans="1:13" ht="15.75" thickBot="1" x14ac:dyDescent="0.3">
      <c r="A211" s="692"/>
      <c r="B211" s="33"/>
      <c r="C211" s="33"/>
      <c r="D211" s="33"/>
      <c r="E211" s="33"/>
      <c r="F211" s="33"/>
      <c r="G211" s="33"/>
      <c r="H211" s="33"/>
      <c r="I211" s="33"/>
      <c r="J211" s="6"/>
      <c r="K211" s="6"/>
      <c r="L211" s="6"/>
      <c r="M211" s="1311"/>
    </row>
    <row r="212" spans="1:13" ht="19.5" thickTop="1" x14ac:dyDescent="0.3">
      <c r="A212" s="1340" t="s">
        <v>2106</v>
      </c>
      <c r="B212" s="1498"/>
      <c r="C212" s="1498"/>
      <c r="D212" s="1498"/>
      <c r="E212" s="1498"/>
      <c r="F212" s="1498"/>
      <c r="G212" s="1498"/>
      <c r="H212" s="1498"/>
      <c r="I212" s="1498"/>
      <c r="J212" s="1341"/>
      <c r="K212" s="1341"/>
      <c r="L212" s="1341"/>
      <c r="M212" s="1342"/>
    </row>
    <row r="213" spans="1:13" ht="18.75" x14ac:dyDescent="0.3">
      <c r="A213" s="1438" t="s">
        <v>2107</v>
      </c>
      <c r="B213" s="693"/>
      <c r="C213" s="693"/>
      <c r="D213" s="693"/>
      <c r="E213" s="693"/>
      <c r="F213" s="693"/>
      <c r="G213" s="693"/>
      <c r="H213" s="693"/>
      <c r="I213" s="693"/>
      <c r="J213" s="6"/>
      <c r="K213" s="6"/>
      <c r="L213" s="6"/>
      <c r="M213" s="1311"/>
    </row>
    <row r="214" spans="1:13" ht="15.75" x14ac:dyDescent="0.25">
      <c r="A214" s="139"/>
      <c r="B214" s="693"/>
      <c r="C214" s="693"/>
      <c r="D214" s="693"/>
      <c r="E214" s="693"/>
      <c r="F214" s="693"/>
      <c r="G214" s="693"/>
      <c r="H214" s="693"/>
      <c r="I214" s="693"/>
      <c r="J214" s="6"/>
      <c r="K214" s="6"/>
      <c r="L214" s="6"/>
      <c r="M214" s="1311"/>
    </row>
    <row r="215" spans="1:13" ht="15.75" x14ac:dyDescent="0.25">
      <c r="A215" s="1416" t="s">
        <v>1915</v>
      </c>
      <c r="B215" s="164"/>
      <c r="C215" s="164"/>
      <c r="D215" s="164"/>
      <c r="E215" s="164"/>
      <c r="F215" s="164"/>
      <c r="G215" s="164"/>
      <c r="H215" s="164"/>
      <c r="I215" s="693"/>
      <c r="J215" s="6"/>
      <c r="K215" s="6"/>
      <c r="L215" s="6"/>
      <c r="M215" s="1311"/>
    </row>
    <row r="216" spans="1:13" ht="15.75" x14ac:dyDescent="0.25">
      <c r="A216" s="1416" t="s">
        <v>2433</v>
      </c>
      <c r="B216" s="164"/>
      <c r="C216" s="164"/>
      <c r="D216" s="164"/>
      <c r="E216" s="164"/>
      <c r="F216" s="164"/>
      <c r="G216" s="164"/>
      <c r="H216" s="164"/>
      <c r="I216" s="693"/>
      <c r="J216" s="6"/>
      <c r="K216" s="6"/>
      <c r="L216" s="6"/>
      <c r="M216" s="1311"/>
    </row>
    <row r="217" spans="1:13" ht="15.75" x14ac:dyDescent="0.25">
      <c r="A217" s="1416" t="s">
        <v>1914</v>
      </c>
      <c r="B217" s="164"/>
      <c r="C217" s="164"/>
      <c r="D217" s="164"/>
      <c r="E217" s="164"/>
      <c r="F217" s="164"/>
      <c r="G217" s="164"/>
      <c r="H217" s="164"/>
      <c r="I217" s="693"/>
      <c r="J217" s="6"/>
      <c r="K217" s="6"/>
      <c r="L217" s="6"/>
      <c r="M217" s="1311"/>
    </row>
    <row r="218" spans="1:13" ht="15.75" x14ac:dyDescent="0.25">
      <c r="A218" s="1296"/>
      <c r="B218" s="164"/>
      <c r="C218" s="164"/>
      <c r="D218" s="164"/>
      <c r="E218" s="164"/>
      <c r="F218" s="164"/>
      <c r="G218" s="164"/>
      <c r="H218" s="164"/>
      <c r="I218" s="693"/>
      <c r="J218" s="6"/>
      <c r="K218" s="6"/>
      <c r="L218" s="6"/>
      <c r="M218" s="1311"/>
    </row>
    <row r="219" spans="1:13" ht="15.75" x14ac:dyDescent="0.25">
      <c r="A219" s="1416" t="s">
        <v>2108</v>
      </c>
      <c r="B219" s="164"/>
      <c r="C219" s="164"/>
      <c r="D219" s="164"/>
      <c r="E219" s="164"/>
      <c r="F219" s="164"/>
      <c r="G219" s="164"/>
      <c r="H219" s="164"/>
      <c r="I219" s="693"/>
      <c r="J219" s="6"/>
      <c r="K219" s="6"/>
      <c r="L219" s="6"/>
      <c r="M219" s="1311"/>
    </row>
    <row r="220" spans="1:13" ht="15.75" x14ac:dyDescent="0.25">
      <c r="A220" s="1416" t="s">
        <v>1916</v>
      </c>
      <c r="B220" s="164"/>
      <c r="C220" s="164"/>
      <c r="D220" s="164"/>
      <c r="E220" s="164"/>
      <c r="F220" s="164"/>
      <c r="G220" s="164"/>
      <c r="H220" s="164"/>
      <c r="I220" s="693"/>
      <c r="J220" s="6"/>
      <c r="K220" s="6"/>
      <c r="L220" s="6"/>
      <c r="M220" s="1311"/>
    </row>
    <row r="221" spans="1:13" ht="15.75" x14ac:dyDescent="0.25">
      <c r="A221" s="1416"/>
      <c r="B221" s="164"/>
      <c r="C221" s="164"/>
      <c r="D221" s="164"/>
      <c r="E221" s="164"/>
      <c r="F221" s="164"/>
      <c r="H221" s="164"/>
      <c r="I221" s="693"/>
      <c r="J221" s="6"/>
      <c r="K221" s="6"/>
      <c r="L221" s="6"/>
      <c r="M221" s="1311"/>
    </row>
    <row r="222" spans="1:13" ht="15.75" x14ac:dyDescent="0.25">
      <c r="A222" s="1416"/>
      <c r="B222" s="164"/>
      <c r="C222" s="164"/>
      <c r="D222" s="164"/>
      <c r="E222" s="164"/>
      <c r="F222" s="164"/>
      <c r="G222" s="164"/>
      <c r="H222" s="164"/>
      <c r="I222" s="693"/>
      <c r="J222" s="6"/>
      <c r="K222" s="6"/>
      <c r="L222" s="6"/>
      <c r="M222" s="1311"/>
    </row>
    <row r="223" spans="1:13" ht="15.75" x14ac:dyDescent="0.25">
      <c r="A223" s="1416"/>
      <c r="B223" s="164"/>
      <c r="C223" s="164"/>
      <c r="D223" s="164"/>
      <c r="E223" s="164"/>
      <c r="F223" s="164"/>
      <c r="G223" s="164"/>
      <c r="H223" s="164"/>
      <c r="I223" s="693"/>
      <c r="J223" s="6"/>
      <c r="K223" s="6"/>
      <c r="L223" s="6"/>
      <c r="M223" s="1311"/>
    </row>
    <row r="224" spans="1:13" ht="15.75" x14ac:dyDescent="0.25">
      <c r="A224" s="1416" t="s">
        <v>2288</v>
      </c>
      <c r="B224" s="164"/>
      <c r="C224" s="164"/>
      <c r="D224" s="164"/>
      <c r="E224" s="164"/>
      <c r="F224" s="164"/>
      <c r="G224" s="164"/>
      <c r="H224" s="164"/>
      <c r="I224" s="693"/>
      <c r="J224" s="1643" t="s">
        <v>2868</v>
      </c>
      <c r="K224" s="6"/>
      <c r="L224" s="6"/>
      <c r="M224" s="1311"/>
    </row>
    <row r="225" spans="1:13" ht="15.75" x14ac:dyDescent="0.25">
      <c r="A225" s="1416" t="s">
        <v>2241</v>
      </c>
      <c r="B225" s="164"/>
      <c r="C225" s="164"/>
      <c r="D225" s="164"/>
      <c r="E225" s="164"/>
      <c r="F225" s="164"/>
      <c r="G225" s="164"/>
      <c r="H225" s="164"/>
      <c r="I225" s="693"/>
      <c r="J225" s="6"/>
      <c r="K225" s="6"/>
      <c r="L225" s="6"/>
      <c r="M225" s="1311"/>
    </row>
    <row r="226" spans="1:13" ht="15.75" x14ac:dyDescent="0.25">
      <c r="A226" s="1416" t="s">
        <v>2242</v>
      </c>
      <c r="B226" s="164"/>
      <c r="C226" s="164"/>
      <c r="D226" s="164"/>
      <c r="E226" s="164"/>
      <c r="F226" s="164"/>
      <c r="G226" s="164"/>
      <c r="H226" s="164"/>
      <c r="I226" s="693"/>
      <c r="J226" s="6"/>
      <c r="K226" s="6"/>
      <c r="L226" s="6"/>
      <c r="M226" s="1311"/>
    </row>
    <row r="227" spans="1:13" ht="15.75" x14ac:dyDescent="0.25">
      <c r="A227" s="1416"/>
      <c r="B227" s="164"/>
      <c r="C227" s="164"/>
      <c r="D227" s="164"/>
      <c r="E227" s="164"/>
      <c r="F227" s="164"/>
      <c r="G227" s="164"/>
      <c r="H227" s="164"/>
      <c r="I227" s="693"/>
      <c r="J227" s="6"/>
      <c r="K227" s="6"/>
      <c r="L227" s="6"/>
      <c r="M227" s="1311"/>
    </row>
    <row r="228" spans="1:13" ht="15.75" x14ac:dyDescent="0.25">
      <c r="A228" s="1416"/>
      <c r="B228" s="164"/>
      <c r="C228" s="164"/>
      <c r="D228" s="164"/>
      <c r="E228" s="164"/>
      <c r="F228" s="164"/>
      <c r="G228" s="164"/>
      <c r="H228" s="164"/>
      <c r="I228" s="693"/>
      <c r="J228" s="6"/>
      <c r="K228" s="6"/>
      <c r="L228" s="6"/>
      <c r="M228" s="1311"/>
    </row>
    <row r="229" spans="1:13" ht="15.75" x14ac:dyDescent="0.25">
      <c r="A229" s="1416"/>
      <c r="B229" s="164"/>
      <c r="C229" s="164"/>
      <c r="D229" s="164"/>
      <c r="E229" s="164"/>
      <c r="F229" s="164"/>
      <c r="G229" s="164"/>
      <c r="H229" s="164"/>
      <c r="I229" s="693"/>
      <c r="J229" s="6"/>
      <c r="K229" s="6"/>
      <c r="L229" s="6"/>
      <c r="M229" s="1311"/>
    </row>
    <row r="230" spans="1:13" ht="15.75" x14ac:dyDescent="0.25">
      <c r="A230" s="1416" t="s">
        <v>3437</v>
      </c>
      <c r="B230" s="164"/>
      <c r="C230" s="164"/>
      <c r="D230" s="164"/>
      <c r="E230" s="164"/>
      <c r="F230" s="164"/>
      <c r="G230" s="164"/>
      <c r="H230" s="164"/>
      <c r="I230" s="693"/>
      <c r="J230" s="6"/>
      <c r="K230" s="6"/>
      <c r="L230" s="6"/>
      <c r="M230" s="1311"/>
    </row>
    <row r="231" spans="1:13" ht="15.75" x14ac:dyDescent="0.25">
      <c r="A231" s="1416" t="s">
        <v>3440</v>
      </c>
      <c r="B231" s="164"/>
      <c r="C231" s="164"/>
      <c r="D231" s="164"/>
      <c r="E231" s="164"/>
      <c r="F231" s="164"/>
      <c r="G231" s="164"/>
      <c r="H231" s="164"/>
      <c r="I231" s="693"/>
      <c r="J231" s="6"/>
      <c r="K231" s="6"/>
      <c r="L231" s="6"/>
      <c r="M231" s="1311"/>
    </row>
    <row r="232" spans="1:13" ht="15.75" x14ac:dyDescent="0.25">
      <c r="A232" s="1416" t="s">
        <v>3439</v>
      </c>
      <c r="B232" s="164"/>
      <c r="C232" s="164"/>
      <c r="D232" s="164"/>
      <c r="E232" s="164"/>
      <c r="F232" s="164"/>
      <c r="G232" s="164"/>
      <c r="H232" s="164"/>
      <c r="I232" s="693"/>
      <c r="J232" s="6"/>
      <c r="K232" s="6"/>
      <c r="L232" s="6"/>
      <c r="M232" s="1311"/>
    </row>
    <row r="233" spans="1:13" ht="16.5" thickBot="1" x14ac:dyDescent="0.3">
      <c r="A233" s="38"/>
      <c r="B233" s="693"/>
      <c r="C233" s="693"/>
      <c r="D233" s="693"/>
      <c r="E233" s="693"/>
      <c r="F233" s="693"/>
      <c r="G233" s="693"/>
      <c r="H233" s="693"/>
      <c r="I233" s="693"/>
      <c r="J233" s="6"/>
      <c r="K233" s="6"/>
      <c r="L233" s="6"/>
      <c r="M233" s="1315"/>
    </row>
    <row r="234" spans="1:13" s="447" customFormat="1" ht="73.5" thickTop="1" thickBot="1" x14ac:dyDescent="0.25">
      <c r="A234" s="663" t="s">
        <v>218</v>
      </c>
      <c r="B234" s="666" t="s">
        <v>1426</v>
      </c>
      <c r="C234" s="2379" t="s">
        <v>2104</v>
      </c>
      <c r="D234" s="664" t="s">
        <v>221</v>
      </c>
      <c r="E234" s="512" t="s">
        <v>570</v>
      </c>
      <c r="F234" s="454" t="s">
        <v>567</v>
      </c>
      <c r="G234" s="665" t="s">
        <v>568</v>
      </c>
      <c r="H234" s="666" t="s">
        <v>1427</v>
      </c>
      <c r="I234" s="2379" t="s">
        <v>2105</v>
      </c>
      <c r="J234" s="664" t="s">
        <v>222</v>
      </c>
      <c r="K234" s="512" t="s">
        <v>569</v>
      </c>
      <c r="L234" s="454" t="s">
        <v>571</v>
      </c>
      <c r="M234" s="665" t="s">
        <v>572</v>
      </c>
    </row>
    <row r="235" spans="1:13" s="306" customFormat="1" ht="12.75" thickTop="1" x14ac:dyDescent="0.2">
      <c r="A235" s="307">
        <v>1</v>
      </c>
      <c r="B235" s="1701" t="s">
        <v>220</v>
      </c>
      <c r="C235" s="3053" t="s">
        <v>355</v>
      </c>
      <c r="D235" s="1702">
        <v>0</v>
      </c>
      <c r="E235" s="1702"/>
      <c r="F235" s="1703">
        <v>0</v>
      </c>
      <c r="G235" s="1214">
        <f>IF(OR(B235="U",F235=0),0,  F235*POWER((1+'2. TaxData'!$I$65),(D235-'1. AgeData'!$D$30)))</f>
        <v>0</v>
      </c>
      <c r="H235" s="1701" t="s">
        <v>2443</v>
      </c>
      <c r="I235" s="3053" t="s">
        <v>355</v>
      </c>
      <c r="J235" s="3225">
        <v>64</v>
      </c>
      <c r="K235" s="1702" t="s">
        <v>2439</v>
      </c>
      <c r="L235" s="1682">
        <v>1400</v>
      </c>
      <c r="M235" s="421">
        <f>IF(OR(H235="U",L235=0),0,  L235*POWER((1+'2. TaxData'!$I$65),(J235-'1. AgeData'!$D$31)))</f>
        <v>1673.1295960712353</v>
      </c>
    </row>
    <row r="236" spans="1:13" s="306" customFormat="1" ht="12" x14ac:dyDescent="0.2">
      <c r="A236" s="307">
        <v>2</v>
      </c>
      <c r="B236" s="1701" t="s">
        <v>2443</v>
      </c>
      <c r="C236" s="3053" t="s">
        <v>355</v>
      </c>
      <c r="D236" s="1707">
        <v>60</v>
      </c>
      <c r="E236" s="1702" t="s">
        <v>2439</v>
      </c>
      <c r="F236" s="1682">
        <v>1500</v>
      </c>
      <c r="G236" s="1214">
        <f>IF(OR(B236="U",F236=0),0,  F236*POWER((1+'2. TaxData'!$I$65),(D236-'1. AgeData'!$D$30)))</f>
        <v>1500</v>
      </c>
      <c r="H236" s="1701" t="s">
        <v>220</v>
      </c>
      <c r="I236" s="3053" t="s">
        <v>355</v>
      </c>
      <c r="J236" s="3221">
        <v>0</v>
      </c>
      <c r="K236" s="3222"/>
      <c r="L236" s="3223">
        <v>0</v>
      </c>
      <c r="M236" s="421">
        <f>IF(OR(H236="U",L236=0),0,  L236*POWER((1+'2. TaxData'!$I$65),(J236-'1. AgeData'!$D$31)))</f>
        <v>0</v>
      </c>
    </row>
    <row r="237" spans="1:13" s="306" customFormat="1" ht="12" x14ac:dyDescent="0.2">
      <c r="A237" s="307">
        <v>3</v>
      </c>
      <c r="B237" s="1701" t="s">
        <v>2443</v>
      </c>
      <c r="C237" s="3053" t="s">
        <v>355</v>
      </c>
      <c r="D237" s="1707">
        <v>71</v>
      </c>
      <c r="E237" s="1702" t="s">
        <v>2440</v>
      </c>
      <c r="F237" s="1682">
        <v>1700</v>
      </c>
      <c r="G237" s="1214">
        <f>IF(OR(B237="U",F237=0),0,  F237*POWER((1+'2. TaxData'!$I$65),(D237-'1. AgeData'!$D$30)))</f>
        <v>2113.7363242709084</v>
      </c>
      <c r="H237" s="1701" t="s">
        <v>2443</v>
      </c>
      <c r="I237" s="3053" t="s">
        <v>355</v>
      </c>
      <c r="J237" s="1707">
        <v>66</v>
      </c>
      <c r="K237" s="1702" t="s">
        <v>2440</v>
      </c>
      <c r="L237" s="1682">
        <v>1700</v>
      </c>
      <c r="M237" s="421">
        <f>IF(OR(H237="U",L237=0),0,  L237*POWER((1+'2. TaxData'!$I$65),(J237-'1. AgeData'!$D$31)))</f>
        <v>2113.7363242709084</v>
      </c>
    </row>
    <row r="238" spans="1:13" s="306" customFormat="1" ht="48" x14ac:dyDescent="0.2">
      <c r="A238" s="307">
        <v>4</v>
      </c>
      <c r="B238" s="1701" t="s">
        <v>2443</v>
      </c>
      <c r="C238" s="3053" t="s">
        <v>355</v>
      </c>
      <c r="D238" s="1707">
        <v>75</v>
      </c>
      <c r="E238" s="1702" t="s">
        <v>2441</v>
      </c>
      <c r="F238" s="1682">
        <v>2500</v>
      </c>
      <c r="G238" s="1214">
        <f>IF(OR(B238="U",F238=0),0,  F238*POWER((1+'2. TaxData'!$I$65),(D238-'1. AgeData'!$D$30)))</f>
        <v>3364.670845810323</v>
      </c>
      <c r="H238" s="1701" t="s">
        <v>2443</v>
      </c>
      <c r="I238" s="3053" t="s">
        <v>355</v>
      </c>
      <c r="J238" s="1707">
        <v>70</v>
      </c>
      <c r="K238" s="1702" t="s">
        <v>2441</v>
      </c>
      <c r="L238" s="1682">
        <v>2500</v>
      </c>
      <c r="M238" s="421">
        <f>IF(OR(H238="U",L238=0),0,  L238*POWER((1+'2. TaxData'!$I$65),(J238-'1. AgeData'!$D$31)))</f>
        <v>3364.670845810323</v>
      </c>
    </row>
    <row r="239" spans="1:13" s="306" customFormat="1" ht="12" x14ac:dyDescent="0.2">
      <c r="A239" s="307">
        <v>5</v>
      </c>
      <c r="B239" s="1701" t="s">
        <v>2443</v>
      </c>
      <c r="C239" s="3053" t="s">
        <v>355</v>
      </c>
      <c r="D239" s="3221">
        <v>70</v>
      </c>
      <c r="E239" s="3222" t="s">
        <v>2442</v>
      </c>
      <c r="F239" s="3223">
        <v>1200</v>
      </c>
      <c r="G239" s="1214">
        <f>IF(OR(B239="U",F239=0),0,  F239*POWER((1+'2. TaxData'!$I$65),(D239-'1. AgeData'!$D$30)))</f>
        <v>1462.7933039937086</v>
      </c>
      <c r="H239" s="1701" t="s">
        <v>2443</v>
      </c>
      <c r="I239" s="3053" t="s">
        <v>355</v>
      </c>
      <c r="J239" s="1707">
        <v>70</v>
      </c>
      <c r="K239" s="1702" t="s">
        <v>2442</v>
      </c>
      <c r="L239" s="1682">
        <v>750</v>
      </c>
      <c r="M239" s="421">
        <f>IF(OR(H239="U",L239=0),0,  L239*POWER((1+'2. TaxData'!$I$65),(J239-'1. AgeData'!$D$31)))</f>
        <v>1009.401253743097</v>
      </c>
    </row>
    <row r="240" spans="1:13" s="306" customFormat="1" ht="12" x14ac:dyDescent="0.2">
      <c r="A240" s="307">
        <v>6</v>
      </c>
      <c r="B240" s="1701" t="s">
        <v>2443</v>
      </c>
      <c r="C240" s="3053" t="s">
        <v>355</v>
      </c>
      <c r="D240" s="3221">
        <v>75</v>
      </c>
      <c r="E240" s="3222" t="s">
        <v>2442</v>
      </c>
      <c r="F240" s="3223">
        <v>1300</v>
      </c>
      <c r="G240" s="1214">
        <f>IF(OR(B240="U",F240=0),0,  F240*POWER((1+'2. TaxData'!$I$65),(D240-'1. AgeData'!$D$30)))</f>
        <v>1749.628839821368</v>
      </c>
      <c r="H240" s="1701" t="s">
        <v>2444</v>
      </c>
      <c r="I240" s="3053" t="s">
        <v>355</v>
      </c>
      <c r="J240" s="1707">
        <v>59</v>
      </c>
      <c r="K240" s="1702" t="s">
        <v>2445</v>
      </c>
      <c r="L240" s="1703">
        <v>950</v>
      </c>
      <c r="M240" s="421">
        <f>IF(OR(H240="U",L240=0),0,  L240*POWER((1+'2. TaxData'!$I$65),(J240-'1. AgeData'!$D$31)))</f>
        <v>1028.3105519999999</v>
      </c>
    </row>
    <row r="241" spans="1:13" s="306" customFormat="1" ht="12" x14ac:dyDescent="0.2">
      <c r="A241" s="307">
        <v>7</v>
      </c>
      <c r="B241" s="1701" t="s">
        <v>2443</v>
      </c>
      <c r="C241" s="3053" t="s">
        <v>355</v>
      </c>
      <c r="D241" s="3221">
        <v>60</v>
      </c>
      <c r="E241" s="3222" t="s">
        <v>2442</v>
      </c>
      <c r="F241" s="3223">
        <v>500</v>
      </c>
      <c r="G241" s="1214">
        <f>IF(OR(B241="U",F241=0),0,  F241*POWER((1+'2. TaxData'!$I$65),(D241-'1. AgeData'!$D$30)))</f>
        <v>500</v>
      </c>
      <c r="H241" s="1701" t="s">
        <v>220</v>
      </c>
      <c r="I241" s="3053" t="s">
        <v>355</v>
      </c>
      <c r="J241" s="1707">
        <v>0</v>
      </c>
      <c r="K241" s="1702"/>
      <c r="L241" s="1703">
        <v>0</v>
      </c>
      <c r="M241" s="421">
        <f>IF(OR(H241="U",L241=0),0,  L241*POWER((1+'2. TaxData'!$I$65),(J241-'1. AgeData'!$D$31)))</f>
        <v>0</v>
      </c>
    </row>
    <row r="242" spans="1:13" s="306" customFormat="1" ht="12" x14ac:dyDescent="0.2">
      <c r="A242" s="307">
        <v>8</v>
      </c>
      <c r="B242" s="1701" t="s">
        <v>2444</v>
      </c>
      <c r="C242" s="3053" t="s">
        <v>355</v>
      </c>
      <c r="D242" s="3222">
        <v>63</v>
      </c>
      <c r="E242" s="3222" t="s">
        <v>2983</v>
      </c>
      <c r="F242" s="3224">
        <v>1100</v>
      </c>
      <c r="G242" s="1214">
        <f>IF(OR(B242="U",F242=0),0,  F242*POWER((1+'2. TaxData'!$I$65),(D242-'1. AgeData'!$D$30)))</f>
        <v>1167.3288</v>
      </c>
      <c r="H242" s="1701" t="s">
        <v>220</v>
      </c>
      <c r="I242" s="3053" t="s">
        <v>355</v>
      </c>
      <c r="J242" s="1707">
        <v>0</v>
      </c>
      <c r="K242" s="1702"/>
      <c r="L242" s="1703">
        <v>0</v>
      </c>
      <c r="M242" s="421">
        <f>IF(OR(H242="U",L242=0),0,  L242*POWER((1+'2. TaxData'!$I$65),(J242-'1. AgeData'!$D$31)))</f>
        <v>0</v>
      </c>
    </row>
    <row r="243" spans="1:13" x14ac:dyDescent="0.25">
      <c r="A243" s="307">
        <v>9</v>
      </c>
      <c r="B243" s="1701" t="s">
        <v>220</v>
      </c>
      <c r="C243" s="3053" t="s">
        <v>355</v>
      </c>
      <c r="D243" s="1702">
        <v>0</v>
      </c>
      <c r="E243" s="1702"/>
      <c r="F243" s="1703">
        <v>0</v>
      </c>
      <c r="G243" s="1214">
        <f>IF(OR(B243="U",F243=0),0,  F243*POWER((1+'2. TaxData'!$I$65),(D243-'1. AgeData'!$D$30)))</f>
        <v>0</v>
      </c>
      <c r="H243" s="1701" t="s">
        <v>220</v>
      </c>
      <c r="I243" s="3053" t="s">
        <v>355</v>
      </c>
      <c r="J243" s="1707">
        <v>0</v>
      </c>
      <c r="K243" s="1705"/>
      <c r="L243" s="1706">
        <v>0</v>
      </c>
      <c r="M243" s="421">
        <f>IF(OR(H243="U",L243=0),0,  L243*POWER((1+'2. TaxData'!$I$65),(J243-'1. AgeData'!$D$31)))</f>
        <v>0</v>
      </c>
    </row>
    <row r="244" spans="1:13" x14ac:dyDescent="0.25">
      <c r="A244" s="307">
        <v>10</v>
      </c>
      <c r="B244" s="1701" t="s">
        <v>220</v>
      </c>
      <c r="C244" s="3053" t="s">
        <v>355</v>
      </c>
      <c r="D244" s="1702">
        <v>0</v>
      </c>
      <c r="E244" s="1702"/>
      <c r="F244" s="1703">
        <v>0</v>
      </c>
      <c r="G244" s="1214">
        <f>IF(OR(B244="U",F244=0),0,  F244*POWER((1+'2. TaxData'!$I$65),(D244-'1. AgeData'!$D$30)))</f>
        <v>0</v>
      </c>
      <c r="H244" s="1701" t="s">
        <v>220</v>
      </c>
      <c r="I244" s="3053" t="s">
        <v>355</v>
      </c>
      <c r="J244" s="1707">
        <v>0</v>
      </c>
      <c r="K244" s="1705"/>
      <c r="L244" s="1706">
        <v>0</v>
      </c>
      <c r="M244" s="421">
        <f>IF(OR(H244="U",L244=0),0,  L244*POWER((1+'2. TaxData'!$I$65),(J244-'1. AgeData'!$D$31)))</f>
        <v>0</v>
      </c>
    </row>
    <row r="245" spans="1:13" x14ac:dyDescent="0.25">
      <c r="A245" s="307">
        <v>11</v>
      </c>
      <c r="B245" s="1701" t="s">
        <v>220</v>
      </c>
      <c r="C245" s="3053" t="s">
        <v>355</v>
      </c>
      <c r="D245" s="1702">
        <v>0</v>
      </c>
      <c r="E245" s="1702"/>
      <c r="F245" s="1703">
        <v>0</v>
      </c>
      <c r="G245" s="1214">
        <f>IF(OR(B245="U",F245=0),0,  F245*POWER((1+'2. TaxData'!$I$65),(D245-'1. AgeData'!$D$30)))</f>
        <v>0</v>
      </c>
      <c r="H245" s="1701" t="s">
        <v>220</v>
      </c>
      <c r="I245" s="3053" t="s">
        <v>355</v>
      </c>
      <c r="J245" s="1707">
        <v>0</v>
      </c>
      <c r="K245" s="1705"/>
      <c r="L245" s="1706">
        <v>0</v>
      </c>
      <c r="M245" s="421">
        <f>IF(OR(H245="U",L245=0),0,  L245*POWER((1+'2. TaxData'!$I$65),(J245-'1. AgeData'!$D$31)))</f>
        <v>0</v>
      </c>
    </row>
    <row r="246" spans="1:13" x14ac:dyDescent="0.25">
      <c r="A246" s="307">
        <v>12</v>
      </c>
      <c r="B246" s="1701" t="s">
        <v>220</v>
      </c>
      <c r="C246" s="3053" t="s">
        <v>355</v>
      </c>
      <c r="D246" s="1702">
        <v>0</v>
      </c>
      <c r="E246" s="1702"/>
      <c r="F246" s="1703">
        <v>0</v>
      </c>
      <c r="G246" s="1214">
        <f>IF(OR(B246="U",F246=0),0,  F246*POWER((1+'2. TaxData'!$I$65),(D246-'1. AgeData'!$D$30)))</f>
        <v>0</v>
      </c>
      <c r="H246" s="1701" t="s">
        <v>220</v>
      </c>
      <c r="I246" s="3053" t="s">
        <v>355</v>
      </c>
      <c r="J246" s="1707">
        <v>0</v>
      </c>
      <c r="K246" s="1705"/>
      <c r="L246" s="1706">
        <v>0</v>
      </c>
      <c r="M246" s="421">
        <f>IF(OR(H246="U",L246=0),0,  L246*POWER((1+'2. TaxData'!$I$65),(J246-'1. AgeData'!$D$31)))</f>
        <v>0</v>
      </c>
    </row>
    <row r="247" spans="1:13" x14ac:dyDescent="0.25">
      <c r="A247" s="307">
        <v>13</v>
      </c>
      <c r="B247" s="1701" t="s">
        <v>220</v>
      </c>
      <c r="C247" s="3053" t="s">
        <v>355</v>
      </c>
      <c r="D247" s="1702">
        <v>0</v>
      </c>
      <c r="E247" s="1702"/>
      <c r="F247" s="1703">
        <v>0</v>
      </c>
      <c r="G247" s="1214">
        <f>IF(OR(B247="U",F247=0),0,  F247*POWER((1+'2. TaxData'!$I$65),(D247-'1. AgeData'!$D$30)))</f>
        <v>0</v>
      </c>
      <c r="H247" s="1701" t="s">
        <v>220</v>
      </c>
      <c r="I247" s="3053" t="s">
        <v>355</v>
      </c>
      <c r="J247" s="1707">
        <v>0</v>
      </c>
      <c r="K247" s="1705"/>
      <c r="L247" s="1706">
        <v>0</v>
      </c>
      <c r="M247" s="421">
        <f>IF(OR(H247="U",L247=0),0,  L247*POWER((1+'2. TaxData'!$I$65),(J247-'1. AgeData'!$D$31)))</f>
        <v>0</v>
      </c>
    </row>
    <row r="248" spans="1:13" x14ac:dyDescent="0.25">
      <c r="A248" s="307">
        <v>14</v>
      </c>
      <c r="B248" s="1701" t="s">
        <v>220</v>
      </c>
      <c r="C248" s="3053" t="s">
        <v>355</v>
      </c>
      <c r="D248" s="1702">
        <v>0</v>
      </c>
      <c r="E248" s="1702"/>
      <c r="F248" s="1703">
        <v>0</v>
      </c>
      <c r="G248" s="1214">
        <f>IF(OR(B248="U",F248=0),0,  F248*POWER((1+'2. TaxData'!$I$65),(D248-'1. AgeData'!$D$30)))</f>
        <v>0</v>
      </c>
      <c r="H248" s="1701" t="s">
        <v>220</v>
      </c>
      <c r="I248" s="3053" t="s">
        <v>355</v>
      </c>
      <c r="J248" s="1707">
        <v>0</v>
      </c>
      <c r="K248" s="1705"/>
      <c r="L248" s="1706">
        <v>0</v>
      </c>
      <c r="M248" s="421">
        <f>IF(OR(H248="U",L248=0),0,  L248*POWER((1+'2. TaxData'!$I$65),(J248-'1. AgeData'!$D$31)))</f>
        <v>0</v>
      </c>
    </row>
    <row r="249" spans="1:13" x14ac:dyDescent="0.25">
      <c r="A249" s="307">
        <v>15</v>
      </c>
      <c r="B249" s="1701" t="s">
        <v>220</v>
      </c>
      <c r="C249" s="3053" t="s">
        <v>355</v>
      </c>
      <c r="D249" s="1702">
        <v>0</v>
      </c>
      <c r="E249" s="1702"/>
      <c r="F249" s="1703">
        <v>0</v>
      </c>
      <c r="G249" s="1214">
        <f>IF(OR(B249="U",F249=0),0,  F249*POWER((1+'2. TaxData'!$I$65),(D249-'1. AgeData'!$D$30)))</f>
        <v>0</v>
      </c>
      <c r="H249" s="1701" t="s">
        <v>220</v>
      </c>
      <c r="I249" s="3053" t="s">
        <v>355</v>
      </c>
      <c r="J249" s="1707">
        <v>0</v>
      </c>
      <c r="K249" s="1705"/>
      <c r="L249" s="1706">
        <v>0</v>
      </c>
      <c r="M249" s="421">
        <f>IF(OR(H249="U",L249=0),0,  L249*POWER((1+'2. TaxData'!$I$65),(J249-'1. AgeData'!$D$31)))</f>
        <v>0</v>
      </c>
    </row>
    <row r="250" spans="1:13" x14ac:dyDescent="0.25">
      <c r="A250" s="307">
        <v>16</v>
      </c>
      <c r="B250" s="1701" t="s">
        <v>220</v>
      </c>
      <c r="C250" s="3053" t="s">
        <v>355</v>
      </c>
      <c r="D250" s="1702">
        <v>0</v>
      </c>
      <c r="E250" s="1702"/>
      <c r="F250" s="1703">
        <v>0</v>
      </c>
      <c r="G250" s="1214">
        <f>IF(OR(B250="U",F250=0),0,  F250*POWER((1+'2. TaxData'!$I$65),(D250-'1. AgeData'!$D$30)))</f>
        <v>0</v>
      </c>
      <c r="H250" s="1701" t="s">
        <v>220</v>
      </c>
      <c r="I250" s="3053" t="s">
        <v>355</v>
      </c>
      <c r="J250" s="1707">
        <v>0</v>
      </c>
      <c r="K250" s="1705"/>
      <c r="L250" s="1706">
        <v>0</v>
      </c>
      <c r="M250" s="421">
        <f>IF(OR(H250="U",L250=0),0,  L250*POWER((1+'2. TaxData'!$I$65),(J250-'1. AgeData'!$D$31)))</f>
        <v>0</v>
      </c>
    </row>
    <row r="251" spans="1:13" x14ac:dyDescent="0.25">
      <c r="A251" s="307">
        <v>17</v>
      </c>
      <c r="B251" s="1701" t="s">
        <v>220</v>
      </c>
      <c r="C251" s="3053" t="s">
        <v>355</v>
      </c>
      <c r="D251" s="1702">
        <v>0</v>
      </c>
      <c r="E251" s="1702"/>
      <c r="F251" s="1703">
        <v>0</v>
      </c>
      <c r="G251" s="1214">
        <f>IF(OR(B251="U",F251=0),0,  F251*POWER((1+'2. TaxData'!$I$65),(D251-'1. AgeData'!$D$30)))</f>
        <v>0</v>
      </c>
      <c r="H251" s="1701" t="s">
        <v>220</v>
      </c>
      <c r="I251" s="3053" t="s">
        <v>355</v>
      </c>
      <c r="J251" s="1707">
        <v>0</v>
      </c>
      <c r="K251" s="1705"/>
      <c r="L251" s="1706">
        <v>0</v>
      </c>
      <c r="M251" s="421">
        <f>IF(OR(H251="U",L251=0),0,  L251*POWER((1+'2. TaxData'!$I$65),(J251-'1. AgeData'!$D$31)))</f>
        <v>0</v>
      </c>
    </row>
    <row r="252" spans="1:13" x14ac:dyDescent="0.25">
      <c r="A252" s="307">
        <v>18</v>
      </c>
      <c r="B252" s="1701" t="s">
        <v>220</v>
      </c>
      <c r="C252" s="3053" t="s">
        <v>355</v>
      </c>
      <c r="D252" s="1702">
        <v>0</v>
      </c>
      <c r="E252" s="1702"/>
      <c r="F252" s="1703">
        <v>0</v>
      </c>
      <c r="G252" s="1214">
        <f>IF(OR(B252="U",F252=0),0,  F252*POWER((1+'2. TaxData'!$I$65),(D252-'1. AgeData'!$D$30)))</f>
        <v>0</v>
      </c>
      <c r="H252" s="1701" t="s">
        <v>220</v>
      </c>
      <c r="I252" s="3053" t="s">
        <v>355</v>
      </c>
      <c r="J252" s="1707">
        <v>0</v>
      </c>
      <c r="K252" s="1705"/>
      <c r="L252" s="1706">
        <v>0</v>
      </c>
      <c r="M252" s="421">
        <f>IF(OR(H252="U",L252=0),0,  L252*POWER((1+'2. TaxData'!$I$65),(J252-'1. AgeData'!$D$31)))</f>
        <v>0</v>
      </c>
    </row>
    <row r="253" spans="1:13" x14ac:dyDescent="0.25">
      <c r="A253" s="307">
        <v>19</v>
      </c>
      <c r="B253" s="1701" t="s">
        <v>220</v>
      </c>
      <c r="C253" s="3053" t="s">
        <v>355</v>
      </c>
      <c r="D253" s="1702">
        <v>0</v>
      </c>
      <c r="E253" s="1702"/>
      <c r="F253" s="1703">
        <v>0</v>
      </c>
      <c r="G253" s="1214">
        <f>IF(OR(B253="U",F253=0),0,  F253*POWER((1+'2. TaxData'!$I$65),(D253-'1. AgeData'!$D$30)))</f>
        <v>0</v>
      </c>
      <c r="H253" s="1701" t="s">
        <v>220</v>
      </c>
      <c r="I253" s="3053" t="s">
        <v>355</v>
      </c>
      <c r="J253" s="1707">
        <v>0</v>
      </c>
      <c r="K253" s="1705"/>
      <c r="L253" s="1706">
        <v>0</v>
      </c>
      <c r="M253" s="421">
        <f>IF(OR(H253="U",L253=0),0,  L253*POWER((1+'2. TaxData'!$I$65),(J253-'1. AgeData'!$D$31)))</f>
        <v>0</v>
      </c>
    </row>
    <row r="254" spans="1:13" x14ac:dyDescent="0.25">
      <c r="A254" s="307">
        <v>20</v>
      </c>
      <c r="B254" s="1701" t="s">
        <v>220</v>
      </c>
      <c r="C254" s="3053" t="s">
        <v>355</v>
      </c>
      <c r="D254" s="1702">
        <v>0</v>
      </c>
      <c r="E254" s="1702"/>
      <c r="F254" s="1703">
        <v>0</v>
      </c>
      <c r="G254" s="1214">
        <f>IF(OR(B254="U",F254=0),0,  F254*POWER((1+'2. TaxData'!$I$65),(D254-'1. AgeData'!$D$30)))</f>
        <v>0</v>
      </c>
      <c r="H254" s="1701" t="s">
        <v>220</v>
      </c>
      <c r="I254" s="3053" t="s">
        <v>355</v>
      </c>
      <c r="J254" s="1707">
        <v>0</v>
      </c>
      <c r="K254" s="1705"/>
      <c r="L254" s="1706">
        <v>0</v>
      </c>
      <c r="M254" s="421">
        <f>IF(OR(H254="U",L254=0),0,  L254*POWER((1+'2. TaxData'!$I$65),(J254-'1. AgeData'!$D$31)))</f>
        <v>0</v>
      </c>
    </row>
    <row r="255" spans="1:13" x14ac:dyDescent="0.25">
      <c r="A255" s="307">
        <v>21</v>
      </c>
      <c r="B255" s="1701" t="s">
        <v>220</v>
      </c>
      <c r="C255" s="3053" t="s">
        <v>355</v>
      </c>
      <c r="D255" s="1702">
        <v>0</v>
      </c>
      <c r="E255" s="1702"/>
      <c r="F255" s="1703">
        <v>0</v>
      </c>
      <c r="G255" s="1214">
        <f>IF(OR(B255="U",F255=0),0,  F255*POWER((1+'2. TaxData'!$I$65),(D255-'1. AgeData'!$D$30)))</f>
        <v>0</v>
      </c>
      <c r="H255" s="1701" t="s">
        <v>220</v>
      </c>
      <c r="I255" s="3053" t="s">
        <v>355</v>
      </c>
      <c r="J255" s="1707">
        <v>0</v>
      </c>
      <c r="K255" s="1705"/>
      <c r="L255" s="1706">
        <v>0</v>
      </c>
      <c r="M255" s="421">
        <f>IF(OR(H255="U",L255=0),0,  L255*POWER((1+'2. TaxData'!$I$65),(J255-'1. AgeData'!$D$31)))</f>
        <v>0</v>
      </c>
    </row>
    <row r="256" spans="1:13" x14ac:dyDescent="0.25">
      <c r="A256" s="307">
        <v>22</v>
      </c>
      <c r="B256" s="1701" t="s">
        <v>220</v>
      </c>
      <c r="C256" s="3053" t="s">
        <v>355</v>
      </c>
      <c r="D256" s="1702">
        <v>0</v>
      </c>
      <c r="E256" s="1702"/>
      <c r="F256" s="1703">
        <v>0</v>
      </c>
      <c r="G256" s="1214">
        <f>IF(OR(B256="U",F256=0),0,  F256*POWER((1+'2. TaxData'!$I$65),(D256-'1. AgeData'!$D$30)))</f>
        <v>0</v>
      </c>
      <c r="H256" s="1701" t="s">
        <v>220</v>
      </c>
      <c r="I256" s="3053" t="s">
        <v>355</v>
      </c>
      <c r="J256" s="1707">
        <v>0</v>
      </c>
      <c r="K256" s="1705"/>
      <c r="L256" s="1706">
        <v>0</v>
      </c>
      <c r="M256" s="421">
        <f>IF(OR(H256="U",L256=0),0,  L256*POWER((1+'2. TaxData'!$I$65),(J256-'1. AgeData'!$D$31)))</f>
        <v>0</v>
      </c>
    </row>
    <row r="257" spans="1:13" x14ac:dyDescent="0.25">
      <c r="A257" s="307">
        <v>23</v>
      </c>
      <c r="B257" s="1701" t="s">
        <v>220</v>
      </c>
      <c r="C257" s="3053" t="s">
        <v>355</v>
      </c>
      <c r="D257" s="1702">
        <v>0</v>
      </c>
      <c r="E257" s="1702"/>
      <c r="F257" s="1703">
        <v>0</v>
      </c>
      <c r="G257" s="1214">
        <f>IF(OR(B257="U",F257=0),0,  F257*POWER((1+'2. TaxData'!$I$65),(D257-'1. AgeData'!$D$30)))</f>
        <v>0</v>
      </c>
      <c r="H257" s="1701" t="s">
        <v>220</v>
      </c>
      <c r="I257" s="3053" t="s">
        <v>355</v>
      </c>
      <c r="J257" s="1707">
        <v>0</v>
      </c>
      <c r="K257" s="1705"/>
      <c r="L257" s="1706">
        <v>0</v>
      </c>
      <c r="M257" s="421">
        <f>IF(OR(H257="U",L257=0),0,  L257*POWER((1+'2. TaxData'!$I$65),(J257-'1. AgeData'!$D$31)))</f>
        <v>0</v>
      </c>
    </row>
    <row r="258" spans="1:13" x14ac:dyDescent="0.25">
      <c r="A258" s="307">
        <v>24</v>
      </c>
      <c r="B258" s="1701" t="s">
        <v>220</v>
      </c>
      <c r="C258" s="3053" t="s">
        <v>355</v>
      </c>
      <c r="D258" s="1702">
        <v>0</v>
      </c>
      <c r="E258" s="1702"/>
      <c r="F258" s="1703">
        <v>0</v>
      </c>
      <c r="G258" s="1214">
        <f>IF(OR(B258="U",F258=0),0,  F258*POWER((1+'2. TaxData'!$I$65),(D258-'1. AgeData'!$D$30)))</f>
        <v>0</v>
      </c>
      <c r="H258" s="1701" t="s">
        <v>220</v>
      </c>
      <c r="I258" s="3053" t="s">
        <v>355</v>
      </c>
      <c r="J258" s="1707">
        <v>0</v>
      </c>
      <c r="K258" s="1705"/>
      <c r="L258" s="1706">
        <v>0</v>
      </c>
      <c r="M258" s="421">
        <f>IF(OR(H258="U",L258=0),0,  L258*POWER((1+'2. TaxData'!$I$65),(J258-'1. AgeData'!$D$31)))</f>
        <v>0</v>
      </c>
    </row>
    <row r="259" spans="1:13" x14ac:dyDescent="0.25">
      <c r="A259" s="307">
        <v>25</v>
      </c>
      <c r="B259" s="1701" t="s">
        <v>220</v>
      </c>
      <c r="C259" s="3053" t="s">
        <v>355</v>
      </c>
      <c r="D259" s="1702">
        <v>0</v>
      </c>
      <c r="E259" s="1702"/>
      <c r="F259" s="1703">
        <v>0</v>
      </c>
      <c r="G259" s="1214">
        <f>IF(OR(B259="U",F259=0),0,  F259*POWER((1+'2. TaxData'!$I$65),(D259-'1. AgeData'!$D$30)))</f>
        <v>0</v>
      </c>
      <c r="H259" s="1701" t="s">
        <v>220</v>
      </c>
      <c r="I259" s="3053" t="s">
        <v>355</v>
      </c>
      <c r="J259" s="1707">
        <v>0</v>
      </c>
      <c r="K259" s="1705"/>
      <c r="L259" s="1706">
        <v>0</v>
      </c>
      <c r="M259" s="421">
        <f>IF(OR(H259="U",L259=0),0,  L259*POWER((1+'2. TaxData'!$I$65),(J259-'1. AgeData'!$D$31)))</f>
        <v>0</v>
      </c>
    </row>
    <row r="260" spans="1:13" x14ac:dyDescent="0.25">
      <c r="A260" s="307">
        <v>26</v>
      </c>
      <c r="B260" s="1701" t="s">
        <v>220</v>
      </c>
      <c r="C260" s="3053" t="s">
        <v>355</v>
      </c>
      <c r="D260" s="1702">
        <v>0</v>
      </c>
      <c r="E260" s="1702"/>
      <c r="F260" s="1703">
        <v>0</v>
      </c>
      <c r="G260" s="1214">
        <f>IF(OR(B260="U",F260=0),0,  F260*POWER((1+'2. TaxData'!$I$65),(D260-'1. AgeData'!$D$30)))</f>
        <v>0</v>
      </c>
      <c r="H260" s="1701" t="s">
        <v>220</v>
      </c>
      <c r="I260" s="3053" t="s">
        <v>355</v>
      </c>
      <c r="J260" s="1707">
        <v>0</v>
      </c>
      <c r="K260" s="1705"/>
      <c r="L260" s="1706">
        <v>0</v>
      </c>
      <c r="M260" s="421">
        <f>IF(OR(H260="U",L260=0),0,  L260*POWER((1+'2. TaxData'!$I$65),(J260-'1. AgeData'!$D$31)))</f>
        <v>0</v>
      </c>
    </row>
    <row r="261" spans="1:13" x14ac:dyDescent="0.25">
      <c r="A261" s="307">
        <v>27</v>
      </c>
      <c r="B261" s="1701" t="s">
        <v>220</v>
      </c>
      <c r="C261" s="3053" t="s">
        <v>355</v>
      </c>
      <c r="D261" s="1702">
        <v>0</v>
      </c>
      <c r="E261" s="1702"/>
      <c r="F261" s="1703">
        <v>0</v>
      </c>
      <c r="G261" s="1214">
        <f>IF(OR(B261="U",F261=0),0,  F261*POWER((1+'2. TaxData'!$I$65),(D261-'1. AgeData'!$D$30)))</f>
        <v>0</v>
      </c>
      <c r="H261" s="1701" t="s">
        <v>220</v>
      </c>
      <c r="I261" s="3053" t="s">
        <v>355</v>
      </c>
      <c r="J261" s="1707">
        <v>0</v>
      </c>
      <c r="K261" s="1705"/>
      <c r="L261" s="1706">
        <v>0</v>
      </c>
      <c r="M261" s="421">
        <f>IF(OR(H261="U",L261=0),0,  L261*POWER((1+'2. TaxData'!$I$65),(J261-'1. AgeData'!$D$31)))</f>
        <v>0</v>
      </c>
    </row>
    <row r="262" spans="1:13" x14ac:dyDescent="0.25">
      <c r="A262" s="307">
        <v>28</v>
      </c>
      <c r="B262" s="1701" t="s">
        <v>220</v>
      </c>
      <c r="C262" s="3053" t="s">
        <v>355</v>
      </c>
      <c r="D262" s="1702">
        <v>0</v>
      </c>
      <c r="E262" s="1702"/>
      <c r="F262" s="1703">
        <v>0</v>
      </c>
      <c r="G262" s="1214">
        <f>IF(OR(B262="U",F262=0),0,  F262*POWER((1+'2. TaxData'!$I$65),(D262-'1. AgeData'!$D$30)))</f>
        <v>0</v>
      </c>
      <c r="H262" s="1701" t="s">
        <v>220</v>
      </c>
      <c r="I262" s="3053" t="s">
        <v>355</v>
      </c>
      <c r="J262" s="1707">
        <v>0</v>
      </c>
      <c r="K262" s="1705"/>
      <c r="L262" s="1706">
        <v>0</v>
      </c>
      <c r="M262" s="421">
        <f>IF(OR(H262="U",L262=0),0,  L262*POWER((1+'2. TaxData'!$I$65),(J262-'1. AgeData'!$D$31)))</f>
        <v>0</v>
      </c>
    </row>
    <row r="263" spans="1:13" x14ac:dyDescent="0.25">
      <c r="A263" s="307">
        <v>29</v>
      </c>
      <c r="B263" s="1701" t="s">
        <v>220</v>
      </c>
      <c r="C263" s="3053" t="s">
        <v>355</v>
      </c>
      <c r="D263" s="1702">
        <v>0</v>
      </c>
      <c r="E263" s="1702"/>
      <c r="F263" s="1703">
        <v>0</v>
      </c>
      <c r="G263" s="1214">
        <f>IF(OR(B263="U",F263=0),0,  F263*POWER((1+'2. TaxData'!$I$65),(D263-'1. AgeData'!$D$30)))</f>
        <v>0</v>
      </c>
      <c r="H263" s="1701" t="s">
        <v>220</v>
      </c>
      <c r="I263" s="3053" t="s">
        <v>355</v>
      </c>
      <c r="J263" s="1707">
        <v>0</v>
      </c>
      <c r="K263" s="1705"/>
      <c r="L263" s="1706">
        <v>0</v>
      </c>
      <c r="M263" s="421">
        <f>IF(OR(H263="U",L263=0),0,  L263*POWER((1+'2. TaxData'!$I$65),(J263-'1. AgeData'!$D$31)))</f>
        <v>0</v>
      </c>
    </row>
    <row r="264" spans="1:13" x14ac:dyDescent="0.25">
      <c r="A264" s="307">
        <v>30</v>
      </c>
      <c r="B264" s="1701" t="s">
        <v>220</v>
      </c>
      <c r="C264" s="3053" t="s">
        <v>355</v>
      </c>
      <c r="D264" s="1702">
        <v>0</v>
      </c>
      <c r="E264" s="1702"/>
      <c r="F264" s="1703">
        <v>0</v>
      </c>
      <c r="G264" s="1214">
        <f>IF(OR(B264="U",F264=0),0,  F264*POWER((1+'2. TaxData'!$I$65),(D264-'1. AgeData'!$D$30)))</f>
        <v>0</v>
      </c>
      <c r="H264" s="1701" t="s">
        <v>220</v>
      </c>
      <c r="I264" s="3053" t="s">
        <v>355</v>
      </c>
      <c r="J264" s="1707">
        <v>0</v>
      </c>
      <c r="K264" s="1705"/>
      <c r="L264" s="1706">
        <v>0</v>
      </c>
      <c r="M264" s="421">
        <f>IF(OR(H264="U",L264=0),0,  L264*POWER((1+'2. TaxData'!$I$65),(J264-'1. AgeData'!$D$31)))</f>
        <v>0</v>
      </c>
    </row>
    <row r="265" spans="1:13" x14ac:dyDescent="0.25">
      <c r="A265" s="307">
        <v>31</v>
      </c>
      <c r="B265" s="1701" t="s">
        <v>220</v>
      </c>
      <c r="C265" s="3053" t="s">
        <v>355</v>
      </c>
      <c r="D265" s="1702">
        <v>0</v>
      </c>
      <c r="E265" s="1702"/>
      <c r="F265" s="1703">
        <v>0</v>
      </c>
      <c r="G265" s="1214">
        <f>IF(OR(B265="U",F265=0),0,  F265*POWER((1+'2. TaxData'!$I$65),(D265-'1. AgeData'!$D$30)))</f>
        <v>0</v>
      </c>
      <c r="H265" s="1701" t="s">
        <v>220</v>
      </c>
      <c r="I265" s="3053" t="s">
        <v>355</v>
      </c>
      <c r="J265" s="1707">
        <v>0</v>
      </c>
      <c r="K265" s="1705"/>
      <c r="L265" s="1706">
        <v>0</v>
      </c>
      <c r="M265" s="421">
        <f>IF(OR(H265="U",L265=0),0,  L265*POWER((1+'2. TaxData'!$I$65),(J265-'1. AgeData'!$D$31)))</f>
        <v>0</v>
      </c>
    </row>
    <row r="266" spans="1:13" x14ac:dyDescent="0.25">
      <c r="A266" s="307">
        <v>32</v>
      </c>
      <c r="B266" s="1701" t="s">
        <v>220</v>
      </c>
      <c r="C266" s="3053" t="s">
        <v>355</v>
      </c>
      <c r="D266" s="1702">
        <v>0</v>
      </c>
      <c r="E266" s="1702"/>
      <c r="F266" s="1703">
        <v>0</v>
      </c>
      <c r="G266" s="1214">
        <f>IF(OR(B266="U",F266=0),0,  F266*POWER((1+'2. TaxData'!$I$65),(D266-'1. AgeData'!$D$30)))</f>
        <v>0</v>
      </c>
      <c r="H266" s="1701" t="s">
        <v>220</v>
      </c>
      <c r="I266" s="3053" t="s">
        <v>355</v>
      </c>
      <c r="J266" s="1707">
        <v>0</v>
      </c>
      <c r="K266" s="1705"/>
      <c r="L266" s="1706">
        <v>0</v>
      </c>
      <c r="M266" s="421">
        <f>IF(OR(H266="U",L266=0),0,  L266*POWER((1+'2. TaxData'!$I$65),(J266-'1. AgeData'!$D$31)))</f>
        <v>0</v>
      </c>
    </row>
    <row r="267" spans="1:13" x14ac:dyDescent="0.25">
      <c r="A267" s="307">
        <v>33</v>
      </c>
      <c r="B267" s="1701" t="s">
        <v>220</v>
      </c>
      <c r="C267" s="3053" t="s">
        <v>355</v>
      </c>
      <c r="D267" s="1702">
        <v>0</v>
      </c>
      <c r="E267" s="1702"/>
      <c r="F267" s="1703">
        <v>0</v>
      </c>
      <c r="G267" s="1214">
        <f>IF(OR(B267="U",F267=0),0,  F267*POWER((1+'2. TaxData'!$I$65),(D267-'1. AgeData'!$D$30)))</f>
        <v>0</v>
      </c>
      <c r="H267" s="1701" t="s">
        <v>220</v>
      </c>
      <c r="I267" s="3053" t="s">
        <v>355</v>
      </c>
      <c r="J267" s="1707">
        <v>0</v>
      </c>
      <c r="K267" s="1705"/>
      <c r="L267" s="1706">
        <v>0</v>
      </c>
      <c r="M267" s="421">
        <f>IF(OR(H267="U",L267=0),0,  L267*POWER((1+'2. TaxData'!$I$65),(J267-'1. AgeData'!$D$31)))</f>
        <v>0</v>
      </c>
    </row>
    <row r="268" spans="1:13" x14ac:dyDescent="0.25">
      <c r="A268" s="307">
        <v>34</v>
      </c>
      <c r="B268" s="1701" t="s">
        <v>220</v>
      </c>
      <c r="C268" s="3053" t="s">
        <v>355</v>
      </c>
      <c r="D268" s="1702">
        <v>0</v>
      </c>
      <c r="E268" s="1702"/>
      <c r="F268" s="1703">
        <v>0</v>
      </c>
      <c r="G268" s="1214">
        <f>IF(OR(B268="U",F268=0),0,  F268*POWER((1+'2. TaxData'!$I$65),(D268-'1. AgeData'!$D$30)))</f>
        <v>0</v>
      </c>
      <c r="H268" s="1701" t="s">
        <v>220</v>
      </c>
      <c r="I268" s="3053" t="s">
        <v>355</v>
      </c>
      <c r="J268" s="1707">
        <v>0</v>
      </c>
      <c r="K268" s="1705"/>
      <c r="L268" s="1706">
        <v>0</v>
      </c>
      <c r="M268" s="421">
        <f>IF(OR(H268="U",L268=0),0,  L268*POWER((1+'2. TaxData'!$I$65),(J268-'1. AgeData'!$D$31)))</f>
        <v>0</v>
      </c>
    </row>
    <row r="269" spans="1:13" x14ac:dyDescent="0.25">
      <c r="A269" s="307">
        <v>35</v>
      </c>
      <c r="B269" s="1701" t="s">
        <v>220</v>
      </c>
      <c r="C269" s="3053" t="s">
        <v>355</v>
      </c>
      <c r="D269" s="1702">
        <v>0</v>
      </c>
      <c r="E269" s="1702"/>
      <c r="F269" s="1703">
        <v>0</v>
      </c>
      <c r="G269" s="1214">
        <f>IF(OR(B269="U",F269=0),0,  F269*POWER((1+'2. TaxData'!$I$65),(D269-'1. AgeData'!$D$30)))</f>
        <v>0</v>
      </c>
      <c r="H269" s="1701" t="s">
        <v>220</v>
      </c>
      <c r="I269" s="3053" t="s">
        <v>355</v>
      </c>
      <c r="J269" s="1707">
        <v>0</v>
      </c>
      <c r="K269" s="1705"/>
      <c r="L269" s="1706">
        <v>0</v>
      </c>
      <c r="M269" s="421">
        <f>IF(OR(H269="U",L269=0),0,  L269*POWER((1+'2. TaxData'!$I$65),(J269-'1. AgeData'!$D$31)))</f>
        <v>0</v>
      </c>
    </row>
    <row r="270" spans="1:13" x14ac:dyDescent="0.25">
      <c r="A270" s="307">
        <v>36</v>
      </c>
      <c r="B270" s="1701" t="s">
        <v>220</v>
      </c>
      <c r="C270" s="3053" t="s">
        <v>355</v>
      </c>
      <c r="D270" s="1702">
        <v>0</v>
      </c>
      <c r="E270" s="1702"/>
      <c r="F270" s="1703">
        <v>0</v>
      </c>
      <c r="G270" s="1214">
        <f>IF(OR(B270="U",F270=0),0,  F270*POWER((1+'2. TaxData'!$I$65),(D270-'1. AgeData'!$D$30)))</f>
        <v>0</v>
      </c>
      <c r="H270" s="1701" t="s">
        <v>220</v>
      </c>
      <c r="I270" s="3053" t="s">
        <v>355</v>
      </c>
      <c r="J270" s="1707">
        <v>0</v>
      </c>
      <c r="K270" s="1705"/>
      <c r="L270" s="1706">
        <v>0</v>
      </c>
      <c r="M270" s="421">
        <f>IF(OR(H270="U",L270=0),0,  L270*POWER((1+'2. TaxData'!$I$65),(J270-'1. AgeData'!$D$31)))</f>
        <v>0</v>
      </c>
    </row>
    <row r="271" spans="1:13" x14ac:dyDescent="0.25">
      <c r="A271" s="307">
        <v>37</v>
      </c>
      <c r="B271" s="1701" t="s">
        <v>220</v>
      </c>
      <c r="C271" s="3053" t="s">
        <v>355</v>
      </c>
      <c r="D271" s="1702">
        <v>0</v>
      </c>
      <c r="E271" s="1702"/>
      <c r="F271" s="1703">
        <v>0</v>
      </c>
      <c r="G271" s="1214">
        <f>IF(OR(B271="U",F271=0),0,  F271*POWER((1+'2. TaxData'!$I$65),(D271-'1. AgeData'!$D$30)))</f>
        <v>0</v>
      </c>
      <c r="H271" s="1701" t="s">
        <v>220</v>
      </c>
      <c r="I271" s="3053" t="s">
        <v>355</v>
      </c>
      <c r="J271" s="1707">
        <v>0</v>
      </c>
      <c r="K271" s="1705"/>
      <c r="L271" s="1706">
        <v>0</v>
      </c>
      <c r="M271" s="421">
        <f>IF(OR(H271="U",L271=0),0,  L271*POWER((1+'2. TaxData'!$I$65),(J271-'1. AgeData'!$D$31)))</f>
        <v>0</v>
      </c>
    </row>
    <row r="272" spans="1:13" x14ac:dyDescent="0.25">
      <c r="A272" s="307">
        <v>38</v>
      </c>
      <c r="B272" s="1701" t="s">
        <v>220</v>
      </c>
      <c r="C272" s="3053" t="s">
        <v>355</v>
      </c>
      <c r="D272" s="1702">
        <v>0</v>
      </c>
      <c r="E272" s="1702"/>
      <c r="F272" s="1703">
        <v>0</v>
      </c>
      <c r="G272" s="1214">
        <f>IF(OR(B272="U",F272=0),0,  F272*POWER((1+'2. TaxData'!$I$65),(D272-'1. AgeData'!$D$30)))</f>
        <v>0</v>
      </c>
      <c r="H272" s="1701" t="s">
        <v>220</v>
      </c>
      <c r="I272" s="3053" t="s">
        <v>355</v>
      </c>
      <c r="J272" s="1707">
        <v>0</v>
      </c>
      <c r="K272" s="1705"/>
      <c r="L272" s="1706">
        <v>0</v>
      </c>
      <c r="M272" s="421">
        <f>IF(OR(H272="U",L272=0),0,  L272*POWER((1+'2. TaxData'!$I$65),(J272-'1. AgeData'!$D$31)))</f>
        <v>0</v>
      </c>
    </row>
    <row r="273" spans="1:13" x14ac:dyDescent="0.25">
      <c r="A273" s="307">
        <v>39</v>
      </c>
      <c r="B273" s="1701" t="s">
        <v>220</v>
      </c>
      <c r="C273" s="3053" t="s">
        <v>355</v>
      </c>
      <c r="D273" s="1702">
        <v>0</v>
      </c>
      <c r="E273" s="1702"/>
      <c r="F273" s="1703">
        <v>0</v>
      </c>
      <c r="G273" s="1214">
        <f>IF(OR(B273="U",F273=0),0,  F273*POWER((1+'2. TaxData'!$I$65),(D273-'1. AgeData'!$D$30)))</f>
        <v>0</v>
      </c>
      <c r="H273" s="1701" t="s">
        <v>220</v>
      </c>
      <c r="I273" s="3053" t="s">
        <v>355</v>
      </c>
      <c r="J273" s="1707">
        <v>0</v>
      </c>
      <c r="K273" s="1705"/>
      <c r="L273" s="1706">
        <v>0</v>
      </c>
      <c r="M273" s="421">
        <f>IF(OR(H273="U",L273=0),0,  L273*POWER((1+'2. TaxData'!$I$65),(J273-'1. AgeData'!$D$31)))</f>
        <v>0</v>
      </c>
    </row>
    <row r="274" spans="1:13" x14ac:dyDescent="0.25">
      <c r="A274" s="307">
        <v>40</v>
      </c>
      <c r="B274" s="1701" t="s">
        <v>220</v>
      </c>
      <c r="C274" s="3053" t="s">
        <v>355</v>
      </c>
      <c r="D274" s="1702">
        <v>0</v>
      </c>
      <c r="E274" s="1702"/>
      <c r="F274" s="1703">
        <v>0</v>
      </c>
      <c r="G274" s="1214">
        <f>IF(OR(B274="U",F274=0),0,  F274*POWER((1+'2. TaxData'!$I$65),(D274-'1. AgeData'!$D$30)))</f>
        <v>0</v>
      </c>
      <c r="H274" s="1701" t="s">
        <v>220</v>
      </c>
      <c r="I274" s="3053" t="s">
        <v>355</v>
      </c>
      <c r="J274" s="1707">
        <v>0</v>
      </c>
      <c r="K274" s="1705"/>
      <c r="L274" s="1706">
        <v>0</v>
      </c>
      <c r="M274" s="421">
        <f>IF(OR(H274="U",L274=0),0,  L274*POWER((1+'2. TaxData'!$I$65),(J274-'1. AgeData'!$D$31)))</f>
        <v>0</v>
      </c>
    </row>
    <row r="275" spans="1:13" x14ac:dyDescent="0.25">
      <c r="A275" s="307">
        <v>41</v>
      </c>
      <c r="B275" s="1701" t="s">
        <v>220</v>
      </c>
      <c r="C275" s="3053" t="s">
        <v>355</v>
      </c>
      <c r="D275" s="1705">
        <v>0</v>
      </c>
      <c r="E275" s="1705"/>
      <c r="F275" s="1706">
        <v>0</v>
      </c>
      <c r="G275" s="1214">
        <f>IF(OR(B275="U",F275=0),0,  F275*POWER((1+'2. TaxData'!$I$65),(D275-'1. AgeData'!$D$30)))</f>
        <v>0</v>
      </c>
      <c r="H275" s="1701" t="s">
        <v>220</v>
      </c>
      <c r="I275" s="3053" t="s">
        <v>355</v>
      </c>
      <c r="J275" s="1707">
        <v>0</v>
      </c>
      <c r="K275" s="1705"/>
      <c r="L275" s="1706">
        <v>0</v>
      </c>
      <c r="M275" s="421">
        <f>IF(OR(H275="U",L275=0),0,  L275*POWER((1+'2. TaxData'!$I$65),(J275-'1. AgeData'!$D$31)))</f>
        <v>0</v>
      </c>
    </row>
    <row r="276" spans="1:13" x14ac:dyDescent="0.25">
      <c r="A276" s="307">
        <v>42</v>
      </c>
      <c r="B276" s="1701" t="s">
        <v>220</v>
      </c>
      <c r="C276" s="3053" t="s">
        <v>355</v>
      </c>
      <c r="D276" s="1705">
        <v>0</v>
      </c>
      <c r="E276" s="1705"/>
      <c r="F276" s="1706">
        <v>0</v>
      </c>
      <c r="G276" s="1214">
        <f>IF(OR(B276="U",F276=0),0,  F276*POWER((1+'2. TaxData'!$I$65),(D276-'1. AgeData'!$D$30)))</f>
        <v>0</v>
      </c>
      <c r="H276" s="1701" t="s">
        <v>220</v>
      </c>
      <c r="I276" s="3053" t="s">
        <v>355</v>
      </c>
      <c r="J276" s="1707">
        <v>0</v>
      </c>
      <c r="K276" s="1705"/>
      <c r="L276" s="1706">
        <v>0</v>
      </c>
      <c r="M276" s="421">
        <f>IF(OR(H276="U",L276=0),0,  L276*POWER((1+'2. TaxData'!$I$65),(J276-'1. AgeData'!$D$31)))</f>
        <v>0</v>
      </c>
    </row>
    <row r="277" spans="1:13" x14ac:dyDescent="0.25">
      <c r="A277" s="307">
        <v>43</v>
      </c>
      <c r="B277" s="1701" t="s">
        <v>220</v>
      </c>
      <c r="C277" s="3053" t="s">
        <v>355</v>
      </c>
      <c r="D277" s="1705">
        <v>0</v>
      </c>
      <c r="E277" s="1705"/>
      <c r="F277" s="1706">
        <v>0</v>
      </c>
      <c r="G277" s="1214">
        <f>IF(OR(B277="U",F277=0),0,  F277*POWER((1+'2. TaxData'!$I$65),(D277-'1. AgeData'!$D$30)))</f>
        <v>0</v>
      </c>
      <c r="H277" s="1701" t="s">
        <v>220</v>
      </c>
      <c r="I277" s="3053" t="s">
        <v>355</v>
      </c>
      <c r="J277" s="1707">
        <v>0</v>
      </c>
      <c r="K277" s="1705"/>
      <c r="L277" s="1706">
        <v>0</v>
      </c>
      <c r="M277" s="421">
        <f>IF(OR(H277="U",L277=0),0,  L277*POWER((1+'2. TaxData'!$I$65),(J277-'1. AgeData'!$D$31)))</f>
        <v>0</v>
      </c>
    </row>
    <row r="278" spans="1:13" x14ac:dyDescent="0.25">
      <c r="A278" s="307">
        <v>44</v>
      </c>
      <c r="B278" s="1701" t="s">
        <v>220</v>
      </c>
      <c r="C278" s="3053" t="s">
        <v>355</v>
      </c>
      <c r="D278" s="1705">
        <v>0</v>
      </c>
      <c r="E278" s="1705"/>
      <c r="F278" s="1706">
        <v>0</v>
      </c>
      <c r="G278" s="1214">
        <f>IF(OR(B278="U",F278=0),0,  F278*POWER((1+'2. TaxData'!$I$65),(D278-'1. AgeData'!$D$30)))</f>
        <v>0</v>
      </c>
      <c r="H278" s="1701" t="s">
        <v>220</v>
      </c>
      <c r="I278" s="3053" t="s">
        <v>355</v>
      </c>
      <c r="J278" s="1707">
        <v>0</v>
      </c>
      <c r="K278" s="1705"/>
      <c r="L278" s="1706">
        <v>0</v>
      </c>
      <c r="M278" s="421">
        <f>IF(OR(H278="U",L278=0),0,  L278*POWER((1+'2. TaxData'!$I$65),(J278-'1. AgeData'!$D$31)))</f>
        <v>0</v>
      </c>
    </row>
    <row r="279" spans="1:13" x14ac:dyDescent="0.25">
      <c r="A279" s="307">
        <v>45</v>
      </c>
      <c r="B279" s="1701" t="s">
        <v>220</v>
      </c>
      <c r="C279" s="3053" t="s">
        <v>355</v>
      </c>
      <c r="D279" s="1705">
        <v>0</v>
      </c>
      <c r="E279" s="1705"/>
      <c r="F279" s="1706">
        <v>0</v>
      </c>
      <c r="G279" s="1214">
        <f>IF(OR(B279="U",F279=0),0,  F279*POWER((1+'2. TaxData'!$I$65),(D279-'1. AgeData'!$D$30)))</f>
        <v>0</v>
      </c>
      <c r="H279" s="1701" t="s">
        <v>220</v>
      </c>
      <c r="I279" s="3053" t="s">
        <v>355</v>
      </c>
      <c r="J279" s="1707">
        <v>0</v>
      </c>
      <c r="K279" s="1705"/>
      <c r="L279" s="1706">
        <v>0</v>
      </c>
      <c r="M279" s="421">
        <f>IF(OR(H279="U",L279=0),0,  L279*POWER((1+'2. TaxData'!$I$65),(J279-'1. AgeData'!$D$31)))</f>
        <v>0</v>
      </c>
    </row>
    <row r="280" spans="1:13" x14ac:dyDescent="0.25">
      <c r="A280" s="307">
        <v>46</v>
      </c>
      <c r="B280" s="1701" t="s">
        <v>220</v>
      </c>
      <c r="C280" s="3053" t="s">
        <v>355</v>
      </c>
      <c r="D280" s="1705">
        <v>0</v>
      </c>
      <c r="E280" s="1705"/>
      <c r="F280" s="1706">
        <v>0</v>
      </c>
      <c r="G280" s="1214">
        <f>IF(OR(B280="U",F280=0),0,  F280*POWER((1+'2. TaxData'!$I$65),(D280-'1. AgeData'!$D$30)))</f>
        <v>0</v>
      </c>
      <c r="H280" s="1701" t="s">
        <v>220</v>
      </c>
      <c r="I280" s="3053" t="s">
        <v>355</v>
      </c>
      <c r="J280" s="1707">
        <v>0</v>
      </c>
      <c r="K280" s="1705"/>
      <c r="L280" s="1706">
        <v>0</v>
      </c>
      <c r="M280" s="421">
        <f>IF(OR(H280="U",L280=0),0,  L280*POWER((1+'2. TaxData'!$I$65),(J280-'1. AgeData'!$D$31)))</f>
        <v>0</v>
      </c>
    </row>
    <row r="281" spans="1:13" x14ac:dyDescent="0.25">
      <c r="A281" s="307">
        <v>47</v>
      </c>
      <c r="B281" s="1701" t="s">
        <v>220</v>
      </c>
      <c r="C281" s="3053" t="s">
        <v>355</v>
      </c>
      <c r="D281" s="1705">
        <v>0</v>
      </c>
      <c r="E281" s="1705"/>
      <c r="F281" s="1706">
        <v>0</v>
      </c>
      <c r="G281" s="1214">
        <f>IF(OR(B281="U",F281=0),0,  F281*POWER((1+'2. TaxData'!$I$65),(D281-'1. AgeData'!$D$30)))</f>
        <v>0</v>
      </c>
      <c r="H281" s="1701" t="s">
        <v>220</v>
      </c>
      <c r="I281" s="3053" t="s">
        <v>355</v>
      </c>
      <c r="J281" s="1707">
        <v>0</v>
      </c>
      <c r="K281" s="1705"/>
      <c r="L281" s="1706">
        <v>0</v>
      </c>
      <c r="M281" s="421">
        <f>IF(OR(H281="U",L281=0),0,  L281*POWER((1+'2. TaxData'!$I$65),(J281-'1. AgeData'!$D$31)))</f>
        <v>0</v>
      </c>
    </row>
    <row r="282" spans="1:13" x14ac:dyDescent="0.25">
      <c r="A282" s="307">
        <v>48</v>
      </c>
      <c r="B282" s="1701" t="s">
        <v>220</v>
      </c>
      <c r="C282" s="3053" t="s">
        <v>355</v>
      </c>
      <c r="D282" s="1705">
        <v>0</v>
      </c>
      <c r="E282" s="1705"/>
      <c r="F282" s="1706">
        <v>0</v>
      </c>
      <c r="G282" s="1214">
        <f>IF(OR(B282="U",F282=0),0,  F282*POWER((1+'2. TaxData'!$I$65),(D282-'1. AgeData'!$D$30)))</f>
        <v>0</v>
      </c>
      <c r="H282" s="1701" t="s">
        <v>220</v>
      </c>
      <c r="I282" s="3053" t="s">
        <v>355</v>
      </c>
      <c r="J282" s="1707">
        <v>0</v>
      </c>
      <c r="K282" s="1705"/>
      <c r="L282" s="1706">
        <v>0</v>
      </c>
      <c r="M282" s="421">
        <f>IF(OR(H282="U",L282=0),0,  L282*POWER((1+'2. TaxData'!$I$65),(J282-'1. AgeData'!$D$31)))</f>
        <v>0</v>
      </c>
    </row>
    <row r="283" spans="1:13" x14ac:dyDescent="0.25">
      <c r="A283" s="307">
        <v>49</v>
      </c>
      <c r="B283" s="1701" t="s">
        <v>220</v>
      </c>
      <c r="C283" s="3053" t="s">
        <v>355</v>
      </c>
      <c r="D283" s="1705">
        <v>0</v>
      </c>
      <c r="E283" s="1705"/>
      <c r="F283" s="1706">
        <v>0</v>
      </c>
      <c r="G283" s="1214">
        <f>IF(OR(B283="U",F283=0),0,  F283*POWER((1+'2. TaxData'!$I$65),(D283-'1. AgeData'!$D$30)))</f>
        <v>0</v>
      </c>
      <c r="H283" s="1701" t="s">
        <v>220</v>
      </c>
      <c r="I283" s="3053" t="s">
        <v>355</v>
      </c>
      <c r="J283" s="1707">
        <v>0</v>
      </c>
      <c r="K283" s="1705"/>
      <c r="L283" s="1706">
        <v>0</v>
      </c>
      <c r="M283" s="421">
        <f>IF(OR(H283="U",L283=0),0,  L283*POWER((1+'2. TaxData'!$I$65),(J283-'1. AgeData'!$D$31)))</f>
        <v>0</v>
      </c>
    </row>
    <row r="284" spans="1:13" x14ac:dyDescent="0.25">
      <c r="A284" s="307">
        <v>50</v>
      </c>
      <c r="B284" s="1701" t="s">
        <v>220</v>
      </c>
      <c r="C284" s="3053" t="s">
        <v>355</v>
      </c>
      <c r="D284" s="1705">
        <v>0</v>
      </c>
      <c r="E284" s="1705"/>
      <c r="F284" s="1706">
        <v>0</v>
      </c>
      <c r="G284" s="1214">
        <f>IF(OR(B284="U",F284=0),0,  F284*POWER((1+'2. TaxData'!$I$65),(D284-'1. AgeData'!$D$30)))</f>
        <v>0</v>
      </c>
      <c r="H284" s="1701" t="s">
        <v>220</v>
      </c>
      <c r="I284" s="3053" t="s">
        <v>355</v>
      </c>
      <c r="J284" s="1707">
        <v>0</v>
      </c>
      <c r="K284" s="1705"/>
      <c r="L284" s="1706">
        <v>0</v>
      </c>
      <c r="M284" s="421">
        <f>IF(OR(H284="U",L284=0),0,  L284*POWER((1+'2. TaxData'!$I$65),(J284-'1. AgeData'!$D$31)))</f>
        <v>0</v>
      </c>
    </row>
    <row r="285" spans="1:13" x14ac:dyDescent="0.25">
      <c r="A285" s="307">
        <v>51</v>
      </c>
      <c r="B285" s="1701" t="s">
        <v>220</v>
      </c>
      <c r="C285" s="3053" t="s">
        <v>355</v>
      </c>
      <c r="D285" s="1705">
        <v>0</v>
      </c>
      <c r="E285" s="1705"/>
      <c r="F285" s="1706">
        <v>0</v>
      </c>
      <c r="G285" s="1214">
        <f>IF(OR(B285="U",F285=0),0,  F285*POWER((1+'2. TaxData'!$I$65),(D285-'1. AgeData'!$D$30)))</f>
        <v>0</v>
      </c>
      <c r="H285" s="1701" t="s">
        <v>220</v>
      </c>
      <c r="I285" s="3053" t="s">
        <v>355</v>
      </c>
      <c r="J285" s="1707">
        <v>0</v>
      </c>
      <c r="K285" s="1705"/>
      <c r="L285" s="1706">
        <v>0</v>
      </c>
      <c r="M285" s="421">
        <f>IF(OR(H285="U",L285=0),0,  L285*POWER((1+'2. TaxData'!$I$65),(J285-'1. AgeData'!$D$31)))</f>
        <v>0</v>
      </c>
    </row>
    <row r="286" spans="1:13" x14ac:dyDescent="0.25">
      <c r="A286" s="307">
        <v>52</v>
      </c>
      <c r="B286" s="1701" t="s">
        <v>220</v>
      </c>
      <c r="C286" s="3053" t="s">
        <v>355</v>
      </c>
      <c r="D286" s="1705">
        <v>0</v>
      </c>
      <c r="E286" s="1705"/>
      <c r="F286" s="1706">
        <v>0</v>
      </c>
      <c r="G286" s="1214">
        <f>IF(OR(B286="U",F286=0),0,  F286*POWER((1+'2. TaxData'!$I$65),(D286-'1. AgeData'!$D$30)))</f>
        <v>0</v>
      </c>
      <c r="H286" s="1701" t="s">
        <v>220</v>
      </c>
      <c r="I286" s="3053" t="s">
        <v>355</v>
      </c>
      <c r="J286" s="1707">
        <v>0</v>
      </c>
      <c r="K286" s="1705"/>
      <c r="L286" s="1706">
        <v>0</v>
      </c>
      <c r="M286" s="421">
        <f>IF(OR(H286="U",L286=0),0,  L286*POWER((1+'2. TaxData'!$I$65),(J286-'1. AgeData'!$D$31)))</f>
        <v>0</v>
      </c>
    </row>
    <row r="287" spans="1:13" x14ac:dyDescent="0.25">
      <c r="A287" s="307">
        <v>53</v>
      </c>
      <c r="B287" s="1701" t="s">
        <v>220</v>
      </c>
      <c r="C287" s="3053" t="s">
        <v>355</v>
      </c>
      <c r="D287" s="1705">
        <v>0</v>
      </c>
      <c r="E287" s="1705"/>
      <c r="F287" s="1706">
        <v>0</v>
      </c>
      <c r="G287" s="1214">
        <f>IF(OR(B287="U",F287=0),0,  F287*POWER((1+'2. TaxData'!$I$65),(D287-'1. AgeData'!$D$30)))</f>
        <v>0</v>
      </c>
      <c r="H287" s="1701" t="s">
        <v>220</v>
      </c>
      <c r="I287" s="3053" t="s">
        <v>355</v>
      </c>
      <c r="J287" s="1707">
        <v>0</v>
      </c>
      <c r="K287" s="1705"/>
      <c r="L287" s="1706">
        <v>0</v>
      </c>
      <c r="M287" s="421">
        <f>IF(OR(H287="U",L287=0),0,  L287*POWER((1+'2. TaxData'!$I$65),(J287-'1. AgeData'!$D$31)))</f>
        <v>0</v>
      </c>
    </row>
    <row r="288" spans="1:13" x14ac:dyDescent="0.25">
      <c r="A288" s="307">
        <v>54</v>
      </c>
      <c r="B288" s="1701" t="s">
        <v>220</v>
      </c>
      <c r="C288" s="3053" t="s">
        <v>355</v>
      </c>
      <c r="D288" s="1705">
        <v>0</v>
      </c>
      <c r="E288" s="1705"/>
      <c r="F288" s="1706">
        <v>0</v>
      </c>
      <c r="G288" s="1214">
        <f>IF(OR(B288="U",F288=0),0,  F288*POWER((1+'2. TaxData'!$I$65),(D288-'1. AgeData'!$D$30)))</f>
        <v>0</v>
      </c>
      <c r="H288" s="1701" t="s">
        <v>220</v>
      </c>
      <c r="I288" s="3053" t="s">
        <v>355</v>
      </c>
      <c r="J288" s="1707">
        <v>0</v>
      </c>
      <c r="K288" s="1705"/>
      <c r="L288" s="1706">
        <v>0</v>
      </c>
      <c r="M288" s="421">
        <f>IF(OR(H288="U",L288=0),0,  L288*POWER((1+'2. TaxData'!$I$65),(J288-'1. AgeData'!$D$31)))</f>
        <v>0</v>
      </c>
    </row>
    <row r="289" spans="1:13" x14ac:dyDescent="0.25">
      <c r="A289" s="307">
        <v>55</v>
      </c>
      <c r="B289" s="1701" t="s">
        <v>220</v>
      </c>
      <c r="C289" s="3053" t="s">
        <v>355</v>
      </c>
      <c r="D289" s="1705">
        <v>0</v>
      </c>
      <c r="E289" s="1705"/>
      <c r="F289" s="1706">
        <v>0</v>
      </c>
      <c r="G289" s="1214">
        <f>IF(OR(B289="U",F289=0),0,  F289*POWER((1+'2. TaxData'!$I$65),(D289-'1. AgeData'!$D$30)))</f>
        <v>0</v>
      </c>
      <c r="H289" s="1701" t="s">
        <v>220</v>
      </c>
      <c r="I289" s="3053" t="s">
        <v>355</v>
      </c>
      <c r="J289" s="1707">
        <v>0</v>
      </c>
      <c r="K289" s="1705"/>
      <c r="L289" s="1706">
        <v>0</v>
      </c>
      <c r="M289" s="421">
        <f>IF(OR(H289="U",L289=0),0,  L289*POWER((1+'2. TaxData'!$I$65),(J289-'1. AgeData'!$D$31)))</f>
        <v>0</v>
      </c>
    </row>
    <row r="290" spans="1:13" x14ac:dyDescent="0.25">
      <c r="A290" s="307">
        <v>56</v>
      </c>
      <c r="B290" s="1701" t="s">
        <v>220</v>
      </c>
      <c r="C290" s="3053" t="s">
        <v>355</v>
      </c>
      <c r="D290" s="1705">
        <v>0</v>
      </c>
      <c r="E290" s="1705"/>
      <c r="F290" s="1706">
        <v>0</v>
      </c>
      <c r="G290" s="1214">
        <f>IF(OR(B290="U",F290=0),0,  F290*POWER((1+'2. TaxData'!$I$65),(D290-'1. AgeData'!$D$30)))</f>
        <v>0</v>
      </c>
      <c r="H290" s="1701" t="s">
        <v>220</v>
      </c>
      <c r="I290" s="3053" t="s">
        <v>355</v>
      </c>
      <c r="J290" s="1707">
        <v>0</v>
      </c>
      <c r="K290" s="1705"/>
      <c r="L290" s="1706">
        <v>0</v>
      </c>
      <c r="M290" s="421">
        <f>IF(OR(H290="U",L290=0),0,  L290*POWER((1+'2. TaxData'!$I$65),(J290-'1. AgeData'!$D$31)))</f>
        <v>0</v>
      </c>
    </row>
    <row r="291" spans="1:13" x14ac:dyDescent="0.25">
      <c r="A291" s="307">
        <v>57</v>
      </c>
      <c r="B291" s="1701" t="s">
        <v>220</v>
      </c>
      <c r="C291" s="3053" t="s">
        <v>355</v>
      </c>
      <c r="D291" s="1705">
        <v>0</v>
      </c>
      <c r="E291" s="1705"/>
      <c r="F291" s="1706">
        <v>0</v>
      </c>
      <c r="G291" s="1214">
        <f>IF(OR(B291="U",F291=0),0,  F291*POWER((1+'2. TaxData'!$I$65),(D291-'1. AgeData'!$D$30)))</f>
        <v>0</v>
      </c>
      <c r="H291" s="1701" t="s">
        <v>220</v>
      </c>
      <c r="I291" s="3053" t="s">
        <v>355</v>
      </c>
      <c r="J291" s="1707">
        <v>0</v>
      </c>
      <c r="K291" s="1705"/>
      <c r="L291" s="1706">
        <v>0</v>
      </c>
      <c r="M291" s="421">
        <f>IF(OR(H291="U",L291=0),0,  L291*POWER((1+'2. TaxData'!$I$65),(J291-'1. AgeData'!$D$31)))</f>
        <v>0</v>
      </c>
    </row>
    <row r="292" spans="1:13" x14ac:dyDescent="0.25">
      <c r="A292" s="307">
        <v>58</v>
      </c>
      <c r="B292" s="1701" t="s">
        <v>220</v>
      </c>
      <c r="C292" s="3053" t="s">
        <v>355</v>
      </c>
      <c r="D292" s="1705">
        <v>0</v>
      </c>
      <c r="E292" s="1705"/>
      <c r="F292" s="1706">
        <v>0</v>
      </c>
      <c r="G292" s="1214">
        <f>IF(OR(B292="U",F292=0),0,  F292*POWER((1+'2. TaxData'!$I$65),(D292-'1. AgeData'!$D$30)))</f>
        <v>0</v>
      </c>
      <c r="H292" s="1701" t="s">
        <v>220</v>
      </c>
      <c r="I292" s="3053" t="s">
        <v>355</v>
      </c>
      <c r="J292" s="1707">
        <v>0</v>
      </c>
      <c r="K292" s="1705"/>
      <c r="L292" s="1706">
        <v>0</v>
      </c>
      <c r="M292" s="421">
        <f>IF(OR(H292="U",L292=0),0,  L292*POWER((1+'2. TaxData'!$I$65),(J292-'1. AgeData'!$D$31)))</f>
        <v>0</v>
      </c>
    </row>
    <row r="293" spans="1:13" x14ac:dyDescent="0.25">
      <c r="A293" s="307">
        <v>59</v>
      </c>
      <c r="B293" s="1701" t="s">
        <v>220</v>
      </c>
      <c r="C293" s="3053" t="s">
        <v>355</v>
      </c>
      <c r="D293" s="1705">
        <v>0</v>
      </c>
      <c r="E293" s="1705"/>
      <c r="F293" s="1706">
        <v>0</v>
      </c>
      <c r="G293" s="1214">
        <f>IF(OR(B293="U",F293=0),0,  F293*POWER((1+'2. TaxData'!$I$65),(D293-'1. AgeData'!$D$30)))</f>
        <v>0</v>
      </c>
      <c r="H293" s="1701" t="s">
        <v>220</v>
      </c>
      <c r="I293" s="3053" t="s">
        <v>355</v>
      </c>
      <c r="J293" s="1707">
        <v>0</v>
      </c>
      <c r="K293" s="1705"/>
      <c r="L293" s="1706">
        <v>0</v>
      </c>
      <c r="M293" s="421">
        <f>IF(OR(H293="U",L293=0),0,  L293*POWER((1+'2. TaxData'!$I$65),(J293-'1. AgeData'!$D$31)))</f>
        <v>0</v>
      </c>
    </row>
    <row r="294" spans="1:13" x14ac:dyDescent="0.25">
      <c r="A294" s="307">
        <v>60</v>
      </c>
      <c r="B294" s="1701" t="s">
        <v>220</v>
      </c>
      <c r="C294" s="3053" t="s">
        <v>355</v>
      </c>
      <c r="D294" s="1705">
        <v>0</v>
      </c>
      <c r="E294" s="1705"/>
      <c r="F294" s="1706">
        <v>0</v>
      </c>
      <c r="G294" s="1214">
        <f>IF(OR(B294="U",F294=0),0,  F294*POWER((1+'2. TaxData'!$I$65),(D294-'1. AgeData'!$D$30)))</f>
        <v>0</v>
      </c>
      <c r="H294" s="1701" t="s">
        <v>220</v>
      </c>
      <c r="I294" s="3053" t="s">
        <v>355</v>
      </c>
      <c r="J294" s="1707">
        <v>0</v>
      </c>
      <c r="K294" s="1705"/>
      <c r="L294" s="1706">
        <v>0</v>
      </c>
      <c r="M294" s="421">
        <f>IF(OR(H294="U",L294=0),0,  L294*POWER((1+'2. TaxData'!$I$65),(J294-'1. AgeData'!$D$31)))</f>
        <v>0</v>
      </c>
    </row>
    <row r="295" spans="1:13" x14ac:dyDescent="0.25">
      <c r="A295" s="307">
        <v>61</v>
      </c>
      <c r="B295" s="1701" t="s">
        <v>220</v>
      </c>
      <c r="C295" s="3053" t="s">
        <v>355</v>
      </c>
      <c r="D295" s="1705">
        <v>0</v>
      </c>
      <c r="E295" s="1705"/>
      <c r="F295" s="1706">
        <v>0</v>
      </c>
      <c r="G295" s="1214">
        <f>IF(OR(B295="U",F295=0),0,  F295*POWER((1+'2. TaxData'!$I$65),(D295-'1. AgeData'!$D$30)))</f>
        <v>0</v>
      </c>
      <c r="H295" s="1701" t="s">
        <v>220</v>
      </c>
      <c r="I295" s="3053" t="s">
        <v>355</v>
      </c>
      <c r="J295" s="1707">
        <v>0</v>
      </c>
      <c r="K295" s="1705"/>
      <c r="L295" s="1706">
        <v>0</v>
      </c>
      <c r="M295" s="421">
        <f>IF(OR(H295="U",L295=0),0,  L295*POWER((1+'2. TaxData'!$I$65),(J295-'1. AgeData'!$D$31)))</f>
        <v>0</v>
      </c>
    </row>
    <row r="296" spans="1:13" x14ac:dyDescent="0.25">
      <c r="A296" s="307">
        <v>62</v>
      </c>
      <c r="B296" s="1701" t="s">
        <v>220</v>
      </c>
      <c r="C296" s="3053" t="s">
        <v>355</v>
      </c>
      <c r="D296" s="1705">
        <v>0</v>
      </c>
      <c r="E296" s="1705"/>
      <c r="F296" s="1706">
        <v>0</v>
      </c>
      <c r="G296" s="1214">
        <f>IF(OR(B296="U",F296=0),0,  F296*POWER((1+'2. TaxData'!$I$65),(D296-'1. AgeData'!$D$30)))</f>
        <v>0</v>
      </c>
      <c r="H296" s="1701" t="s">
        <v>220</v>
      </c>
      <c r="I296" s="3053" t="s">
        <v>355</v>
      </c>
      <c r="J296" s="1707">
        <v>0</v>
      </c>
      <c r="K296" s="1705"/>
      <c r="L296" s="1706">
        <v>0</v>
      </c>
      <c r="M296" s="421">
        <f>IF(OR(H296="U",L296=0),0,  L296*POWER((1+'2. TaxData'!$I$65),(J296-'1. AgeData'!$D$31)))</f>
        <v>0</v>
      </c>
    </row>
    <row r="297" spans="1:13" x14ac:dyDescent="0.25">
      <c r="A297" s="307">
        <v>63</v>
      </c>
      <c r="B297" s="1701" t="s">
        <v>220</v>
      </c>
      <c r="C297" s="3053" t="s">
        <v>355</v>
      </c>
      <c r="D297" s="1705">
        <v>0</v>
      </c>
      <c r="E297" s="1705"/>
      <c r="F297" s="1706">
        <v>0</v>
      </c>
      <c r="G297" s="1214">
        <f>IF(OR(B297="U",F297=0),0,  F297*POWER((1+'2. TaxData'!$I$65),(D297-'1. AgeData'!$D$30)))</f>
        <v>0</v>
      </c>
      <c r="H297" s="1701" t="s">
        <v>220</v>
      </c>
      <c r="I297" s="3053" t="s">
        <v>355</v>
      </c>
      <c r="J297" s="1707">
        <v>0</v>
      </c>
      <c r="K297" s="1705"/>
      <c r="L297" s="1706">
        <v>0</v>
      </c>
      <c r="M297" s="421">
        <f>IF(OR(H297="U",L297=0),0,  L297*POWER((1+'2. TaxData'!$I$65),(J297-'1. AgeData'!$D$31)))</f>
        <v>0</v>
      </c>
    </row>
    <row r="298" spans="1:13" x14ac:dyDescent="0.25">
      <c r="A298" s="307">
        <v>64</v>
      </c>
      <c r="B298" s="1701" t="s">
        <v>220</v>
      </c>
      <c r="C298" s="3053" t="s">
        <v>355</v>
      </c>
      <c r="D298" s="1705">
        <v>0</v>
      </c>
      <c r="E298" s="1705"/>
      <c r="F298" s="1706">
        <v>0</v>
      </c>
      <c r="G298" s="1214">
        <f>IF(OR(B298="U",F298=0),0,  F298*POWER((1+'2. TaxData'!$I$65),(D298-'1. AgeData'!$D$30)))</f>
        <v>0</v>
      </c>
      <c r="H298" s="1701" t="s">
        <v>220</v>
      </c>
      <c r="I298" s="3053" t="s">
        <v>355</v>
      </c>
      <c r="J298" s="1707">
        <v>0</v>
      </c>
      <c r="K298" s="1705"/>
      <c r="L298" s="1706">
        <v>0</v>
      </c>
      <c r="M298" s="421">
        <f>IF(OR(H298="U",L298=0),0,  L298*POWER((1+'2. TaxData'!$I$65),(J298-'1. AgeData'!$D$31)))</f>
        <v>0</v>
      </c>
    </row>
    <row r="299" spans="1:13" x14ac:dyDescent="0.25">
      <c r="A299" s="307">
        <v>65</v>
      </c>
      <c r="B299" s="1701" t="s">
        <v>220</v>
      </c>
      <c r="C299" s="3053" t="s">
        <v>355</v>
      </c>
      <c r="D299" s="1705">
        <v>0</v>
      </c>
      <c r="E299" s="1705"/>
      <c r="F299" s="1706">
        <v>0</v>
      </c>
      <c r="G299" s="1214">
        <f>IF(OR(B299="U",F299=0),0,  F299*POWER((1+'2. TaxData'!$I$65),(D299-'1. AgeData'!$D$30)))</f>
        <v>0</v>
      </c>
      <c r="H299" s="1701" t="s">
        <v>220</v>
      </c>
      <c r="I299" s="3053" t="s">
        <v>355</v>
      </c>
      <c r="J299" s="1707">
        <v>0</v>
      </c>
      <c r="K299" s="1705"/>
      <c r="L299" s="1706">
        <v>0</v>
      </c>
      <c r="M299" s="421">
        <f>IF(OR(H299="U",L299=0),0,  L299*POWER((1+'2. TaxData'!$I$65),(J299-'1. AgeData'!$D$31)))</f>
        <v>0</v>
      </c>
    </row>
    <row r="300" spans="1:13" x14ac:dyDescent="0.25">
      <c r="A300" s="307">
        <v>66</v>
      </c>
      <c r="B300" s="1701" t="s">
        <v>220</v>
      </c>
      <c r="C300" s="3053" t="s">
        <v>355</v>
      </c>
      <c r="D300" s="1705">
        <v>0</v>
      </c>
      <c r="E300" s="1705"/>
      <c r="F300" s="1706">
        <v>0</v>
      </c>
      <c r="G300" s="1214">
        <f>IF(OR(B300="U",F300=0),0,  F300*POWER((1+'2. TaxData'!$I$65),(D300-'1. AgeData'!$D$30)))</f>
        <v>0</v>
      </c>
      <c r="H300" s="1701" t="s">
        <v>220</v>
      </c>
      <c r="I300" s="3053" t="s">
        <v>355</v>
      </c>
      <c r="J300" s="1707">
        <v>0</v>
      </c>
      <c r="K300" s="1705"/>
      <c r="L300" s="1706">
        <v>0</v>
      </c>
      <c r="M300" s="421">
        <f>IF(OR(H300="U",L300=0),0,  L300*POWER((1+'2. TaxData'!$I$65),(J300-'1. AgeData'!$D$31)))</f>
        <v>0</v>
      </c>
    </row>
    <row r="301" spans="1:13" x14ac:dyDescent="0.25">
      <c r="A301" s="307">
        <v>67</v>
      </c>
      <c r="B301" s="1701" t="s">
        <v>220</v>
      </c>
      <c r="C301" s="3053" t="s">
        <v>355</v>
      </c>
      <c r="D301" s="1705">
        <v>0</v>
      </c>
      <c r="E301" s="1705"/>
      <c r="F301" s="1706">
        <v>0</v>
      </c>
      <c r="G301" s="1214">
        <f>IF(OR(B301="U",F301=0),0,  F301*POWER((1+'2. TaxData'!$I$65),(D301-'1. AgeData'!$D$30)))</f>
        <v>0</v>
      </c>
      <c r="H301" s="1701" t="s">
        <v>220</v>
      </c>
      <c r="I301" s="3053" t="s">
        <v>355</v>
      </c>
      <c r="J301" s="1707">
        <v>0</v>
      </c>
      <c r="K301" s="1705"/>
      <c r="L301" s="1706">
        <v>0</v>
      </c>
      <c r="M301" s="421">
        <f>IF(OR(H301="U",L301=0),0,  L301*POWER((1+'2. TaxData'!$I$65),(J301-'1. AgeData'!$D$31)))</f>
        <v>0</v>
      </c>
    </row>
    <row r="302" spans="1:13" x14ac:dyDescent="0.25">
      <c r="A302" s="307">
        <v>68</v>
      </c>
      <c r="B302" s="1701" t="s">
        <v>220</v>
      </c>
      <c r="C302" s="3053" t="s">
        <v>355</v>
      </c>
      <c r="D302" s="1705">
        <v>0</v>
      </c>
      <c r="E302" s="1705"/>
      <c r="F302" s="1706">
        <v>0</v>
      </c>
      <c r="G302" s="1214">
        <f>IF(OR(B302="U",F302=0),0,  F302*POWER((1+'2. TaxData'!$I$65),(D302-'1. AgeData'!$D$30)))</f>
        <v>0</v>
      </c>
      <c r="H302" s="1701" t="s">
        <v>220</v>
      </c>
      <c r="I302" s="3053" t="s">
        <v>355</v>
      </c>
      <c r="J302" s="1707">
        <v>0</v>
      </c>
      <c r="K302" s="1705"/>
      <c r="L302" s="1706">
        <v>0</v>
      </c>
      <c r="M302" s="421">
        <f>IF(OR(H302="U",L302=0),0,  L302*POWER((1+'2. TaxData'!$I$65),(J302-'1. AgeData'!$D$31)))</f>
        <v>0</v>
      </c>
    </row>
    <row r="303" spans="1:13" x14ac:dyDescent="0.25">
      <c r="A303" s="307">
        <v>69</v>
      </c>
      <c r="B303" s="1701" t="s">
        <v>220</v>
      </c>
      <c r="C303" s="3053" t="s">
        <v>355</v>
      </c>
      <c r="D303" s="1705">
        <v>0</v>
      </c>
      <c r="E303" s="1705"/>
      <c r="F303" s="1706">
        <v>0</v>
      </c>
      <c r="G303" s="1214">
        <f>IF(OR(B303="U",F303=0),0,  F303*POWER((1+'2. TaxData'!$I$65),(D303-'1. AgeData'!$D$30)))</f>
        <v>0</v>
      </c>
      <c r="H303" s="1701" t="s">
        <v>220</v>
      </c>
      <c r="I303" s="3053" t="s">
        <v>355</v>
      </c>
      <c r="J303" s="1707">
        <v>0</v>
      </c>
      <c r="K303" s="1705"/>
      <c r="L303" s="1706">
        <v>0</v>
      </c>
      <c r="M303" s="421">
        <f>IF(OR(H303="U",L303=0),0,  L303*POWER((1+'2. TaxData'!$I$65),(J303-'1. AgeData'!$D$31)))</f>
        <v>0</v>
      </c>
    </row>
    <row r="304" spans="1:13" x14ac:dyDescent="0.25">
      <c r="A304" s="307">
        <v>70</v>
      </c>
      <c r="B304" s="1701" t="s">
        <v>220</v>
      </c>
      <c r="C304" s="3053" t="s">
        <v>355</v>
      </c>
      <c r="D304" s="1705">
        <v>0</v>
      </c>
      <c r="E304" s="1705"/>
      <c r="F304" s="1706">
        <v>0</v>
      </c>
      <c r="G304" s="1214">
        <f>IF(OR(B304="U",F304=0),0,  F304*POWER((1+'2. TaxData'!$I$65),(D304-'1. AgeData'!$D$30)))</f>
        <v>0</v>
      </c>
      <c r="H304" s="1701" t="s">
        <v>220</v>
      </c>
      <c r="I304" s="3053" t="s">
        <v>355</v>
      </c>
      <c r="J304" s="1707">
        <v>0</v>
      </c>
      <c r="K304" s="1705"/>
      <c r="L304" s="1706">
        <v>0</v>
      </c>
      <c r="M304" s="421">
        <f>IF(OR(H304="U",L304=0),0,  L304*POWER((1+'2. TaxData'!$I$65),(J304-'1. AgeData'!$D$31)))</f>
        <v>0</v>
      </c>
    </row>
    <row r="305" spans="1:13" x14ac:dyDescent="0.25">
      <c r="A305" s="307">
        <v>71</v>
      </c>
      <c r="B305" s="1701" t="s">
        <v>220</v>
      </c>
      <c r="C305" s="3053" t="s">
        <v>355</v>
      </c>
      <c r="D305" s="1705">
        <v>0</v>
      </c>
      <c r="E305" s="1705"/>
      <c r="F305" s="1706">
        <v>0</v>
      </c>
      <c r="G305" s="1214">
        <f>IF(OR(B305="U",F305=0),0,  F305*POWER((1+'2. TaxData'!$I$65),(D305-'1. AgeData'!$D$30)))</f>
        <v>0</v>
      </c>
      <c r="H305" s="1701" t="s">
        <v>220</v>
      </c>
      <c r="I305" s="3053" t="s">
        <v>355</v>
      </c>
      <c r="J305" s="1707">
        <v>0</v>
      </c>
      <c r="K305" s="1705"/>
      <c r="L305" s="1706">
        <v>0</v>
      </c>
      <c r="M305" s="421">
        <f>IF(OR(H305="U",L305=0),0,  L305*POWER((1+'2. TaxData'!$I$65),(J305-'1. AgeData'!$D$31)))</f>
        <v>0</v>
      </c>
    </row>
    <row r="306" spans="1:13" x14ac:dyDescent="0.25">
      <c r="A306" s="307">
        <v>72</v>
      </c>
      <c r="B306" s="1701" t="s">
        <v>220</v>
      </c>
      <c r="C306" s="3053" t="s">
        <v>355</v>
      </c>
      <c r="D306" s="1705">
        <v>0</v>
      </c>
      <c r="E306" s="1705"/>
      <c r="F306" s="1706">
        <v>0</v>
      </c>
      <c r="G306" s="1214">
        <f>IF(OR(B306="U",F306=0),0,  F306*POWER((1+'2. TaxData'!$I$65),(D306-'1. AgeData'!$D$30)))</f>
        <v>0</v>
      </c>
      <c r="H306" s="1701" t="s">
        <v>220</v>
      </c>
      <c r="I306" s="3053" t="s">
        <v>355</v>
      </c>
      <c r="J306" s="1707">
        <v>0</v>
      </c>
      <c r="K306" s="1705"/>
      <c r="L306" s="1706">
        <v>0</v>
      </c>
      <c r="M306" s="421">
        <f>IF(OR(H306="U",L306=0),0,  L306*POWER((1+'2. TaxData'!$I$65),(J306-'1. AgeData'!$D$31)))</f>
        <v>0</v>
      </c>
    </row>
    <row r="307" spans="1:13" x14ac:dyDescent="0.25">
      <c r="A307" s="307">
        <v>73</v>
      </c>
      <c r="B307" s="1701" t="s">
        <v>220</v>
      </c>
      <c r="C307" s="3053" t="s">
        <v>355</v>
      </c>
      <c r="D307" s="1705">
        <v>0</v>
      </c>
      <c r="E307" s="1705"/>
      <c r="F307" s="1706">
        <v>0</v>
      </c>
      <c r="G307" s="1214">
        <f>IF(OR(B307="U",F307=0),0,  F307*POWER((1+'2. TaxData'!$I$65),(D307-'1. AgeData'!$D$30)))</f>
        <v>0</v>
      </c>
      <c r="H307" s="1701" t="s">
        <v>220</v>
      </c>
      <c r="I307" s="3053" t="s">
        <v>355</v>
      </c>
      <c r="J307" s="1707">
        <v>0</v>
      </c>
      <c r="K307" s="1705"/>
      <c r="L307" s="1706">
        <v>0</v>
      </c>
      <c r="M307" s="421">
        <f>IF(OR(H307="U",L307=0),0,  L307*POWER((1+'2. TaxData'!$I$65),(J307-'1. AgeData'!$D$31)))</f>
        <v>0</v>
      </c>
    </row>
    <row r="308" spans="1:13" x14ac:dyDescent="0.25">
      <c r="A308" s="307">
        <v>74</v>
      </c>
      <c r="B308" s="1701" t="s">
        <v>220</v>
      </c>
      <c r="C308" s="3053" t="s">
        <v>355</v>
      </c>
      <c r="D308" s="1705">
        <v>0</v>
      </c>
      <c r="E308" s="1705"/>
      <c r="F308" s="1706">
        <v>0</v>
      </c>
      <c r="G308" s="1214">
        <f>IF(OR(B308="U",F308=0),0,  F308*POWER((1+'2. TaxData'!$I$65),(D308-'1. AgeData'!$D$30)))</f>
        <v>0</v>
      </c>
      <c r="H308" s="1701" t="s">
        <v>220</v>
      </c>
      <c r="I308" s="3053" t="s">
        <v>355</v>
      </c>
      <c r="J308" s="1707">
        <v>0</v>
      </c>
      <c r="K308" s="1705"/>
      <c r="L308" s="1706">
        <v>0</v>
      </c>
      <c r="M308" s="421">
        <f>IF(OR(H308="U",L308=0),0,  L308*POWER((1+'2. TaxData'!$I$65),(J308-'1. AgeData'!$D$31)))</f>
        <v>0</v>
      </c>
    </row>
    <row r="309" spans="1:13" x14ac:dyDescent="0.25">
      <c r="A309" s="307">
        <v>75</v>
      </c>
      <c r="B309" s="1701" t="s">
        <v>220</v>
      </c>
      <c r="C309" s="3053" t="s">
        <v>355</v>
      </c>
      <c r="D309" s="1705">
        <v>0</v>
      </c>
      <c r="E309" s="1705"/>
      <c r="F309" s="1706">
        <v>0</v>
      </c>
      <c r="G309" s="1214">
        <f>IF(OR(B309="U",F309=0),0,  F309*POWER((1+'2. TaxData'!$I$65),(D309-'1. AgeData'!$D$30)))</f>
        <v>0</v>
      </c>
      <c r="H309" s="1701" t="s">
        <v>220</v>
      </c>
      <c r="I309" s="3053" t="s">
        <v>355</v>
      </c>
      <c r="J309" s="1707">
        <v>0</v>
      </c>
      <c r="K309" s="1705"/>
      <c r="L309" s="1706">
        <v>0</v>
      </c>
      <c r="M309" s="421">
        <f>IF(OR(H309="U",L309=0),0,  L309*POWER((1+'2. TaxData'!$I$65),(J309-'1. AgeData'!$D$31)))</f>
        <v>0</v>
      </c>
    </row>
    <row r="310" spans="1:13" x14ac:dyDescent="0.25">
      <c r="A310" s="307">
        <v>76</v>
      </c>
      <c r="B310" s="1701" t="s">
        <v>220</v>
      </c>
      <c r="C310" s="3053" t="s">
        <v>355</v>
      </c>
      <c r="D310" s="1705">
        <v>0</v>
      </c>
      <c r="E310" s="1705"/>
      <c r="F310" s="1706">
        <v>0</v>
      </c>
      <c r="G310" s="1214">
        <f>IF(OR(B310="U",F310=0),0,  F310*POWER((1+'2. TaxData'!$I$65),(D310-'1. AgeData'!$D$30)))</f>
        <v>0</v>
      </c>
      <c r="H310" s="1701" t="s">
        <v>220</v>
      </c>
      <c r="I310" s="3053" t="s">
        <v>355</v>
      </c>
      <c r="J310" s="1707">
        <v>0</v>
      </c>
      <c r="K310" s="1705"/>
      <c r="L310" s="1706">
        <v>0</v>
      </c>
      <c r="M310" s="421">
        <f>IF(OR(H310="U",L310=0),0,  L310*POWER((1+'2. TaxData'!$I$65),(J310-'1. AgeData'!$D$31)))</f>
        <v>0</v>
      </c>
    </row>
    <row r="311" spans="1:13" x14ac:dyDescent="0.25">
      <c r="A311" s="307">
        <v>77</v>
      </c>
      <c r="B311" s="1701" t="s">
        <v>220</v>
      </c>
      <c r="C311" s="3053" t="s">
        <v>355</v>
      </c>
      <c r="D311" s="1705">
        <v>0</v>
      </c>
      <c r="E311" s="1705"/>
      <c r="F311" s="1706">
        <v>0</v>
      </c>
      <c r="G311" s="1214">
        <f>IF(OR(B311="U",F311=0),0,  F311*POWER((1+'2. TaxData'!$I$65),(D311-'1. AgeData'!$D$30)))</f>
        <v>0</v>
      </c>
      <c r="H311" s="1701" t="s">
        <v>220</v>
      </c>
      <c r="I311" s="3053" t="s">
        <v>355</v>
      </c>
      <c r="J311" s="1707">
        <v>0</v>
      </c>
      <c r="K311" s="1705"/>
      <c r="L311" s="1706">
        <v>0</v>
      </c>
      <c r="M311" s="421">
        <f>IF(OR(H311="U",L311=0),0,  L311*POWER((1+'2. TaxData'!$I$65),(J311-'1. AgeData'!$D$31)))</f>
        <v>0</v>
      </c>
    </row>
    <row r="312" spans="1:13" x14ac:dyDescent="0.25">
      <c r="A312" s="307">
        <v>78</v>
      </c>
      <c r="B312" s="1701" t="s">
        <v>220</v>
      </c>
      <c r="C312" s="3053" t="s">
        <v>355</v>
      </c>
      <c r="D312" s="1705">
        <v>0</v>
      </c>
      <c r="E312" s="1705"/>
      <c r="F312" s="1706">
        <v>0</v>
      </c>
      <c r="G312" s="1214">
        <f>IF(OR(B312="U",F312=0),0,  F312*POWER((1+'2. TaxData'!$I$65),(D312-'1. AgeData'!$D$30)))</f>
        <v>0</v>
      </c>
      <c r="H312" s="1701" t="s">
        <v>220</v>
      </c>
      <c r="I312" s="3053" t="s">
        <v>355</v>
      </c>
      <c r="J312" s="1707">
        <v>0</v>
      </c>
      <c r="K312" s="1705"/>
      <c r="L312" s="1706">
        <v>0</v>
      </c>
      <c r="M312" s="421">
        <f>IF(OR(H312="U",L312=0),0,  L312*POWER((1+'2. TaxData'!$I$65),(J312-'1. AgeData'!$D$31)))</f>
        <v>0</v>
      </c>
    </row>
    <row r="313" spans="1:13" x14ac:dyDescent="0.25">
      <c r="A313" s="307">
        <v>79</v>
      </c>
      <c r="B313" s="1701" t="s">
        <v>220</v>
      </c>
      <c r="C313" s="3053" t="s">
        <v>355</v>
      </c>
      <c r="D313" s="1705">
        <v>0</v>
      </c>
      <c r="E313" s="1705"/>
      <c r="F313" s="1706">
        <v>0</v>
      </c>
      <c r="G313" s="1214">
        <f>IF(OR(B313="U",F313=0),0,  F313*POWER((1+'2. TaxData'!$I$65),(D313-'1. AgeData'!$D$30)))</f>
        <v>0</v>
      </c>
      <c r="H313" s="1701" t="s">
        <v>220</v>
      </c>
      <c r="I313" s="3053" t="s">
        <v>355</v>
      </c>
      <c r="J313" s="1707">
        <v>0</v>
      </c>
      <c r="K313" s="1705"/>
      <c r="L313" s="1706">
        <v>0</v>
      </c>
      <c r="M313" s="421">
        <f>IF(OR(H313="U",L313=0),0,  L313*POWER((1+'2. TaxData'!$I$65),(J313-'1. AgeData'!$D$31)))</f>
        <v>0</v>
      </c>
    </row>
    <row r="314" spans="1:13" x14ac:dyDescent="0.25">
      <c r="A314" s="307">
        <v>80</v>
      </c>
      <c r="B314" s="1701" t="s">
        <v>220</v>
      </c>
      <c r="C314" s="3053" t="s">
        <v>355</v>
      </c>
      <c r="D314" s="1705">
        <v>0</v>
      </c>
      <c r="E314" s="1705"/>
      <c r="F314" s="1706">
        <v>0</v>
      </c>
      <c r="G314" s="1214">
        <f>IF(OR(B314="U",F314=0),0,  F314*POWER((1+'2. TaxData'!$I$65),(D314-'1. AgeData'!$D$30)))</f>
        <v>0</v>
      </c>
      <c r="H314" s="1701" t="s">
        <v>220</v>
      </c>
      <c r="I314" s="3053" t="s">
        <v>355</v>
      </c>
      <c r="J314" s="1707">
        <v>0</v>
      </c>
      <c r="K314" s="1705"/>
      <c r="L314" s="1706">
        <v>0</v>
      </c>
      <c r="M314" s="421">
        <f>IF(OR(H314="U",L314=0),0,  L314*POWER((1+'2. TaxData'!$I$65),(J314-'1. AgeData'!$D$31)))</f>
        <v>0</v>
      </c>
    </row>
    <row r="315" spans="1:13" x14ac:dyDescent="0.25">
      <c r="A315" s="307">
        <v>81</v>
      </c>
      <c r="B315" s="1701" t="s">
        <v>220</v>
      </c>
      <c r="C315" s="3053" t="s">
        <v>355</v>
      </c>
      <c r="D315" s="1705">
        <v>0</v>
      </c>
      <c r="E315" s="1705"/>
      <c r="F315" s="1706">
        <v>0</v>
      </c>
      <c r="G315" s="1214">
        <f>IF(OR(B315="U",F315=0),0,  F315*POWER((1+'2. TaxData'!$I$65),(D315-'1. AgeData'!$D$30)))</f>
        <v>0</v>
      </c>
      <c r="H315" s="1701" t="s">
        <v>220</v>
      </c>
      <c r="I315" s="3053" t="s">
        <v>355</v>
      </c>
      <c r="J315" s="1707">
        <v>0</v>
      </c>
      <c r="K315" s="1705"/>
      <c r="L315" s="1706">
        <v>0</v>
      </c>
      <c r="M315" s="421">
        <f>IF(OR(H315="U",L315=0),0,  L315*POWER((1+'2. TaxData'!$I$65),(J315-'1. AgeData'!$D$31)))</f>
        <v>0</v>
      </c>
    </row>
    <row r="316" spans="1:13" x14ac:dyDescent="0.25">
      <c r="A316" s="307">
        <v>82</v>
      </c>
      <c r="B316" s="1701" t="s">
        <v>220</v>
      </c>
      <c r="C316" s="3053" t="s">
        <v>355</v>
      </c>
      <c r="D316" s="1705">
        <v>0</v>
      </c>
      <c r="E316" s="1705"/>
      <c r="F316" s="1706">
        <v>0</v>
      </c>
      <c r="G316" s="1214">
        <f>IF(OR(B316="U",F316=0),0,  F316*POWER((1+'2. TaxData'!$I$65),(D316-'1. AgeData'!$D$30)))</f>
        <v>0</v>
      </c>
      <c r="H316" s="1701" t="s">
        <v>220</v>
      </c>
      <c r="I316" s="3053" t="s">
        <v>355</v>
      </c>
      <c r="J316" s="1707">
        <v>0</v>
      </c>
      <c r="K316" s="1705"/>
      <c r="L316" s="1706">
        <v>0</v>
      </c>
      <c r="M316" s="421">
        <f>IF(OR(H316="U",L316=0),0,  L316*POWER((1+'2. TaxData'!$I$65),(J316-'1. AgeData'!$D$31)))</f>
        <v>0</v>
      </c>
    </row>
    <row r="317" spans="1:13" x14ac:dyDescent="0.25">
      <c r="A317" s="307">
        <v>83</v>
      </c>
      <c r="B317" s="1701" t="s">
        <v>220</v>
      </c>
      <c r="C317" s="3053" t="s">
        <v>355</v>
      </c>
      <c r="D317" s="1705">
        <v>0</v>
      </c>
      <c r="E317" s="1705"/>
      <c r="F317" s="1706">
        <v>0</v>
      </c>
      <c r="G317" s="1214">
        <f>IF(OR(B317="U",F317=0),0,  F317*POWER((1+'2. TaxData'!$I$65),(D317-'1. AgeData'!$D$30)))</f>
        <v>0</v>
      </c>
      <c r="H317" s="1701" t="s">
        <v>220</v>
      </c>
      <c r="I317" s="3053" t="s">
        <v>355</v>
      </c>
      <c r="J317" s="1707">
        <v>0</v>
      </c>
      <c r="K317" s="1705"/>
      <c r="L317" s="1706">
        <v>0</v>
      </c>
      <c r="M317" s="421">
        <f>IF(OR(H317="U",L317=0),0,  L317*POWER((1+'2. TaxData'!$I$65),(J317-'1. AgeData'!$D$31)))</f>
        <v>0</v>
      </c>
    </row>
    <row r="318" spans="1:13" x14ac:dyDescent="0.25">
      <c r="A318" s="307">
        <v>84</v>
      </c>
      <c r="B318" s="1701" t="s">
        <v>220</v>
      </c>
      <c r="C318" s="3053" t="s">
        <v>355</v>
      </c>
      <c r="D318" s="1705">
        <v>0</v>
      </c>
      <c r="E318" s="1705"/>
      <c r="F318" s="1706">
        <v>0</v>
      </c>
      <c r="G318" s="1214">
        <f>IF(OR(B318="U",F318=0),0,  F318*POWER((1+'2. TaxData'!$I$65),(D318-'1. AgeData'!$D$30)))</f>
        <v>0</v>
      </c>
      <c r="H318" s="1701" t="s">
        <v>220</v>
      </c>
      <c r="I318" s="3053" t="s">
        <v>355</v>
      </c>
      <c r="J318" s="1707">
        <v>0</v>
      </c>
      <c r="K318" s="1705"/>
      <c r="L318" s="1706">
        <v>0</v>
      </c>
      <c r="M318" s="421">
        <f>IF(OR(H318="U",L318=0),0,  L318*POWER((1+'2. TaxData'!$I$65),(J318-'1. AgeData'!$D$31)))</f>
        <v>0</v>
      </c>
    </row>
    <row r="319" spans="1:13" x14ac:dyDescent="0.25">
      <c r="A319" s="307">
        <v>85</v>
      </c>
      <c r="B319" s="1701" t="s">
        <v>220</v>
      </c>
      <c r="C319" s="3053" t="s">
        <v>355</v>
      </c>
      <c r="D319" s="1705">
        <v>0</v>
      </c>
      <c r="E319" s="1705"/>
      <c r="F319" s="1706">
        <v>0</v>
      </c>
      <c r="G319" s="1214">
        <f>IF(OR(B319="U",F319=0),0,  F319*POWER((1+'2. TaxData'!$I$65),(D319-'1. AgeData'!$D$30)))</f>
        <v>0</v>
      </c>
      <c r="H319" s="1701" t="s">
        <v>220</v>
      </c>
      <c r="I319" s="3053" t="s">
        <v>355</v>
      </c>
      <c r="J319" s="1707">
        <v>0</v>
      </c>
      <c r="K319" s="1705"/>
      <c r="L319" s="1706">
        <v>0</v>
      </c>
      <c r="M319" s="421">
        <f>IF(OR(H319="U",L319=0),0,  L319*POWER((1+'2. TaxData'!$I$65),(J319-'1. AgeData'!$D$31)))</f>
        <v>0</v>
      </c>
    </row>
    <row r="320" spans="1:13" x14ac:dyDescent="0.25">
      <c r="A320" s="307">
        <v>86</v>
      </c>
      <c r="B320" s="1701" t="s">
        <v>220</v>
      </c>
      <c r="C320" s="3053" t="s">
        <v>355</v>
      </c>
      <c r="D320" s="1705">
        <v>0</v>
      </c>
      <c r="E320" s="1705"/>
      <c r="F320" s="1706">
        <v>0</v>
      </c>
      <c r="G320" s="1214">
        <f>IF(OR(B320="U",F320=0),0,  F320*POWER((1+'2. TaxData'!$I$65),(D320-'1. AgeData'!$D$30)))</f>
        <v>0</v>
      </c>
      <c r="H320" s="1701" t="s">
        <v>220</v>
      </c>
      <c r="I320" s="3053" t="s">
        <v>355</v>
      </c>
      <c r="J320" s="1707">
        <v>0</v>
      </c>
      <c r="K320" s="1705"/>
      <c r="L320" s="1706">
        <v>0</v>
      </c>
      <c r="M320" s="421">
        <f>IF(OR(H320="U",L320=0),0,  L320*POWER((1+'2. TaxData'!$I$65),(J320-'1. AgeData'!$D$31)))</f>
        <v>0</v>
      </c>
    </row>
    <row r="321" spans="1:13" x14ac:dyDescent="0.25">
      <c r="A321" s="307">
        <v>87</v>
      </c>
      <c r="B321" s="1701" t="s">
        <v>220</v>
      </c>
      <c r="C321" s="3053" t="s">
        <v>355</v>
      </c>
      <c r="D321" s="1705">
        <v>0</v>
      </c>
      <c r="E321" s="1705"/>
      <c r="F321" s="1706">
        <v>0</v>
      </c>
      <c r="G321" s="1214">
        <f>IF(OR(B321="U",F321=0),0,  F321*POWER((1+'2. TaxData'!$I$65),(D321-'1. AgeData'!$D$30)))</f>
        <v>0</v>
      </c>
      <c r="H321" s="1701" t="s">
        <v>220</v>
      </c>
      <c r="I321" s="3053" t="s">
        <v>355</v>
      </c>
      <c r="J321" s="1707">
        <v>0</v>
      </c>
      <c r="K321" s="1705"/>
      <c r="L321" s="1706">
        <v>0</v>
      </c>
      <c r="M321" s="421">
        <f>IF(OR(H321="U",L321=0),0,  L321*POWER((1+'2. TaxData'!$I$65),(J321-'1. AgeData'!$D$31)))</f>
        <v>0</v>
      </c>
    </row>
    <row r="322" spans="1:13" x14ac:dyDescent="0.25">
      <c r="A322" s="307">
        <v>88</v>
      </c>
      <c r="B322" s="1701" t="s">
        <v>220</v>
      </c>
      <c r="C322" s="3053" t="s">
        <v>355</v>
      </c>
      <c r="D322" s="1705">
        <v>0</v>
      </c>
      <c r="E322" s="1705"/>
      <c r="F322" s="1706">
        <v>0</v>
      </c>
      <c r="G322" s="1214">
        <f>IF(OR(B322="U",F322=0),0,  F322*POWER((1+'2. TaxData'!$I$65),(D322-'1. AgeData'!$D$30)))</f>
        <v>0</v>
      </c>
      <c r="H322" s="1701" t="s">
        <v>220</v>
      </c>
      <c r="I322" s="3053" t="s">
        <v>355</v>
      </c>
      <c r="J322" s="1707">
        <v>0</v>
      </c>
      <c r="K322" s="1705"/>
      <c r="L322" s="1706">
        <v>0</v>
      </c>
      <c r="M322" s="421">
        <f>IF(OR(H322="U",L322=0),0,  L322*POWER((1+'2. TaxData'!$I$65),(J322-'1. AgeData'!$D$31)))</f>
        <v>0</v>
      </c>
    </row>
    <row r="323" spans="1:13" x14ac:dyDescent="0.25">
      <c r="A323" s="307">
        <v>89</v>
      </c>
      <c r="B323" s="1701" t="s">
        <v>220</v>
      </c>
      <c r="C323" s="3053" t="s">
        <v>355</v>
      </c>
      <c r="D323" s="1705">
        <v>0</v>
      </c>
      <c r="E323" s="1705"/>
      <c r="F323" s="1706">
        <v>0</v>
      </c>
      <c r="G323" s="1214">
        <f>IF(OR(B323="U",F323=0),0,  F323*POWER((1+'2. TaxData'!$I$65),(D323-'1. AgeData'!$D$30)))</f>
        <v>0</v>
      </c>
      <c r="H323" s="1701" t="s">
        <v>220</v>
      </c>
      <c r="I323" s="3053" t="s">
        <v>355</v>
      </c>
      <c r="J323" s="1707">
        <v>0</v>
      </c>
      <c r="K323" s="1705"/>
      <c r="L323" s="1706">
        <v>0</v>
      </c>
      <c r="M323" s="421">
        <f>IF(OR(H323="U",L323=0),0,  L323*POWER((1+'2. TaxData'!$I$65),(J323-'1. AgeData'!$D$31)))</f>
        <v>0</v>
      </c>
    </row>
    <row r="324" spans="1:13" x14ac:dyDescent="0.25">
      <c r="A324" s="307">
        <v>90</v>
      </c>
      <c r="B324" s="1701" t="s">
        <v>220</v>
      </c>
      <c r="C324" s="3053" t="s">
        <v>355</v>
      </c>
      <c r="D324" s="1705">
        <v>0</v>
      </c>
      <c r="E324" s="1705"/>
      <c r="F324" s="1706">
        <v>0</v>
      </c>
      <c r="G324" s="1214">
        <f>IF(OR(B324="U",F324=0),0,  F324*POWER((1+'2. TaxData'!$I$65),(D324-'1. AgeData'!$D$30)))</f>
        <v>0</v>
      </c>
      <c r="H324" s="1701" t="s">
        <v>220</v>
      </c>
      <c r="I324" s="3053" t="s">
        <v>355</v>
      </c>
      <c r="J324" s="1707">
        <v>0</v>
      </c>
      <c r="K324" s="1705"/>
      <c r="L324" s="1706">
        <v>0</v>
      </c>
      <c r="M324" s="421">
        <f>IF(OR(H324="U",L324=0),0,  L324*POWER((1+'2. TaxData'!$I$65),(J324-'1. AgeData'!$D$31)))</f>
        <v>0</v>
      </c>
    </row>
    <row r="325" spans="1:13" x14ac:dyDescent="0.25">
      <c r="A325" s="307">
        <v>91</v>
      </c>
      <c r="B325" s="1701" t="s">
        <v>220</v>
      </c>
      <c r="C325" s="3053" t="s">
        <v>355</v>
      </c>
      <c r="D325" s="1705">
        <v>0</v>
      </c>
      <c r="E325" s="1705"/>
      <c r="F325" s="1706">
        <v>0</v>
      </c>
      <c r="G325" s="1214">
        <f>IF(OR(B325="U",F325=0),0,  F325*POWER((1+'2. TaxData'!$I$65),(D325-'1. AgeData'!$D$30)))</f>
        <v>0</v>
      </c>
      <c r="H325" s="1701" t="s">
        <v>220</v>
      </c>
      <c r="I325" s="3053" t="s">
        <v>355</v>
      </c>
      <c r="J325" s="1707">
        <v>0</v>
      </c>
      <c r="K325" s="1705"/>
      <c r="L325" s="1706">
        <v>0</v>
      </c>
      <c r="M325" s="421">
        <f>IF(OR(H325="U",L325=0),0,  L325*POWER((1+'2. TaxData'!$I$65),(J325-'1. AgeData'!$D$31)))</f>
        <v>0</v>
      </c>
    </row>
    <row r="326" spans="1:13" x14ac:dyDescent="0.25">
      <c r="A326" s="307">
        <v>92</v>
      </c>
      <c r="B326" s="1701" t="s">
        <v>220</v>
      </c>
      <c r="C326" s="3053" t="s">
        <v>355</v>
      </c>
      <c r="D326" s="1705">
        <v>0</v>
      </c>
      <c r="E326" s="1705"/>
      <c r="F326" s="1706">
        <v>0</v>
      </c>
      <c r="G326" s="1214">
        <f>IF(OR(B326="U",F326=0),0,  F326*POWER((1+'2. TaxData'!$I$65),(D326-'1. AgeData'!$D$30)))</f>
        <v>0</v>
      </c>
      <c r="H326" s="1701" t="s">
        <v>220</v>
      </c>
      <c r="I326" s="3053" t="s">
        <v>355</v>
      </c>
      <c r="J326" s="1707">
        <v>0</v>
      </c>
      <c r="K326" s="1705"/>
      <c r="L326" s="1706">
        <v>0</v>
      </c>
      <c r="M326" s="421">
        <f>IF(OR(H326="U",L326=0),0,  L326*POWER((1+'2. TaxData'!$I$65),(J326-'1. AgeData'!$D$31)))</f>
        <v>0</v>
      </c>
    </row>
    <row r="327" spans="1:13" x14ac:dyDescent="0.25">
      <c r="A327" s="307">
        <v>93</v>
      </c>
      <c r="B327" s="1701" t="s">
        <v>220</v>
      </c>
      <c r="C327" s="3053" t="s">
        <v>355</v>
      </c>
      <c r="D327" s="1705">
        <v>0</v>
      </c>
      <c r="E327" s="1705"/>
      <c r="F327" s="1706">
        <v>0</v>
      </c>
      <c r="G327" s="1214">
        <f>IF(OR(B327="U",F327=0),0,  F327*POWER((1+'2. TaxData'!$I$65),(D327-'1. AgeData'!$D$30)))</f>
        <v>0</v>
      </c>
      <c r="H327" s="1701" t="s">
        <v>220</v>
      </c>
      <c r="I327" s="3053" t="s">
        <v>355</v>
      </c>
      <c r="J327" s="1707">
        <v>0</v>
      </c>
      <c r="K327" s="1705"/>
      <c r="L327" s="1706">
        <v>0</v>
      </c>
      <c r="M327" s="421">
        <f>IF(OR(H327="U",L327=0),0,  L327*POWER((1+'2. TaxData'!$I$65),(J327-'1. AgeData'!$D$31)))</f>
        <v>0</v>
      </c>
    </row>
    <row r="328" spans="1:13" x14ac:dyDescent="0.25">
      <c r="A328" s="307">
        <v>94</v>
      </c>
      <c r="B328" s="1701" t="s">
        <v>220</v>
      </c>
      <c r="C328" s="3053" t="s">
        <v>355</v>
      </c>
      <c r="D328" s="1705">
        <v>0</v>
      </c>
      <c r="E328" s="1705"/>
      <c r="F328" s="1706">
        <v>0</v>
      </c>
      <c r="G328" s="1214">
        <f>IF(OR(B328="U",F328=0),0,  F328*POWER((1+'2. TaxData'!$I$65),(D328-'1. AgeData'!$D$30)))</f>
        <v>0</v>
      </c>
      <c r="H328" s="1701" t="s">
        <v>220</v>
      </c>
      <c r="I328" s="3053" t="s">
        <v>355</v>
      </c>
      <c r="J328" s="1707">
        <v>0</v>
      </c>
      <c r="K328" s="1705"/>
      <c r="L328" s="1706">
        <v>0</v>
      </c>
      <c r="M328" s="421">
        <f>IF(OR(H328="U",L328=0),0,  L328*POWER((1+'2. TaxData'!$I$65),(J328-'1. AgeData'!$D$31)))</f>
        <v>0</v>
      </c>
    </row>
    <row r="329" spans="1:13" x14ac:dyDescent="0.25">
      <c r="A329" s="307">
        <v>95</v>
      </c>
      <c r="B329" s="1701" t="s">
        <v>220</v>
      </c>
      <c r="C329" s="3053" t="s">
        <v>355</v>
      </c>
      <c r="D329" s="1705">
        <v>0</v>
      </c>
      <c r="E329" s="1705"/>
      <c r="F329" s="1706">
        <v>0</v>
      </c>
      <c r="G329" s="1214">
        <f>IF(OR(B329="U",F329=0),0,  F329*POWER((1+'2. TaxData'!$I$65),(D329-'1. AgeData'!$D$30)))</f>
        <v>0</v>
      </c>
      <c r="H329" s="1701" t="s">
        <v>220</v>
      </c>
      <c r="I329" s="3053" t="s">
        <v>355</v>
      </c>
      <c r="J329" s="1707">
        <v>0</v>
      </c>
      <c r="K329" s="1705"/>
      <c r="L329" s="1706">
        <v>0</v>
      </c>
      <c r="M329" s="421">
        <f>IF(OR(H329="U",L329=0),0,  L329*POWER((1+'2. TaxData'!$I$65),(J329-'1. AgeData'!$D$31)))</f>
        <v>0</v>
      </c>
    </row>
    <row r="330" spans="1:13" x14ac:dyDescent="0.25">
      <c r="A330" s="307">
        <v>96</v>
      </c>
      <c r="B330" s="1701" t="s">
        <v>220</v>
      </c>
      <c r="C330" s="3053" t="s">
        <v>355</v>
      </c>
      <c r="D330" s="1705">
        <v>0</v>
      </c>
      <c r="E330" s="1705"/>
      <c r="F330" s="1706">
        <v>0</v>
      </c>
      <c r="G330" s="1214">
        <f>IF(OR(B330="U",F330=0),0,  F330*POWER((1+'2. TaxData'!$I$65),(D330-'1. AgeData'!$D$30)))</f>
        <v>0</v>
      </c>
      <c r="H330" s="1701" t="s">
        <v>220</v>
      </c>
      <c r="I330" s="3053" t="s">
        <v>355</v>
      </c>
      <c r="J330" s="1707">
        <v>0</v>
      </c>
      <c r="K330" s="1705"/>
      <c r="L330" s="1706">
        <v>0</v>
      </c>
      <c r="M330" s="421">
        <f>IF(OR(H330="U",L330=0),0,  L330*POWER((1+'2. TaxData'!$I$65),(J330-'1. AgeData'!$D$31)))</f>
        <v>0</v>
      </c>
    </row>
    <row r="331" spans="1:13" x14ac:dyDescent="0.25">
      <c r="A331" s="307">
        <v>97</v>
      </c>
      <c r="B331" s="1701" t="s">
        <v>220</v>
      </c>
      <c r="C331" s="3053" t="s">
        <v>355</v>
      </c>
      <c r="D331" s="1705">
        <v>0</v>
      </c>
      <c r="E331" s="1705"/>
      <c r="F331" s="1706">
        <v>0</v>
      </c>
      <c r="G331" s="1214">
        <f>IF(OR(B331="U",F331=0),0,  F331*POWER((1+'2. TaxData'!$I$65),(D331-'1. AgeData'!$D$30)))</f>
        <v>0</v>
      </c>
      <c r="H331" s="1701" t="s">
        <v>220</v>
      </c>
      <c r="I331" s="3053" t="s">
        <v>355</v>
      </c>
      <c r="J331" s="1707">
        <v>0</v>
      </c>
      <c r="K331" s="1705"/>
      <c r="L331" s="1706">
        <v>0</v>
      </c>
      <c r="M331" s="421">
        <f>IF(OR(H331="U",L331=0),0,  L331*POWER((1+'2. TaxData'!$I$65),(J331-'1. AgeData'!$D$31)))</f>
        <v>0</v>
      </c>
    </row>
    <row r="332" spans="1:13" x14ac:dyDescent="0.25">
      <c r="A332" s="307">
        <v>98</v>
      </c>
      <c r="B332" s="1701" t="s">
        <v>220</v>
      </c>
      <c r="C332" s="3053" t="s">
        <v>355</v>
      </c>
      <c r="D332" s="1705">
        <v>0</v>
      </c>
      <c r="E332" s="1705"/>
      <c r="F332" s="1706">
        <v>0</v>
      </c>
      <c r="G332" s="1214">
        <f>IF(OR(B332="U",F332=0),0,  F332*POWER((1+'2. TaxData'!$I$65),(D332-'1. AgeData'!$D$30)))</f>
        <v>0</v>
      </c>
      <c r="H332" s="1701" t="s">
        <v>220</v>
      </c>
      <c r="I332" s="3053" t="s">
        <v>355</v>
      </c>
      <c r="J332" s="1707">
        <v>0</v>
      </c>
      <c r="K332" s="1705"/>
      <c r="L332" s="1706">
        <v>0</v>
      </c>
      <c r="M332" s="421">
        <f>IF(OR(H332="U",L332=0),0,  L332*POWER((1+'2. TaxData'!$I$65),(J332-'1. AgeData'!$D$31)))</f>
        <v>0</v>
      </c>
    </row>
    <row r="333" spans="1:13" x14ac:dyDescent="0.25">
      <c r="A333" s="307">
        <v>99</v>
      </c>
      <c r="B333" s="1701" t="s">
        <v>220</v>
      </c>
      <c r="C333" s="3053" t="s">
        <v>355</v>
      </c>
      <c r="D333" s="1705">
        <v>0</v>
      </c>
      <c r="E333" s="1705"/>
      <c r="F333" s="1706">
        <v>0</v>
      </c>
      <c r="G333" s="1214">
        <f>IF(OR(B333="U",F333=0),0,  F333*POWER((1+'2. TaxData'!$I$65),(D333-'1. AgeData'!$D$30)))</f>
        <v>0</v>
      </c>
      <c r="H333" s="1701" t="s">
        <v>220</v>
      </c>
      <c r="I333" s="3053" t="s">
        <v>355</v>
      </c>
      <c r="J333" s="1707">
        <v>0</v>
      </c>
      <c r="K333" s="1705"/>
      <c r="L333" s="1706">
        <v>0</v>
      </c>
      <c r="M333" s="421">
        <f>IF(OR(H333="U",L333=0),0,  L333*POWER((1+'2. TaxData'!$I$65),(J333-'1. AgeData'!$D$31)))</f>
        <v>0</v>
      </c>
    </row>
    <row r="334" spans="1:13" x14ac:dyDescent="0.25">
      <c r="A334" s="307">
        <v>100</v>
      </c>
      <c r="B334" s="1701" t="s">
        <v>220</v>
      </c>
      <c r="C334" s="3053" t="s">
        <v>355</v>
      </c>
      <c r="D334" s="1705">
        <v>0</v>
      </c>
      <c r="E334" s="1705"/>
      <c r="F334" s="1706">
        <v>0</v>
      </c>
      <c r="G334" s="1214">
        <f>IF(OR(B334="U",F334=0),0,  F334*POWER((1+'2. TaxData'!$I$65),(D334-'1. AgeData'!$D$30)))</f>
        <v>0</v>
      </c>
      <c r="H334" s="1701" t="s">
        <v>220</v>
      </c>
      <c r="I334" s="3053" t="s">
        <v>355</v>
      </c>
      <c r="J334" s="1707">
        <v>0</v>
      </c>
      <c r="K334" s="1705"/>
      <c r="L334" s="1706">
        <v>0</v>
      </c>
      <c r="M334" s="421">
        <f>IF(OR(H334="U",L334=0),0,  L334*POWER((1+'2. TaxData'!$I$65),(J334-'1. AgeData'!$D$31)))</f>
        <v>0</v>
      </c>
    </row>
    <row r="335" spans="1:13" x14ac:dyDescent="0.25">
      <c r="A335" s="307">
        <v>101</v>
      </c>
      <c r="B335" s="1701" t="s">
        <v>220</v>
      </c>
      <c r="C335" s="3053" t="s">
        <v>355</v>
      </c>
      <c r="D335" s="1705">
        <v>0</v>
      </c>
      <c r="E335" s="1705"/>
      <c r="F335" s="1706">
        <v>0</v>
      </c>
      <c r="G335" s="1214">
        <f>IF(OR(B335="U",F335=0),0,  F335*POWER((1+'2. TaxData'!$I$65),(D335-'1. AgeData'!$D$30)))</f>
        <v>0</v>
      </c>
      <c r="H335" s="1701" t="s">
        <v>220</v>
      </c>
      <c r="I335" s="3053" t="s">
        <v>355</v>
      </c>
      <c r="J335" s="1707">
        <v>0</v>
      </c>
      <c r="K335" s="1705"/>
      <c r="L335" s="1706">
        <v>0</v>
      </c>
      <c r="M335" s="421">
        <f>IF(OR(H335="U",L335=0),0,  L335*POWER((1+'2. TaxData'!$I$65),(J335-'1. AgeData'!$D$31)))</f>
        <v>0</v>
      </c>
    </row>
    <row r="336" spans="1:13" x14ac:dyDescent="0.25">
      <c r="A336" s="307">
        <v>102</v>
      </c>
      <c r="B336" s="1701" t="s">
        <v>220</v>
      </c>
      <c r="C336" s="3053" t="s">
        <v>355</v>
      </c>
      <c r="D336" s="1705">
        <v>0</v>
      </c>
      <c r="E336" s="1705"/>
      <c r="F336" s="1706">
        <v>0</v>
      </c>
      <c r="G336" s="1214">
        <f>IF(OR(B336="U",F336=0),0,  F336*POWER((1+'2. TaxData'!$I$65),(D336-'1. AgeData'!$D$30)))</f>
        <v>0</v>
      </c>
      <c r="H336" s="1701" t="s">
        <v>220</v>
      </c>
      <c r="I336" s="3053" t="s">
        <v>355</v>
      </c>
      <c r="J336" s="1707">
        <v>0</v>
      </c>
      <c r="K336" s="1705"/>
      <c r="L336" s="1706">
        <v>0</v>
      </c>
      <c r="M336" s="421">
        <f>IF(OR(H336="U",L336=0),0,  L336*POWER((1+'2. TaxData'!$I$65),(J336-'1. AgeData'!$D$31)))</f>
        <v>0</v>
      </c>
    </row>
    <row r="337" spans="1:13" x14ac:dyDescent="0.25">
      <c r="A337" s="307">
        <v>103</v>
      </c>
      <c r="B337" s="1701" t="s">
        <v>220</v>
      </c>
      <c r="C337" s="3053" t="s">
        <v>355</v>
      </c>
      <c r="D337" s="1705">
        <v>0</v>
      </c>
      <c r="E337" s="1705"/>
      <c r="F337" s="1706">
        <v>0</v>
      </c>
      <c r="G337" s="1214">
        <f>IF(OR(B337="U",F337=0),0,  F337*POWER((1+'2. TaxData'!$I$65),(D337-'1. AgeData'!$D$30)))</f>
        <v>0</v>
      </c>
      <c r="H337" s="1701" t="s">
        <v>220</v>
      </c>
      <c r="I337" s="3053" t="s">
        <v>355</v>
      </c>
      <c r="J337" s="1707">
        <v>0</v>
      </c>
      <c r="K337" s="1705"/>
      <c r="L337" s="1706">
        <v>0</v>
      </c>
      <c r="M337" s="421">
        <f>IF(OR(H337="U",L337=0),0,  L337*POWER((1+'2. TaxData'!$I$65),(J337-'1. AgeData'!$D$31)))</f>
        <v>0</v>
      </c>
    </row>
    <row r="338" spans="1:13" ht="15.75" thickBot="1" x14ac:dyDescent="0.3">
      <c r="A338" s="1852">
        <v>104</v>
      </c>
      <c r="B338" s="1874" t="s">
        <v>220</v>
      </c>
      <c r="C338" s="3054" t="s">
        <v>355</v>
      </c>
      <c r="D338" s="1711">
        <v>0</v>
      </c>
      <c r="E338" s="1711"/>
      <c r="F338" s="1875">
        <v>0</v>
      </c>
      <c r="G338" s="2568">
        <f>IF(OR(B338="U",F338=0),0,  F338*POWER((1+'2. TaxData'!$I$65),(D338-'1. AgeData'!$D$30)))</f>
        <v>0</v>
      </c>
      <c r="H338" s="1874" t="s">
        <v>220</v>
      </c>
      <c r="I338" s="3054" t="s">
        <v>355</v>
      </c>
      <c r="J338" s="1876">
        <v>0</v>
      </c>
      <c r="K338" s="1711"/>
      <c r="L338" s="1875">
        <v>0</v>
      </c>
      <c r="M338" s="1877">
        <f>IF(OR(H338="U",L338=0),0,  L338*POWER((1+'2. TaxData'!$I$65),(J338-'1. AgeData'!$D$31)))</f>
        <v>0</v>
      </c>
    </row>
    <row r="339" spans="1:13" ht="15.75" thickTop="1" x14ac:dyDescent="0.25">
      <c r="A339" s="1487"/>
      <c r="B339" s="668"/>
      <c r="C339" s="308"/>
      <c r="D339" s="308"/>
      <c r="E339" s="357"/>
      <c r="F339" s="669"/>
      <c r="G339" s="6"/>
      <c r="H339" s="668"/>
      <c r="I339" s="308"/>
      <c r="J339" s="308"/>
      <c r="K339" s="357"/>
      <c r="L339" s="669"/>
    </row>
    <row r="340" spans="1:13" ht="15.75" thickBot="1" x14ac:dyDescent="0.3">
      <c r="A340" s="1487"/>
      <c r="B340" s="668"/>
      <c r="C340" s="308"/>
      <c r="D340" s="308"/>
      <c r="E340" s="357"/>
      <c r="F340" s="669"/>
      <c r="G340" s="6"/>
      <c r="H340" s="668"/>
      <c r="I340" s="308"/>
      <c r="J340" s="308"/>
      <c r="K340" s="357"/>
      <c r="L340" s="669"/>
    </row>
    <row r="341" spans="1:13" ht="19.5" thickBot="1" x14ac:dyDescent="0.35">
      <c r="A341" s="1571" t="s">
        <v>1263</v>
      </c>
      <c r="B341" s="1572"/>
      <c r="C341" s="1573"/>
      <c r="D341" s="1573"/>
      <c r="E341" s="1572"/>
      <c r="F341" s="1572"/>
      <c r="G341" s="1572"/>
      <c r="H341" s="1572"/>
      <c r="I341" s="1572"/>
      <c r="J341" s="1572"/>
      <c r="K341" s="1575"/>
      <c r="L341" s="1577"/>
    </row>
    <row r="342" spans="1:13" ht="15.75" thickBot="1" x14ac:dyDescent="0.3">
      <c r="A342" s="38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1314"/>
    </row>
    <row r="343" spans="1:13" ht="19.5" thickTop="1" x14ac:dyDescent="0.3">
      <c r="A343" s="1340" t="s">
        <v>2109</v>
      </c>
      <c r="B343" s="1341"/>
      <c r="C343" s="1341"/>
      <c r="D343" s="1341"/>
      <c r="E343" s="2282"/>
      <c r="F343" s="1341"/>
      <c r="G343" s="1341"/>
      <c r="H343" s="1341"/>
      <c r="I343" s="1341"/>
      <c r="J343" s="1341"/>
      <c r="K343" s="1341"/>
      <c r="L343" s="1341"/>
      <c r="M343" s="1342"/>
    </row>
    <row r="344" spans="1:13" ht="18.75" x14ac:dyDescent="0.3">
      <c r="A344" s="2428" t="s">
        <v>2412</v>
      </c>
      <c r="B344" s="1842"/>
      <c r="C344" s="1841"/>
      <c r="D344" s="1841"/>
      <c r="E344" s="1842"/>
      <c r="F344" s="1842"/>
      <c r="G344" s="1842"/>
      <c r="H344" s="1842"/>
      <c r="I344" s="1842"/>
      <c r="J344" s="1842"/>
      <c r="K344" s="33"/>
      <c r="L344" s="2569"/>
      <c r="M344" s="1454"/>
    </row>
    <row r="345" spans="1:13" ht="18.75" x14ac:dyDescent="0.3">
      <c r="A345" s="2428" t="s">
        <v>3412</v>
      </c>
      <c r="B345" s="1842"/>
      <c r="C345" s="1841"/>
      <c r="D345" s="1841"/>
      <c r="E345" s="1842"/>
      <c r="F345" s="1842"/>
      <c r="G345" s="1842"/>
      <c r="H345" s="1842"/>
      <c r="I345" s="1842"/>
      <c r="J345" s="1842"/>
      <c r="K345" s="33"/>
      <c r="L345" s="2569"/>
      <c r="M345" s="1454"/>
    </row>
    <row r="346" spans="1:13" ht="18.75" x14ac:dyDescent="0.3">
      <c r="A346" s="2428" t="s">
        <v>2413</v>
      </c>
      <c r="B346" s="1842"/>
      <c r="C346" s="1841"/>
      <c r="D346" s="1841"/>
      <c r="E346" s="1842"/>
      <c r="F346" s="1842"/>
      <c r="G346" s="1842"/>
      <c r="H346" s="1842"/>
      <c r="I346" s="1842"/>
      <c r="J346" s="1842"/>
      <c r="K346" s="33"/>
      <c r="L346" s="2569"/>
      <c r="M346" s="1454"/>
    </row>
    <row r="347" spans="1:13" ht="18.75" x14ac:dyDescent="0.3">
      <c r="A347" s="6" t="s">
        <v>1951</v>
      </c>
      <c r="C347" s="6"/>
      <c r="D347" s="6"/>
      <c r="E347" s="13"/>
      <c r="F347" s="1842"/>
      <c r="G347" s="1842"/>
      <c r="H347" s="1842"/>
      <c r="I347" s="1842"/>
      <c r="J347" s="1842"/>
      <c r="K347" s="33"/>
      <c r="L347" s="2569"/>
      <c r="M347" s="1454"/>
    </row>
    <row r="348" spans="1:13" ht="18.75" x14ac:dyDescent="0.3">
      <c r="A348" s="1438"/>
      <c r="B348" s="3147" t="s">
        <v>2426</v>
      </c>
      <c r="C348" s="1841"/>
      <c r="D348" s="1841"/>
      <c r="E348" s="1841"/>
      <c r="F348" s="1227"/>
      <c r="G348" s="6"/>
      <c r="H348" s="6"/>
      <c r="I348" s="6"/>
      <c r="J348" s="6"/>
      <c r="K348" s="6"/>
      <c r="L348" s="6"/>
      <c r="M348" s="1311"/>
    </row>
    <row r="349" spans="1:13" ht="18.75" x14ac:dyDescent="0.3">
      <c r="A349" s="1416" t="s">
        <v>1319</v>
      </c>
      <c r="F349" s="1841"/>
      <c r="G349" s="1156"/>
      <c r="H349" s="1156"/>
      <c r="I349" s="1155"/>
      <c r="J349" s="6"/>
      <c r="K349" s="6"/>
      <c r="L349" s="6"/>
      <c r="M349" s="1311"/>
    </row>
    <row r="350" spans="1:13" x14ac:dyDescent="0.25">
      <c r="A350" s="1416"/>
      <c r="B350" t="s">
        <v>2040</v>
      </c>
      <c r="J350" s="6"/>
      <c r="K350" s="6"/>
      <c r="L350" s="6"/>
      <c r="M350" s="1311"/>
    </row>
    <row r="351" spans="1:13" s="662" customFormat="1" x14ac:dyDescent="0.25">
      <c r="A351" s="1416"/>
      <c r="B351" t="s">
        <v>2869</v>
      </c>
      <c r="C351"/>
      <c r="D351"/>
      <c r="E351"/>
      <c r="F351"/>
      <c r="G351"/>
      <c r="H351"/>
      <c r="I351"/>
      <c r="J351" s="6"/>
      <c r="K351" s="6"/>
      <c r="L351" s="6"/>
      <c r="M351" s="1311"/>
    </row>
    <row r="352" spans="1:13" ht="18.75" x14ac:dyDescent="0.3">
      <c r="A352" s="1438"/>
      <c r="B352" t="s">
        <v>2112</v>
      </c>
      <c r="J352" s="6"/>
      <c r="K352" s="6"/>
      <c r="L352" s="6"/>
      <c r="M352" s="1311"/>
    </row>
    <row r="353" spans="1:14" ht="18.75" x14ac:dyDescent="0.3">
      <c r="A353" s="1438"/>
      <c r="B353" s="33" t="s">
        <v>1955</v>
      </c>
      <c r="C353" s="1841"/>
      <c r="D353" s="1841"/>
      <c r="E353" s="1842"/>
      <c r="G353" s="1183" t="s">
        <v>2113</v>
      </c>
      <c r="K353" s="6"/>
      <c r="L353" s="6"/>
      <c r="M353" s="1311"/>
    </row>
    <row r="354" spans="1:14" ht="18.75" x14ac:dyDescent="0.3">
      <c r="A354" s="1438"/>
      <c r="B354" s="33" t="s">
        <v>1956</v>
      </c>
      <c r="C354" s="1841"/>
      <c r="D354" s="1841"/>
      <c r="E354" s="1842"/>
      <c r="F354" s="6"/>
      <c r="G354" s="1227" t="s">
        <v>2004</v>
      </c>
      <c r="H354" s="6"/>
      <c r="K354" s="6"/>
      <c r="L354" s="6"/>
      <c r="M354" s="1311"/>
    </row>
    <row r="355" spans="1:14" ht="18.75" x14ac:dyDescent="0.3">
      <c r="A355" s="1438"/>
      <c r="B355" s="215" t="s">
        <v>1957</v>
      </c>
      <c r="C355" s="1841"/>
      <c r="D355" s="1841"/>
      <c r="E355" s="1842"/>
      <c r="F355" s="6"/>
      <c r="G355" s="1227" t="s">
        <v>2114</v>
      </c>
      <c r="H355" s="6"/>
      <c r="K355" s="6"/>
      <c r="L355" s="6"/>
      <c r="M355" s="1311"/>
    </row>
    <row r="356" spans="1:14" ht="18.75" x14ac:dyDescent="0.3">
      <c r="A356" s="1438"/>
      <c r="B356" s="215" t="s">
        <v>1958</v>
      </c>
      <c r="C356" s="1841"/>
      <c r="D356" s="1841"/>
      <c r="E356" s="1842"/>
      <c r="F356" s="1842"/>
      <c r="G356" s="1183" t="s">
        <v>2039</v>
      </c>
      <c r="I356" s="144"/>
      <c r="J356" s="6"/>
      <c r="K356" s="6"/>
      <c r="L356" s="6"/>
      <c r="M356" s="1311"/>
    </row>
    <row r="357" spans="1:14" ht="18.75" x14ac:dyDescent="0.3">
      <c r="A357" s="1438"/>
      <c r="B357" s="215" t="s">
        <v>1959</v>
      </c>
      <c r="C357" s="1841"/>
      <c r="D357" s="1841"/>
      <c r="E357" s="1842"/>
      <c r="F357" s="1842"/>
      <c r="G357" s="1227" t="s">
        <v>1953</v>
      </c>
      <c r="H357" s="6"/>
      <c r="I357" s="144"/>
      <c r="J357" s="6"/>
      <c r="K357" s="6"/>
      <c r="L357" s="6"/>
      <c r="M357" s="1311"/>
    </row>
    <row r="358" spans="1:14" ht="18.75" x14ac:dyDescent="0.3">
      <c r="A358" s="1438"/>
      <c r="B358" t="str">
        <f>IF(L399&lt;0,"PROBLEM! You are taking too much money out of S1's IRA Account. Take less in IRAdata worksheet",".")</f>
        <v>.</v>
      </c>
      <c r="D358" s="3183"/>
      <c r="F358" s="1842"/>
      <c r="G358" s="1227" t="s">
        <v>2115</v>
      </c>
      <c r="H358" s="6"/>
      <c r="I358" s="144"/>
      <c r="J358" s="6"/>
      <c r="K358" s="6"/>
      <c r="L358" s="6"/>
      <c r="M358" s="1311"/>
    </row>
    <row r="359" spans="1:14" ht="18.75" x14ac:dyDescent="0.3">
      <c r="A359" s="1438"/>
      <c r="B359" s="215" t="str">
        <f>IF(M399&lt;0,"PROBLEM! You are taking too much money out of S2's IRA Account. Take less in IRAdata worksheet",".")</f>
        <v>.</v>
      </c>
      <c r="C359" s="1183" t="s">
        <v>2429</v>
      </c>
      <c r="F359" s="1842"/>
      <c r="G359" s="1227"/>
      <c r="H359" s="6"/>
      <c r="I359" s="144"/>
      <c r="J359" s="6"/>
      <c r="K359" s="6"/>
      <c r="L359" s="6"/>
      <c r="M359" s="1311"/>
      <c r="N359" s="215"/>
    </row>
    <row r="360" spans="1:14" ht="19.5" thickBot="1" x14ac:dyDescent="0.35">
      <c r="A360" s="1438"/>
      <c r="B360" s="215"/>
      <c r="C360" s="1917" t="s">
        <v>2427</v>
      </c>
      <c r="D360" s="1917"/>
      <c r="E360" s="1842"/>
      <c r="F360" s="1842"/>
      <c r="G360" s="1227"/>
      <c r="H360" s="6"/>
      <c r="I360" s="144"/>
      <c r="J360" s="6"/>
      <c r="K360" s="6"/>
      <c r="L360" s="6"/>
      <c r="M360" s="1311"/>
      <c r="N360" s="215"/>
    </row>
    <row r="361" spans="1:14" ht="53.25" thickTop="1" thickBot="1" x14ac:dyDescent="0.3">
      <c r="A361" s="2588" t="s">
        <v>142</v>
      </c>
      <c r="B361" s="2589" t="s">
        <v>143</v>
      </c>
      <c r="C361" s="3197" t="s">
        <v>2111</v>
      </c>
      <c r="D361" s="2701" t="s">
        <v>2110</v>
      </c>
      <c r="E361" s="453" t="s">
        <v>2116</v>
      </c>
      <c r="F361" s="453" t="s">
        <v>2117</v>
      </c>
      <c r="G361" s="431" t="s">
        <v>2118</v>
      </c>
      <c r="H361" s="431" t="s">
        <v>2119</v>
      </c>
      <c r="I361" s="3049" t="s">
        <v>2120</v>
      </c>
      <c r="J361" s="3050" t="s">
        <v>2121</v>
      </c>
      <c r="K361" s="1314"/>
      <c r="L361" s="3051" t="s">
        <v>2122</v>
      </c>
      <c r="M361" s="2304" t="s">
        <v>2123</v>
      </c>
      <c r="N361" s="215"/>
    </row>
    <row r="362" spans="1:14" ht="16.5" thickTop="1" thickBot="1" x14ac:dyDescent="0.3">
      <c r="A362" s="3189">
        <f>A363-1</f>
        <v>59</v>
      </c>
      <c r="B362" s="3188">
        <f>B363-1</f>
        <v>54</v>
      </c>
      <c r="C362" s="3184"/>
      <c r="D362" s="3184"/>
      <c r="E362" s="3194">
        <f>IF((A362-$K$181)&lt;=4,$D$132,0)</f>
        <v>10000</v>
      </c>
      <c r="F362" s="3194">
        <f>IF((B362-$K$187)&lt;=4,$D$138,0)</f>
        <v>8000</v>
      </c>
      <c r="G362" s="3194">
        <f>$D$133</f>
        <v>6000</v>
      </c>
      <c r="H362" s="3194">
        <f>$D$139</f>
        <v>12000</v>
      </c>
      <c r="I362" s="3186" t="s">
        <v>2428</v>
      </c>
      <c r="J362" s="3184"/>
      <c r="K362" s="3184"/>
      <c r="L362" s="3184"/>
      <c r="M362" s="3185"/>
    </row>
    <row r="363" spans="1:14" x14ac:dyDescent="0.25">
      <c r="A363" s="2594">
        <f>'1. AgeData'!$D$30</f>
        <v>60</v>
      </c>
      <c r="B363" s="884">
        <f>'1. AgeData'!$D$31</f>
        <v>55</v>
      </c>
      <c r="C363" s="2436">
        <f>$D$131</f>
        <v>215000</v>
      </c>
      <c r="D363" s="2439">
        <f>$D$137</f>
        <v>90000</v>
      </c>
      <c r="E363" s="3088">
        <f t="shared" ref="E363:E399" si="8">IF(AND((A363-$K$181)&lt;=4,A363&gt;=$K$181),1,0) *MAX(0,(IF(A363=$K$181,$D$132, E362*(1+$E$132))-E558-E603-E656))</f>
        <v>0</v>
      </c>
      <c r="F363" s="3145">
        <f t="shared" ref="F363:F399" si="9">IF(AND((B363-$K$187)&lt;=4,B363&gt;=$K$187),1,0) *MAX(0,(IF(B363=$K$187,$D$138, F362*(1+$E$138))-F558-F603-F656))</f>
        <v>0</v>
      </c>
      <c r="G363" s="2473">
        <f t="shared" ref="G363:G399" si="10">IF(A363&lt;$K$182,0,IF(A363=$K$182,$D$133,MAX(0,((G362*(1+$E$133))-(G558+G603+G656)))))</f>
        <v>0</v>
      </c>
      <c r="H363" s="2477">
        <f t="shared" ref="H363:H399" si="11">IF(B363&lt;$K$188,0,IF(B363=$K$188,$D$139,MAX(0,((H362*(1+$E$139))-(H558+H603+H656)))))</f>
        <v>0</v>
      </c>
      <c r="I363" s="2641">
        <f>IF($D$134=0,0,$D$134-I656)</f>
        <v>0</v>
      </c>
      <c r="J363" s="2642">
        <f>IF($D$134=0,0,$D$140-J656)</f>
        <v>0</v>
      </c>
      <c r="K363" s="2353"/>
      <c r="L363" s="1130">
        <f t="shared" ref="L363:M399" si="12">C363+E363+G363+I363</f>
        <v>215000</v>
      </c>
      <c r="M363" s="2577">
        <f t="shared" si="12"/>
        <v>90000</v>
      </c>
    </row>
    <row r="364" spans="1:14" x14ac:dyDescent="0.25">
      <c r="A364" s="2281">
        <f>A363+1</f>
        <v>61</v>
      </c>
      <c r="B364" s="2287">
        <f>B363+1</f>
        <v>56</v>
      </c>
      <c r="C364" s="2436">
        <f>(C363*(1+$E$134))+(C458+C703)-(C558+C656+E703)</f>
        <v>215000</v>
      </c>
      <c r="D364" s="2439">
        <f t="shared" ref="D364:D399" si="13">(D363*(1+$E$140))+(D458+G703)-(D656+I703)</f>
        <v>90826.87040392877</v>
      </c>
      <c r="E364" s="3088">
        <f t="shared" si="8"/>
        <v>0</v>
      </c>
      <c r="F364" s="3145">
        <f t="shared" si="9"/>
        <v>0</v>
      </c>
      <c r="G364" s="2473">
        <f t="shared" si="10"/>
        <v>0</v>
      </c>
      <c r="H364" s="2477">
        <f t="shared" si="11"/>
        <v>0</v>
      </c>
      <c r="I364" s="2641">
        <f t="shared" ref="I364:I399" si="14">IF($D$134=0,0,$D$134-I657)</f>
        <v>0</v>
      </c>
      <c r="J364" s="2642">
        <f t="shared" ref="J364:J399" si="15">IF($D$134=0,0,$D$140-J657)</f>
        <v>0</v>
      </c>
      <c r="K364" s="2353"/>
      <c r="L364" s="1130">
        <f t="shared" si="12"/>
        <v>215000</v>
      </c>
      <c r="M364" s="2577">
        <f t="shared" si="12"/>
        <v>90826.87040392877</v>
      </c>
    </row>
    <row r="365" spans="1:14" x14ac:dyDescent="0.25">
      <c r="A365" s="2281">
        <f t="shared" ref="A365:B380" si="16">A364+1</f>
        <v>62</v>
      </c>
      <c r="B365" s="2287">
        <f t="shared" si="16"/>
        <v>57</v>
      </c>
      <c r="C365" s="2436">
        <f t="shared" ref="C365:C399" si="17">(C364*(1+$E$134))+(C459+C704)-(C657+E704)</f>
        <v>213500</v>
      </c>
      <c r="D365" s="2439">
        <f t="shared" si="13"/>
        <v>93416.62040392877</v>
      </c>
      <c r="E365" s="3088">
        <f t="shared" si="8"/>
        <v>0</v>
      </c>
      <c r="F365" s="3145">
        <f t="shared" si="9"/>
        <v>0</v>
      </c>
      <c r="G365" s="2473">
        <f t="shared" si="10"/>
        <v>0</v>
      </c>
      <c r="H365" s="2477">
        <f t="shared" si="11"/>
        <v>0</v>
      </c>
      <c r="I365" s="2641">
        <f t="shared" si="14"/>
        <v>0</v>
      </c>
      <c r="J365" s="2642">
        <f t="shared" si="15"/>
        <v>0</v>
      </c>
      <c r="K365" s="2353"/>
      <c r="L365" s="1130">
        <f t="shared" si="12"/>
        <v>213500</v>
      </c>
      <c r="M365" s="2577">
        <f t="shared" si="12"/>
        <v>93416.62040392877</v>
      </c>
    </row>
    <row r="366" spans="1:14" x14ac:dyDescent="0.25">
      <c r="A366" s="2281">
        <f t="shared" si="16"/>
        <v>63</v>
      </c>
      <c r="B366" s="2287">
        <f t="shared" si="16"/>
        <v>58</v>
      </c>
      <c r="C366" s="2436">
        <f t="shared" si="17"/>
        <v>211386.2636757291</v>
      </c>
      <c r="D366" s="2439">
        <f t="shared" si="13"/>
        <v>93985.606104657854</v>
      </c>
      <c r="E366" s="3088">
        <f t="shared" si="8"/>
        <v>0</v>
      </c>
      <c r="F366" s="3145">
        <f t="shared" si="9"/>
        <v>6400</v>
      </c>
      <c r="G366" s="2473">
        <f t="shared" si="10"/>
        <v>0</v>
      </c>
      <c r="H366" s="2477">
        <f t="shared" si="11"/>
        <v>0</v>
      </c>
      <c r="I366" s="2641">
        <f t="shared" si="14"/>
        <v>0</v>
      </c>
      <c r="J366" s="2642">
        <f t="shared" si="15"/>
        <v>0</v>
      </c>
      <c r="K366" s="2353"/>
      <c r="L366" s="1130">
        <f t="shared" si="12"/>
        <v>211386.2636757291</v>
      </c>
      <c r="M366" s="2577">
        <f t="shared" si="12"/>
        <v>100385.60610465785</v>
      </c>
    </row>
    <row r="367" spans="1:14" x14ac:dyDescent="0.25">
      <c r="A367" s="2281">
        <f t="shared" si="16"/>
        <v>64</v>
      </c>
      <c r="B367" s="2287">
        <f t="shared" si="16"/>
        <v>59</v>
      </c>
      <c r="C367" s="2436">
        <f t="shared" si="17"/>
        <v>208021.59282991878</v>
      </c>
      <c r="D367" s="2439">
        <f t="shared" si="13"/>
        <v>93399.967004545033</v>
      </c>
      <c r="E367" s="3088">
        <f t="shared" si="8"/>
        <v>0</v>
      </c>
      <c r="F367" s="3145">
        <f t="shared" si="9"/>
        <v>4934.4000000000005</v>
      </c>
      <c r="G367" s="2473">
        <f t="shared" si="10"/>
        <v>0</v>
      </c>
      <c r="H367" s="2477">
        <f t="shared" si="11"/>
        <v>12000</v>
      </c>
      <c r="I367" s="2641">
        <f t="shared" si="14"/>
        <v>0</v>
      </c>
      <c r="J367" s="2642">
        <f t="shared" si="15"/>
        <v>0</v>
      </c>
      <c r="K367" s="2353"/>
      <c r="L367" s="1130">
        <f t="shared" si="12"/>
        <v>208021.59282991878</v>
      </c>
      <c r="M367" s="2577">
        <f t="shared" si="12"/>
        <v>110334.36700454503</v>
      </c>
    </row>
    <row r="368" spans="1:14" x14ac:dyDescent="0.25">
      <c r="A368" s="2281">
        <f t="shared" si="16"/>
        <v>65</v>
      </c>
      <c r="B368" s="2287">
        <f t="shared" si="16"/>
        <v>60</v>
      </c>
      <c r="C368" s="2436">
        <f t="shared" si="17"/>
        <v>206558.79952592507</v>
      </c>
      <c r="D368" s="2439">
        <f t="shared" si="13"/>
        <v>95269.36473616997</v>
      </c>
      <c r="E368" s="3088">
        <f t="shared" si="8"/>
        <v>0</v>
      </c>
      <c r="F368" s="3145">
        <f t="shared" si="9"/>
        <v>3393.2224000000006</v>
      </c>
      <c r="G368" s="2473">
        <f t="shared" si="10"/>
        <v>0</v>
      </c>
      <c r="H368" s="2477">
        <f t="shared" si="11"/>
        <v>12186.000000000002</v>
      </c>
      <c r="I368" s="2641">
        <f t="shared" si="14"/>
        <v>0</v>
      </c>
      <c r="J368" s="2642">
        <f t="shared" si="15"/>
        <v>0</v>
      </c>
      <c r="K368" s="2353"/>
      <c r="L368" s="1130">
        <f t="shared" si="12"/>
        <v>206558.79952592507</v>
      </c>
      <c r="M368" s="2577">
        <f t="shared" si="12"/>
        <v>110848.58713616997</v>
      </c>
    </row>
    <row r="369" spans="1:13" x14ac:dyDescent="0.25">
      <c r="A369" s="2281">
        <f t="shared" si="16"/>
        <v>66</v>
      </c>
      <c r="B369" s="2287">
        <f t="shared" si="16"/>
        <v>61</v>
      </c>
      <c r="C369" s="2436">
        <f t="shared" si="17"/>
        <v>204809.17068610369</v>
      </c>
      <c r="D369" s="2439">
        <f t="shared" si="13"/>
        <v>99279.823157112725</v>
      </c>
      <c r="E369" s="3088">
        <f t="shared" si="8"/>
        <v>0</v>
      </c>
      <c r="F369" s="3145">
        <f t="shared" si="9"/>
        <v>1767.868870400001</v>
      </c>
      <c r="G369" s="2473">
        <f t="shared" si="10"/>
        <v>0</v>
      </c>
      <c r="H369" s="2477">
        <f t="shared" si="11"/>
        <v>12374.883000000003</v>
      </c>
      <c r="I369" s="2641">
        <f t="shared" si="14"/>
        <v>0</v>
      </c>
      <c r="J369" s="2642">
        <f t="shared" si="15"/>
        <v>0</v>
      </c>
      <c r="K369" s="2353"/>
      <c r="L369" s="1130">
        <f t="shared" si="12"/>
        <v>204809.17068610369</v>
      </c>
      <c r="M369" s="2577">
        <f t="shared" si="12"/>
        <v>113422.57502751272</v>
      </c>
    </row>
    <row r="370" spans="1:13" x14ac:dyDescent="0.25">
      <c r="A370" s="2281">
        <f t="shared" si="16"/>
        <v>67</v>
      </c>
      <c r="B370" s="2287">
        <f t="shared" si="16"/>
        <v>62</v>
      </c>
      <c r="C370" s="2436">
        <f t="shared" si="17"/>
        <v>204309.17068610369</v>
      </c>
      <c r="D370" s="2439">
        <f t="shared" si="13"/>
        <v>102369.03013455053</v>
      </c>
      <c r="E370" s="3088">
        <f t="shared" si="8"/>
        <v>0</v>
      </c>
      <c r="F370" s="3145">
        <f t="shared" si="9"/>
        <v>37.125246278400027</v>
      </c>
      <c r="G370" s="2473">
        <f t="shared" si="10"/>
        <v>0</v>
      </c>
      <c r="H370" s="2477">
        <f t="shared" si="11"/>
        <v>12566.693686500004</v>
      </c>
      <c r="I370" s="2641">
        <f t="shared" si="14"/>
        <v>0</v>
      </c>
      <c r="J370" s="2642">
        <f t="shared" si="15"/>
        <v>0</v>
      </c>
      <c r="K370" s="2353"/>
      <c r="L370" s="1130">
        <f t="shared" si="12"/>
        <v>204309.17068610369</v>
      </c>
      <c r="M370" s="2577">
        <f t="shared" si="12"/>
        <v>114972.84906732893</v>
      </c>
    </row>
    <row r="371" spans="1:13" x14ac:dyDescent="0.25">
      <c r="A371" s="2281">
        <f t="shared" si="16"/>
        <v>68</v>
      </c>
      <c r="B371" s="2287">
        <f t="shared" si="16"/>
        <v>63</v>
      </c>
      <c r="C371" s="2436">
        <f t="shared" si="17"/>
        <v>205476.49948610368</v>
      </c>
      <c r="D371" s="2439">
        <f t="shared" si="13"/>
        <v>105569.13964247835</v>
      </c>
      <c r="E371" s="3088">
        <f t="shared" si="8"/>
        <v>0</v>
      </c>
      <c r="F371" s="3145">
        <f t="shared" si="9"/>
        <v>0</v>
      </c>
      <c r="G371" s="2473">
        <f t="shared" si="10"/>
        <v>0</v>
      </c>
      <c r="H371" s="2477">
        <f t="shared" si="11"/>
        <v>12761.477438640755</v>
      </c>
      <c r="I371" s="2641">
        <f t="shared" si="14"/>
        <v>0</v>
      </c>
      <c r="J371" s="2642">
        <f t="shared" si="15"/>
        <v>0</v>
      </c>
      <c r="K371" s="2353"/>
      <c r="L371" s="1130">
        <f t="shared" si="12"/>
        <v>205476.49948610368</v>
      </c>
      <c r="M371" s="2577">
        <f t="shared" si="12"/>
        <v>118330.6170811191</v>
      </c>
    </row>
    <row r="372" spans="1:13" x14ac:dyDescent="0.25">
      <c r="A372" s="2281">
        <f t="shared" si="16"/>
        <v>69</v>
      </c>
      <c r="B372" s="2287">
        <f t="shared" si="16"/>
        <v>64</v>
      </c>
      <c r="C372" s="2436">
        <f t="shared" si="17"/>
        <v>205476.49948610368</v>
      </c>
      <c r="D372" s="2439">
        <f t="shared" si="13"/>
        <v>108884.13308174077</v>
      </c>
      <c r="E372" s="3088">
        <f t="shared" si="8"/>
        <v>0</v>
      </c>
      <c r="F372" s="3145">
        <f t="shared" si="9"/>
        <v>0</v>
      </c>
      <c r="G372" s="2473">
        <f t="shared" si="10"/>
        <v>0</v>
      </c>
      <c r="H372" s="2477">
        <f t="shared" si="11"/>
        <v>12959.280338939689</v>
      </c>
      <c r="I372" s="2641">
        <f t="shared" si="14"/>
        <v>0</v>
      </c>
      <c r="J372" s="2642">
        <f t="shared" si="15"/>
        <v>0</v>
      </c>
      <c r="K372" s="2353"/>
      <c r="L372" s="1130">
        <f t="shared" si="12"/>
        <v>205476.49948610368</v>
      </c>
      <c r="M372" s="2577">
        <f t="shared" si="12"/>
        <v>121843.41342068046</v>
      </c>
    </row>
    <row r="373" spans="1:13" x14ac:dyDescent="0.25">
      <c r="A373" s="2281">
        <f t="shared" si="16"/>
        <v>70</v>
      </c>
      <c r="B373" s="2287">
        <f t="shared" si="16"/>
        <v>65</v>
      </c>
      <c r="C373" s="2436">
        <f t="shared" si="17"/>
        <v>205476.49948610368</v>
      </c>
      <c r="D373" s="2439">
        <f t="shared" si="13"/>
        <v>112318.13478547272</v>
      </c>
      <c r="E373" s="3088">
        <f t="shared" si="8"/>
        <v>0</v>
      </c>
      <c r="F373" s="3145">
        <f t="shared" si="9"/>
        <v>0</v>
      </c>
      <c r="G373" s="2473">
        <f t="shared" si="10"/>
        <v>0</v>
      </c>
      <c r="H373" s="2477">
        <f t="shared" si="11"/>
        <v>13160.149184193255</v>
      </c>
      <c r="I373" s="2641">
        <f t="shared" si="14"/>
        <v>0</v>
      </c>
      <c r="J373" s="2642">
        <f t="shared" si="15"/>
        <v>0</v>
      </c>
      <c r="K373" s="2353"/>
      <c r="L373" s="1130">
        <f t="shared" si="12"/>
        <v>205476.49948610368</v>
      </c>
      <c r="M373" s="2577">
        <f t="shared" si="12"/>
        <v>125478.28396966598</v>
      </c>
    </row>
    <row r="374" spans="1:13" x14ac:dyDescent="0.25">
      <c r="A374" s="2281">
        <f t="shared" si="16"/>
        <v>71</v>
      </c>
      <c r="B374" s="2287">
        <f t="shared" si="16"/>
        <v>66</v>
      </c>
      <c r="C374" s="2436">
        <f t="shared" si="17"/>
        <v>197977.3571690926</v>
      </c>
      <c r="D374" s="2439">
        <f t="shared" si="13"/>
        <v>112318.13478547272</v>
      </c>
      <c r="E374" s="3088">
        <f t="shared" si="8"/>
        <v>8000</v>
      </c>
      <c r="F374" s="3145">
        <f t="shared" si="9"/>
        <v>0</v>
      </c>
      <c r="G374" s="2473">
        <f t="shared" si="10"/>
        <v>0</v>
      </c>
      <c r="H374" s="2477">
        <f t="shared" si="11"/>
        <v>13601.014181863729</v>
      </c>
      <c r="I374" s="2641">
        <f t="shared" si="14"/>
        <v>0</v>
      </c>
      <c r="J374" s="2642">
        <f t="shared" si="15"/>
        <v>0</v>
      </c>
      <c r="K374" s="2353"/>
      <c r="L374" s="1130">
        <f t="shared" si="12"/>
        <v>205977.3571690926</v>
      </c>
      <c r="M374" s="2577">
        <f t="shared" si="12"/>
        <v>125919.14896733646</v>
      </c>
    </row>
    <row r="375" spans="1:13" x14ac:dyDescent="0.25">
      <c r="A375" s="2281">
        <f t="shared" si="16"/>
        <v>72</v>
      </c>
      <c r="B375" s="2287">
        <f t="shared" si="16"/>
        <v>67</v>
      </c>
      <c r="C375" s="2436">
        <f t="shared" si="17"/>
        <v>190506.51350233439</v>
      </c>
      <c r="D375" s="2439">
        <f t="shared" si="13"/>
        <v>112318.13478547272</v>
      </c>
      <c r="E375" s="3088">
        <f t="shared" si="8"/>
        <v>6304</v>
      </c>
      <c r="F375" s="3145">
        <f t="shared" si="9"/>
        <v>0</v>
      </c>
      <c r="G375" s="2473">
        <f t="shared" si="10"/>
        <v>6000</v>
      </c>
      <c r="H375" s="2477">
        <f t="shared" si="11"/>
        <v>14056.648156956166</v>
      </c>
      <c r="I375" s="2641">
        <f t="shared" si="14"/>
        <v>0</v>
      </c>
      <c r="J375" s="2642">
        <f t="shared" si="15"/>
        <v>0</v>
      </c>
      <c r="K375" s="2353"/>
      <c r="L375" s="1130">
        <f t="shared" si="12"/>
        <v>202810.51350233439</v>
      </c>
      <c r="M375" s="2577">
        <f t="shared" si="12"/>
        <v>126374.78294242889</v>
      </c>
    </row>
    <row r="376" spans="1:13" x14ac:dyDescent="0.25">
      <c r="A376" s="2281">
        <f t="shared" si="16"/>
        <v>73</v>
      </c>
      <c r="B376" s="2287">
        <f t="shared" si="16"/>
        <v>68</v>
      </c>
      <c r="C376" s="2436">
        <f t="shared" si="17"/>
        <v>183064.85281864947</v>
      </c>
      <c r="D376" s="2439">
        <f t="shared" si="13"/>
        <v>112318.13478547272</v>
      </c>
      <c r="E376" s="3088">
        <f t="shared" si="8"/>
        <v>4442.2186666666676</v>
      </c>
      <c r="F376" s="3145">
        <f t="shared" si="9"/>
        <v>0</v>
      </c>
      <c r="G376" s="2473">
        <f t="shared" si="10"/>
        <v>5949.0850202429147</v>
      </c>
      <c r="H376" s="2477">
        <f t="shared" si="11"/>
        <v>14527.545870214199</v>
      </c>
      <c r="I376" s="2641">
        <f t="shared" si="14"/>
        <v>0</v>
      </c>
      <c r="J376" s="2642">
        <f t="shared" si="15"/>
        <v>0</v>
      </c>
      <c r="K376" s="2353"/>
      <c r="L376" s="1130">
        <f t="shared" si="12"/>
        <v>193456.15650555908</v>
      </c>
      <c r="M376" s="2577">
        <f t="shared" si="12"/>
        <v>126845.68065568691</v>
      </c>
    </row>
    <row r="377" spans="1:13" x14ac:dyDescent="0.25">
      <c r="A377" s="2281">
        <f t="shared" si="16"/>
        <v>74</v>
      </c>
      <c r="B377" s="2287">
        <f t="shared" si="16"/>
        <v>69</v>
      </c>
      <c r="C377" s="2436">
        <f t="shared" si="17"/>
        <v>175653.32031587014</v>
      </c>
      <c r="D377" s="2439">
        <f t="shared" si="13"/>
        <v>112318.13478547272</v>
      </c>
      <c r="E377" s="3088">
        <f t="shared" si="8"/>
        <v>2389.9136426666673</v>
      </c>
      <c r="F377" s="3145">
        <f t="shared" si="9"/>
        <v>0</v>
      </c>
      <c r="G377" s="2473">
        <f t="shared" si="10"/>
        <v>5889.4941854182971</v>
      </c>
      <c r="H377" s="2477">
        <f t="shared" si="11"/>
        <v>15014.218656866375</v>
      </c>
      <c r="I377" s="2641">
        <f t="shared" si="14"/>
        <v>0</v>
      </c>
      <c r="J377" s="2642">
        <f t="shared" si="15"/>
        <v>0</v>
      </c>
      <c r="K377" s="2353"/>
      <c r="L377" s="1130">
        <f t="shared" si="12"/>
        <v>183932.72814395512</v>
      </c>
      <c r="M377" s="2577">
        <f t="shared" si="12"/>
        <v>127332.3534423391</v>
      </c>
    </row>
    <row r="378" spans="1:13" x14ac:dyDescent="0.25">
      <c r="A378" s="2281">
        <f t="shared" si="16"/>
        <v>75</v>
      </c>
      <c r="B378" s="2287">
        <f t="shared" si="16"/>
        <v>70</v>
      </c>
      <c r="C378" s="2436">
        <f t="shared" si="17"/>
        <v>168272.92870595964</v>
      </c>
      <c r="D378" s="2439">
        <f t="shared" si="13"/>
        <v>112318.13478547272</v>
      </c>
      <c r="E378" s="3088">
        <f t="shared" si="8"/>
        <v>90.816718421333462</v>
      </c>
      <c r="F378" s="3145">
        <f t="shared" si="9"/>
        <v>0</v>
      </c>
      <c r="G378" s="2473">
        <f t="shared" si="10"/>
        <v>5820.7748471500099</v>
      </c>
      <c r="H378" s="2477">
        <f t="shared" si="11"/>
        <v>14969.230797314232</v>
      </c>
      <c r="I378" s="2641">
        <f t="shared" si="14"/>
        <v>0</v>
      </c>
      <c r="J378" s="2642">
        <f t="shared" si="15"/>
        <v>0</v>
      </c>
      <c r="K378" s="2353"/>
      <c r="L378" s="1130">
        <f t="shared" si="12"/>
        <v>174184.52027153099</v>
      </c>
      <c r="M378" s="2577">
        <f t="shared" si="12"/>
        <v>127287.36558278695</v>
      </c>
    </row>
    <row r="379" spans="1:13" x14ac:dyDescent="0.25">
      <c r="A379" s="2281">
        <f t="shared" si="16"/>
        <v>76</v>
      </c>
      <c r="B379" s="2287">
        <f t="shared" si="16"/>
        <v>71</v>
      </c>
      <c r="C379" s="2436">
        <f t="shared" si="17"/>
        <v>160924.76588037188</v>
      </c>
      <c r="D379" s="2439">
        <f t="shared" si="13"/>
        <v>108218.93278600292</v>
      </c>
      <c r="E379" s="3088">
        <f t="shared" si="8"/>
        <v>0</v>
      </c>
      <c r="F379" s="3145">
        <f t="shared" si="9"/>
        <v>0</v>
      </c>
      <c r="G379" s="2473">
        <f t="shared" si="10"/>
        <v>5742.4589673883547</v>
      </c>
      <c r="H379" s="2477">
        <f t="shared" si="11"/>
        <v>14905.823395163347</v>
      </c>
      <c r="I379" s="2641">
        <f t="shared" si="14"/>
        <v>0</v>
      </c>
      <c r="J379" s="2642">
        <f t="shared" si="15"/>
        <v>0</v>
      </c>
      <c r="K379" s="2353"/>
      <c r="L379" s="1130">
        <f t="shared" si="12"/>
        <v>166667.22484776023</v>
      </c>
      <c r="M379" s="2577">
        <f t="shared" si="12"/>
        <v>123124.75618116626</v>
      </c>
    </row>
    <row r="380" spans="1:13" x14ac:dyDescent="0.25">
      <c r="A380" s="2281">
        <f t="shared" si="16"/>
        <v>77</v>
      </c>
      <c r="B380" s="2287">
        <f t="shared" si="16"/>
        <v>72</v>
      </c>
      <c r="C380" s="2436">
        <f t="shared" si="17"/>
        <v>153610.00379490043</v>
      </c>
      <c r="D380" s="2439">
        <f t="shared" si="13"/>
        <v>104135.19947332356</v>
      </c>
      <c r="E380" s="3088">
        <f t="shared" si="8"/>
        <v>0</v>
      </c>
      <c r="F380" s="3145">
        <f t="shared" si="9"/>
        <v>0</v>
      </c>
      <c r="G380" s="2473">
        <f t="shared" si="10"/>
        <v>5655.3469483358977</v>
      </c>
      <c r="H380" s="2477">
        <f t="shared" si="11"/>
        <v>14822.909752527752</v>
      </c>
      <c r="I380" s="2641">
        <f t="shared" si="14"/>
        <v>0</v>
      </c>
      <c r="J380" s="2642">
        <f t="shared" si="15"/>
        <v>0</v>
      </c>
      <c r="K380" s="2353"/>
      <c r="L380" s="1130">
        <f t="shared" si="12"/>
        <v>159265.35074323634</v>
      </c>
      <c r="M380" s="2577">
        <f t="shared" si="12"/>
        <v>118958.10922585131</v>
      </c>
    </row>
    <row r="381" spans="1:13" x14ac:dyDescent="0.25">
      <c r="A381" s="2281">
        <f t="shared" ref="A381:B396" si="18">A380+1</f>
        <v>78</v>
      </c>
      <c r="B381" s="2287">
        <f t="shared" si="18"/>
        <v>73</v>
      </c>
      <c r="C381" s="2436">
        <f t="shared" si="17"/>
        <v>146364.24889891455</v>
      </c>
      <c r="D381" s="2439">
        <f t="shared" si="13"/>
        <v>100067.41824389686</v>
      </c>
      <c r="E381" s="3088">
        <f t="shared" si="8"/>
        <v>0</v>
      </c>
      <c r="F381" s="3145">
        <f t="shared" si="9"/>
        <v>0</v>
      </c>
      <c r="G381" s="2473">
        <f t="shared" si="10"/>
        <v>5557.7295310601885</v>
      </c>
      <c r="H381" s="2477">
        <f t="shared" si="11"/>
        <v>14719.35942549137</v>
      </c>
      <c r="I381" s="2641">
        <f t="shared" si="14"/>
        <v>0</v>
      </c>
      <c r="J381" s="2642">
        <f t="shared" si="15"/>
        <v>0</v>
      </c>
      <c r="K381" s="2353"/>
      <c r="L381" s="1130">
        <f t="shared" si="12"/>
        <v>151921.97842997473</v>
      </c>
      <c r="M381" s="2577">
        <f t="shared" si="12"/>
        <v>114786.77766938822</v>
      </c>
    </row>
    <row r="382" spans="1:13" x14ac:dyDescent="0.25">
      <c r="A382" s="2281">
        <f t="shared" si="18"/>
        <v>79</v>
      </c>
      <c r="B382" s="2287">
        <f t="shared" si="18"/>
        <v>74</v>
      </c>
      <c r="C382" s="2436">
        <f t="shared" si="17"/>
        <v>139154.18737680055</v>
      </c>
      <c r="D382" s="2439">
        <f t="shared" si="13"/>
        <v>96016.105764386855</v>
      </c>
      <c r="E382" s="3088">
        <f t="shared" si="8"/>
        <v>0</v>
      </c>
      <c r="F382" s="3145">
        <f t="shared" si="9"/>
        <v>0</v>
      </c>
      <c r="G382" s="2473">
        <f t="shared" si="10"/>
        <v>5450.5651052305157</v>
      </c>
      <c r="H382" s="2477">
        <f t="shared" si="11"/>
        <v>14593.99748618267</v>
      </c>
      <c r="I382" s="2641">
        <f t="shared" si="14"/>
        <v>0</v>
      </c>
      <c r="J382" s="2642">
        <f t="shared" si="15"/>
        <v>0</v>
      </c>
      <c r="K382" s="2353"/>
      <c r="L382" s="1130">
        <f t="shared" si="12"/>
        <v>144604.75248203106</v>
      </c>
      <c r="M382" s="2577">
        <f t="shared" si="12"/>
        <v>110610.10325056952</v>
      </c>
    </row>
    <row r="383" spans="1:13" x14ac:dyDescent="0.25">
      <c r="A383" s="2281">
        <f t="shared" si="18"/>
        <v>80</v>
      </c>
      <c r="B383" s="2287">
        <f t="shared" si="18"/>
        <v>75</v>
      </c>
      <c r="C383" s="2436">
        <f t="shared" si="17"/>
        <v>132018.07520363128</v>
      </c>
      <c r="D383" s="2439">
        <f t="shared" si="13"/>
        <v>91981.815606219345</v>
      </c>
      <c r="E383" s="3088">
        <f t="shared" si="8"/>
        <v>0</v>
      </c>
      <c r="F383" s="3145">
        <f t="shared" si="9"/>
        <v>0</v>
      </c>
      <c r="G383" s="2473">
        <f t="shared" si="10"/>
        <v>5333.5091187994685</v>
      </c>
      <c r="H383" s="2477">
        <f t="shared" si="11"/>
        <v>14445.60393532426</v>
      </c>
      <c r="I383" s="2641">
        <f t="shared" si="14"/>
        <v>0</v>
      </c>
      <c r="J383" s="2642">
        <f t="shared" si="15"/>
        <v>0</v>
      </c>
      <c r="K383" s="2353"/>
      <c r="L383" s="1130">
        <f t="shared" si="12"/>
        <v>137351.58432243075</v>
      </c>
      <c r="M383" s="2577">
        <f t="shared" si="12"/>
        <v>106427.41954154361</v>
      </c>
    </row>
    <row r="384" spans="1:13" x14ac:dyDescent="0.25">
      <c r="A384" s="2281">
        <f t="shared" si="18"/>
        <v>81</v>
      </c>
      <c r="B384" s="2287">
        <f t="shared" si="18"/>
        <v>76</v>
      </c>
      <c r="C384" s="2436">
        <f t="shared" si="17"/>
        <v>124958.28508579003</v>
      </c>
      <c r="D384" s="2439">
        <f t="shared" si="13"/>
        <v>87965.142435642076</v>
      </c>
      <c r="E384" s="3088">
        <f t="shared" si="8"/>
        <v>0</v>
      </c>
      <c r="F384" s="3145">
        <f t="shared" si="9"/>
        <v>0</v>
      </c>
      <c r="G384" s="2473">
        <f t="shared" si="10"/>
        <v>5206.2200073161648</v>
      </c>
      <c r="H384" s="2477">
        <f t="shared" si="11"/>
        <v>14272.913306461067</v>
      </c>
      <c r="I384" s="2641">
        <f t="shared" si="14"/>
        <v>0</v>
      </c>
      <c r="J384" s="2642">
        <f t="shared" si="15"/>
        <v>0</v>
      </c>
      <c r="K384" s="2353"/>
      <c r="L384" s="1130">
        <f t="shared" si="12"/>
        <v>130164.5050931062</v>
      </c>
      <c r="M384" s="2577">
        <f t="shared" si="12"/>
        <v>102238.05574210314</v>
      </c>
    </row>
    <row r="385" spans="1:14" x14ac:dyDescent="0.25">
      <c r="A385" s="2281">
        <f t="shared" si="18"/>
        <v>82</v>
      </c>
      <c r="B385" s="2287">
        <f t="shared" si="18"/>
        <v>77</v>
      </c>
      <c r="C385" s="2436">
        <f t="shared" si="17"/>
        <v>117977.37530446098</v>
      </c>
      <c r="D385" s="2439">
        <f t="shared" si="13"/>
        <v>83966.726870385624</v>
      </c>
      <c r="E385" s="3088">
        <f t="shared" si="8"/>
        <v>0</v>
      </c>
      <c r="F385" s="3145">
        <f t="shared" si="9"/>
        <v>0</v>
      </c>
      <c r="G385" s="2473">
        <f t="shared" si="10"/>
        <v>5068.361737180916</v>
      </c>
      <c r="H385" s="2477">
        <f t="shared" si="11"/>
        <v>14077.805274564256</v>
      </c>
      <c r="I385" s="2641">
        <f t="shared" si="14"/>
        <v>0</v>
      </c>
      <c r="J385" s="2642">
        <f t="shared" si="15"/>
        <v>0</v>
      </c>
      <c r="K385" s="2353"/>
      <c r="L385" s="1130">
        <f t="shared" si="12"/>
        <v>123045.7370416419</v>
      </c>
      <c r="M385" s="2577">
        <f t="shared" si="12"/>
        <v>98044.532144949888</v>
      </c>
    </row>
    <row r="386" spans="1:14" x14ac:dyDescent="0.25">
      <c r="A386" s="2281">
        <f t="shared" si="18"/>
        <v>83</v>
      </c>
      <c r="B386" s="2287">
        <f t="shared" si="18"/>
        <v>78</v>
      </c>
      <c r="C386" s="2436">
        <f t="shared" si="17"/>
        <v>111078.11359074981</v>
      </c>
      <c r="D386" s="2439">
        <f t="shared" si="13"/>
        <v>80006.032206688193</v>
      </c>
      <c r="E386" s="3088">
        <f t="shared" si="8"/>
        <v>0</v>
      </c>
      <c r="F386" s="3145">
        <f t="shared" si="9"/>
        <v>0</v>
      </c>
      <c r="G386" s="2473">
        <f t="shared" si="10"/>
        <v>4919.6068749068454</v>
      </c>
      <c r="H386" s="2477">
        <f t="shared" si="11"/>
        <v>13855.923806702343</v>
      </c>
      <c r="I386" s="2641">
        <f t="shared" si="14"/>
        <v>0</v>
      </c>
      <c r="J386" s="2642">
        <f t="shared" si="15"/>
        <v>0</v>
      </c>
      <c r="K386" s="2353"/>
      <c r="L386" s="1130">
        <f t="shared" si="12"/>
        <v>115997.72046565666</v>
      </c>
      <c r="M386" s="2577">
        <f t="shared" si="12"/>
        <v>93861.956013390532</v>
      </c>
    </row>
    <row r="387" spans="1:14" x14ac:dyDescent="0.25">
      <c r="A387" s="2281">
        <f t="shared" si="18"/>
        <v>84</v>
      </c>
      <c r="B387" s="2287">
        <f t="shared" si="18"/>
        <v>79</v>
      </c>
      <c r="C387" s="2436">
        <f t="shared" si="17"/>
        <v>104263.50539499828</v>
      </c>
      <c r="D387" s="2439">
        <f t="shared" si="13"/>
        <v>76064.84835414197</v>
      </c>
      <c r="E387" s="3088">
        <f t="shared" si="8"/>
        <v>0</v>
      </c>
      <c r="F387" s="3145">
        <f t="shared" si="9"/>
        <v>0</v>
      </c>
      <c r="G387" s="2473">
        <f t="shared" si="10"/>
        <v>4759.6403029743915</v>
      </c>
      <c r="H387" s="2477">
        <f t="shared" si="11"/>
        <v>13609.537059011369</v>
      </c>
      <c r="I387" s="2641">
        <f t="shared" si="14"/>
        <v>0</v>
      </c>
      <c r="J387" s="2642">
        <f t="shared" si="15"/>
        <v>0</v>
      </c>
      <c r="K387" s="2353"/>
      <c r="L387" s="1130">
        <f t="shared" si="12"/>
        <v>109023.14569797268</v>
      </c>
      <c r="M387" s="2577">
        <f t="shared" si="12"/>
        <v>89674.385413153344</v>
      </c>
    </row>
    <row r="388" spans="1:14" x14ac:dyDescent="0.25">
      <c r="A388" s="2281">
        <f t="shared" si="18"/>
        <v>85</v>
      </c>
      <c r="B388" s="2287">
        <f t="shared" si="18"/>
        <v>80</v>
      </c>
      <c r="C388" s="2436">
        <f t="shared" si="17"/>
        <v>97536.827627579041</v>
      </c>
      <c r="D388" s="2439">
        <f t="shared" si="13"/>
        <v>72164.086900083406</v>
      </c>
      <c r="E388" s="3088">
        <f t="shared" si="8"/>
        <v>0</v>
      </c>
      <c r="F388" s="3145">
        <f t="shared" si="9"/>
        <v>0</v>
      </c>
      <c r="G388" s="2473">
        <f t="shared" si="10"/>
        <v>4590.3514749010319</v>
      </c>
      <c r="H388" s="2477">
        <f t="shared" si="11"/>
        <v>13337.673820059836</v>
      </c>
      <c r="I388" s="2641">
        <f t="shared" si="14"/>
        <v>0</v>
      </c>
      <c r="J388" s="2642">
        <f t="shared" si="15"/>
        <v>0</v>
      </c>
      <c r="K388" s="2353"/>
      <c r="L388" s="1130">
        <f t="shared" si="12"/>
        <v>102127.17910248008</v>
      </c>
      <c r="M388" s="2577">
        <f t="shared" si="12"/>
        <v>85501.76072014324</v>
      </c>
    </row>
    <row r="389" spans="1:14" x14ac:dyDescent="0.25">
      <c r="A389" s="2281">
        <f t="shared" si="18"/>
        <v>86</v>
      </c>
      <c r="B389" s="2287">
        <f t="shared" si="18"/>
        <v>81</v>
      </c>
      <c r="C389" s="2436">
        <f t="shared" si="17"/>
        <v>90946.501436526407</v>
      </c>
      <c r="D389" s="2439">
        <f t="shared" si="13"/>
        <v>68305.044819865041</v>
      </c>
      <c r="E389" s="3088">
        <f t="shared" si="8"/>
        <v>0</v>
      </c>
      <c r="F389" s="3145">
        <f t="shared" si="9"/>
        <v>0</v>
      </c>
      <c r="G389" s="2473">
        <f t="shared" si="10"/>
        <v>4411.6858799063029</v>
      </c>
      <c r="H389" s="2477">
        <f t="shared" si="11"/>
        <v>13039.364450570398</v>
      </c>
      <c r="I389" s="2641">
        <f t="shared" si="14"/>
        <v>0</v>
      </c>
      <c r="J389" s="2642">
        <f t="shared" si="15"/>
        <v>0</v>
      </c>
      <c r="K389" s="2353"/>
      <c r="L389" s="1130">
        <f t="shared" si="12"/>
        <v>95358.187316432712</v>
      </c>
      <c r="M389" s="2577">
        <f t="shared" si="12"/>
        <v>81344.409270435441</v>
      </c>
    </row>
    <row r="390" spans="1:14" x14ac:dyDescent="0.25">
      <c r="A390" s="2281">
        <f t="shared" si="18"/>
        <v>87</v>
      </c>
      <c r="B390" s="2287">
        <f t="shared" si="18"/>
        <v>82</v>
      </c>
      <c r="C390" s="2436">
        <f t="shared" si="17"/>
        <v>84496.394951666385</v>
      </c>
      <c r="D390" s="2439">
        <f t="shared" si="13"/>
        <v>64489.120528252468</v>
      </c>
      <c r="E390" s="3088">
        <f t="shared" si="8"/>
        <v>0</v>
      </c>
      <c r="F390" s="3145">
        <f t="shared" si="9"/>
        <v>0</v>
      </c>
      <c r="G390" s="2473">
        <f t="shared" si="10"/>
        <v>4223.6295385180583</v>
      </c>
      <c r="H390" s="2477">
        <f t="shared" si="11"/>
        <v>12713.647226882613</v>
      </c>
      <c r="I390" s="2641">
        <f t="shared" si="14"/>
        <v>0</v>
      </c>
      <c r="J390" s="2642">
        <f t="shared" si="15"/>
        <v>0</v>
      </c>
      <c r="K390" s="2353"/>
      <c r="L390" s="1130">
        <f t="shared" si="12"/>
        <v>88720.024490184442</v>
      </c>
      <c r="M390" s="2577">
        <f t="shared" si="12"/>
        <v>77202.767755135079</v>
      </c>
      <c r="N390" s="1183"/>
    </row>
    <row r="391" spans="1:14" x14ac:dyDescent="0.25">
      <c r="A391" s="2281">
        <f t="shared" si="18"/>
        <v>88</v>
      </c>
      <c r="B391" s="2287">
        <f t="shared" si="18"/>
        <v>83</v>
      </c>
      <c r="C391" s="2436">
        <f t="shared" si="17"/>
        <v>78190.693835870392</v>
      </c>
      <c r="D391" s="2439">
        <f t="shared" si="13"/>
        <v>60717.826930109048</v>
      </c>
      <c r="E391" s="3088">
        <f t="shared" si="8"/>
        <v>0</v>
      </c>
      <c r="F391" s="3145">
        <f t="shared" si="9"/>
        <v>0</v>
      </c>
      <c r="G391" s="2473">
        <f t="shared" si="10"/>
        <v>4026.2164287492142</v>
      </c>
      <c r="H391" s="2477">
        <f t="shared" si="11"/>
        <v>12359.576051505721</v>
      </c>
      <c r="I391" s="2641">
        <f t="shared" si="14"/>
        <v>0</v>
      </c>
      <c r="J391" s="2642">
        <f t="shared" si="15"/>
        <v>0</v>
      </c>
      <c r="K391" s="2353"/>
      <c r="L391" s="1130">
        <f t="shared" si="12"/>
        <v>82216.910264619612</v>
      </c>
      <c r="M391" s="2577">
        <f t="shared" si="12"/>
        <v>73077.402981614767</v>
      </c>
      <c r="N391" s="1183"/>
    </row>
    <row r="392" spans="1:14" x14ac:dyDescent="0.25">
      <c r="A392" s="2281">
        <f t="shared" si="18"/>
        <v>89</v>
      </c>
      <c r="B392" s="2287">
        <f t="shared" si="18"/>
        <v>84</v>
      </c>
      <c r="C392" s="2436">
        <f t="shared" si="17"/>
        <v>72033.946289738858</v>
      </c>
      <c r="D392" s="2439">
        <f t="shared" si="13"/>
        <v>56992.806873047142</v>
      </c>
      <c r="E392" s="3088">
        <f t="shared" si="8"/>
        <v>0</v>
      </c>
      <c r="F392" s="3145">
        <f t="shared" si="9"/>
        <v>0</v>
      </c>
      <c r="G392" s="2473">
        <f t="shared" si="10"/>
        <v>3819.5373187400883</v>
      </c>
      <c r="H392" s="2477">
        <f t="shared" si="11"/>
        <v>11976.229845908214</v>
      </c>
      <c r="I392" s="2641">
        <f t="shared" si="14"/>
        <v>0</v>
      </c>
      <c r="J392" s="2642">
        <f t="shared" si="15"/>
        <v>0</v>
      </c>
      <c r="K392" s="2353"/>
      <c r="L392" s="1130">
        <f t="shared" si="12"/>
        <v>75853.483608478942</v>
      </c>
      <c r="M392" s="2577">
        <f t="shared" si="12"/>
        <v>68969.036718955351</v>
      </c>
      <c r="N392" s="1183"/>
    </row>
    <row r="393" spans="1:14" x14ac:dyDescent="0.25">
      <c r="A393" s="2281">
        <f t="shared" si="18"/>
        <v>90</v>
      </c>
      <c r="B393" s="2287">
        <f t="shared" si="18"/>
        <v>85</v>
      </c>
      <c r="C393" s="2436">
        <f t="shared" si="17"/>
        <v>66031.117432260624</v>
      </c>
      <c r="D393" s="2439">
        <f t="shared" si="13"/>
        <v>53315.851590915066</v>
      </c>
      <c r="E393" s="3088">
        <f t="shared" si="8"/>
        <v>0</v>
      </c>
      <c r="F393" s="3145">
        <f t="shared" si="9"/>
        <v>0</v>
      </c>
      <c r="G393" s="2473">
        <f t="shared" si="10"/>
        <v>3606.7153797169562</v>
      </c>
      <c r="H393" s="2477">
        <f t="shared" si="11"/>
        <v>11568.228826428018</v>
      </c>
      <c r="I393" s="2641">
        <f t="shared" si="14"/>
        <v>0</v>
      </c>
      <c r="J393" s="2642">
        <f t="shared" si="15"/>
        <v>0</v>
      </c>
      <c r="K393" s="2353"/>
      <c r="L393" s="1130">
        <f t="shared" si="12"/>
        <v>69637.832811977583</v>
      </c>
      <c r="M393" s="2577">
        <f t="shared" si="12"/>
        <v>64884.080417343081</v>
      </c>
      <c r="N393" s="1183"/>
    </row>
    <row r="394" spans="1:14" x14ac:dyDescent="0.25">
      <c r="A394" s="2281">
        <f t="shared" si="18"/>
        <v>91</v>
      </c>
      <c r="B394" s="2287">
        <f t="shared" si="18"/>
        <v>86</v>
      </c>
      <c r="C394" s="2436">
        <f t="shared" si="17"/>
        <v>60238.914148728989</v>
      </c>
      <c r="D394" s="2439">
        <f t="shared" si="13"/>
        <v>49713.429186123511</v>
      </c>
      <c r="E394" s="3088">
        <f t="shared" si="8"/>
        <v>0</v>
      </c>
      <c r="F394" s="3145">
        <f t="shared" si="9"/>
        <v>0</v>
      </c>
      <c r="G394" s="2473">
        <f t="shared" si="10"/>
        <v>3388.1751441163287</v>
      </c>
      <c r="H394" s="2477">
        <f t="shared" si="11"/>
        <v>11135.322731373783</v>
      </c>
      <c r="I394" s="2641">
        <f t="shared" si="14"/>
        <v>0</v>
      </c>
      <c r="J394" s="2642">
        <f t="shared" si="15"/>
        <v>0</v>
      </c>
      <c r="K394" s="2353"/>
      <c r="L394" s="1130">
        <f t="shared" si="12"/>
        <v>63627.089292845318</v>
      </c>
      <c r="M394" s="2577">
        <f t="shared" si="12"/>
        <v>60848.751917497291</v>
      </c>
    </row>
    <row r="395" spans="1:14" x14ac:dyDescent="0.25">
      <c r="A395" s="2281">
        <f t="shared" si="18"/>
        <v>92</v>
      </c>
      <c r="B395" s="2287">
        <f t="shared" si="18"/>
        <v>87</v>
      </c>
      <c r="C395" s="2436">
        <f t="shared" si="17"/>
        <v>54661.236912735563</v>
      </c>
      <c r="D395" s="2439">
        <f t="shared" si="13"/>
        <v>46187.654066540286</v>
      </c>
      <c r="E395" s="3088">
        <f t="shared" si="8"/>
        <v>0</v>
      </c>
      <c r="F395" s="3145">
        <f t="shared" si="9"/>
        <v>0</v>
      </c>
      <c r="G395" s="2473">
        <f t="shared" si="10"/>
        <v>3164.4227149911562</v>
      </c>
      <c r="H395" s="2477">
        <f t="shared" si="11"/>
        <v>10677.361809190195</v>
      </c>
      <c r="I395" s="2641">
        <f t="shared" si="14"/>
        <v>0</v>
      </c>
      <c r="J395" s="2642">
        <f t="shared" si="15"/>
        <v>0</v>
      </c>
      <c r="K395" s="2353"/>
      <c r="L395" s="1130">
        <f t="shared" si="12"/>
        <v>57825.659627726716</v>
      </c>
      <c r="M395" s="2577">
        <f t="shared" si="12"/>
        <v>56865.015875730482</v>
      </c>
    </row>
    <row r="396" spans="1:14" x14ac:dyDescent="0.25">
      <c r="A396" s="2281">
        <f t="shared" si="18"/>
        <v>93</v>
      </c>
      <c r="B396" s="2287">
        <f t="shared" si="18"/>
        <v>88</v>
      </c>
      <c r="C396" s="2436">
        <f t="shared" si="17"/>
        <v>49302.292117369332</v>
      </c>
      <c r="D396" s="2439">
        <f t="shared" si="13"/>
        <v>42740.814210828321</v>
      </c>
      <c r="E396" s="3088">
        <f t="shared" si="8"/>
        <v>0</v>
      </c>
      <c r="F396" s="3145">
        <f t="shared" si="9"/>
        <v>0</v>
      </c>
      <c r="G396" s="2473">
        <f t="shared" si="10"/>
        <v>2936.0568757259612</v>
      </c>
      <c r="H396" s="2477">
        <f t="shared" si="11"/>
        <v>10194.316279468132</v>
      </c>
      <c r="I396" s="2641">
        <f t="shared" si="14"/>
        <v>0</v>
      </c>
      <c r="J396" s="2642">
        <f t="shared" si="15"/>
        <v>0</v>
      </c>
      <c r="K396" s="2353"/>
      <c r="L396" s="1130">
        <f t="shared" si="12"/>
        <v>52238.348993095293</v>
      </c>
      <c r="M396" s="2577">
        <f t="shared" si="12"/>
        <v>52935.130490296455</v>
      </c>
    </row>
    <row r="397" spans="1:14" x14ac:dyDescent="0.25">
      <c r="A397" s="2281">
        <f t="shared" ref="A397:B399" si="19">A396+1</f>
        <v>94</v>
      </c>
      <c r="B397" s="2287">
        <f t="shared" si="19"/>
        <v>89</v>
      </c>
      <c r="C397" s="2436">
        <f t="shared" si="17"/>
        <v>44166.63668847669</v>
      </c>
      <c r="D397" s="2439">
        <f t="shared" si="13"/>
        <v>39375.395769030816</v>
      </c>
      <c r="E397" s="3088">
        <f t="shared" si="8"/>
        <v>0</v>
      </c>
      <c r="F397" s="3145">
        <f t="shared" si="9"/>
        <v>0</v>
      </c>
      <c r="G397" s="2473">
        <f t="shared" si="10"/>
        <v>2707.3670830320534</v>
      </c>
      <c r="H397" s="2477">
        <f t="shared" si="11"/>
        <v>9686.2995182079721</v>
      </c>
      <c r="I397" s="2641">
        <f t="shared" si="14"/>
        <v>0</v>
      </c>
      <c r="J397" s="2642">
        <f t="shared" si="15"/>
        <v>0</v>
      </c>
      <c r="K397" s="2353"/>
      <c r="L397" s="1130">
        <f t="shared" si="12"/>
        <v>46874.003771508746</v>
      </c>
      <c r="M397" s="2577">
        <f t="shared" si="12"/>
        <v>49061.695287238792</v>
      </c>
    </row>
    <row r="398" spans="1:14" x14ac:dyDescent="0.25">
      <c r="A398" s="2281">
        <f t="shared" si="19"/>
        <v>95</v>
      </c>
      <c r="B398" s="2287">
        <f t="shared" si="19"/>
        <v>90</v>
      </c>
      <c r="C398" s="2436">
        <f t="shared" si="17"/>
        <v>39313.160129303425</v>
      </c>
      <c r="D398" s="2439">
        <f t="shared" si="13"/>
        <v>36094.112788278246</v>
      </c>
      <c r="E398" s="3088">
        <f t="shared" si="8"/>
        <v>0</v>
      </c>
      <c r="F398" s="3145">
        <f t="shared" si="9"/>
        <v>0</v>
      </c>
      <c r="G398" s="2473">
        <f t="shared" si="10"/>
        <v>2479.1927037551195</v>
      </c>
      <c r="H398" s="2477">
        <f t="shared" si="11"/>
        <v>9161.1151557339072</v>
      </c>
      <c r="I398" s="2641">
        <f t="shared" si="14"/>
        <v>0</v>
      </c>
      <c r="J398" s="2642">
        <f t="shared" si="15"/>
        <v>0</v>
      </c>
      <c r="K398" s="2353"/>
      <c r="L398" s="1130">
        <f t="shared" si="12"/>
        <v>41792.352833058547</v>
      </c>
      <c r="M398" s="2577">
        <f t="shared" si="12"/>
        <v>45255.227944012149</v>
      </c>
    </row>
    <row r="399" spans="1:14" ht="15.75" thickBot="1" x14ac:dyDescent="0.3">
      <c r="A399" s="2285">
        <f t="shared" si="19"/>
        <v>96</v>
      </c>
      <c r="B399" s="2288">
        <f t="shared" si="19"/>
        <v>91</v>
      </c>
      <c r="C399" s="2437">
        <f t="shared" si="17"/>
        <v>34741.862439849538</v>
      </c>
      <c r="D399" s="2441">
        <f t="shared" si="13"/>
        <v>32927.962543692433</v>
      </c>
      <c r="E399" s="3198">
        <f t="shared" si="8"/>
        <v>0</v>
      </c>
      <c r="F399" s="3199">
        <f t="shared" si="9"/>
        <v>0</v>
      </c>
      <c r="G399" s="3144">
        <f t="shared" si="10"/>
        <v>2252.4536969721821</v>
      </c>
      <c r="H399" s="3200">
        <f t="shared" si="11"/>
        <v>8619.761110142299</v>
      </c>
      <c r="I399" s="2643">
        <f t="shared" si="14"/>
        <v>0</v>
      </c>
      <c r="J399" s="2644">
        <f t="shared" si="15"/>
        <v>0</v>
      </c>
      <c r="K399" s="1948"/>
      <c r="L399" s="2578">
        <f t="shared" si="12"/>
        <v>36994.316136821719</v>
      </c>
      <c r="M399" s="2579">
        <f t="shared" si="12"/>
        <v>41547.723653834735</v>
      </c>
    </row>
    <row r="400" spans="1:14" ht="15.75" thickTop="1" x14ac:dyDescent="0.25"/>
    <row r="401" spans="1:13" ht="15.75" thickBot="1" x14ac:dyDescent="0.3"/>
    <row r="402" spans="1:13" ht="19.5" thickTop="1" x14ac:dyDescent="0.3">
      <c r="A402" s="1340" t="s">
        <v>2213</v>
      </c>
      <c r="B402" s="1341"/>
      <c r="C402" s="1341"/>
      <c r="D402" s="1341"/>
      <c r="E402" s="2282"/>
      <c r="F402" s="1341"/>
      <c r="G402" s="1341"/>
      <c r="H402" s="1341"/>
      <c r="I402" s="1341"/>
      <c r="J402" s="1341"/>
      <c r="K402" s="1341"/>
      <c r="L402" s="1341"/>
      <c r="M402" s="1342"/>
    </row>
    <row r="403" spans="1:13" ht="18.75" x14ac:dyDescent="0.3">
      <c r="A403" s="2428" t="s">
        <v>2066</v>
      </c>
      <c r="B403" s="1842"/>
      <c r="C403" s="1841"/>
      <c r="D403" s="1841"/>
      <c r="E403" s="1842"/>
      <c r="F403" s="1842"/>
      <c r="G403" s="1842"/>
      <c r="H403" s="1842"/>
      <c r="I403" s="1842"/>
      <c r="J403" s="1842"/>
      <c r="K403" s="33"/>
      <c r="L403" s="2569"/>
      <c r="M403" s="1454"/>
    </row>
    <row r="404" spans="1:13" ht="18.75" x14ac:dyDescent="0.3">
      <c r="A404" s="2428" t="s">
        <v>2804</v>
      </c>
      <c r="B404" s="1842"/>
      <c r="C404" s="1841"/>
      <c r="D404" s="1841"/>
      <c r="E404" s="1842"/>
      <c r="F404" s="1842"/>
      <c r="G404" s="1842"/>
      <c r="H404" s="1842"/>
      <c r="I404" s="1842"/>
      <c r="J404" s="2569"/>
      <c r="K404" s="2569"/>
      <c r="L404" s="2569"/>
      <c r="M404" s="1454"/>
    </row>
    <row r="405" spans="1:13" ht="19.5" thickBot="1" x14ac:dyDescent="0.35">
      <c r="A405" s="2428"/>
      <c r="B405" s="1842"/>
      <c r="C405" s="1841"/>
      <c r="D405" s="1841"/>
      <c r="E405" s="1842"/>
      <c r="F405" s="1842"/>
      <c r="G405" s="1842"/>
      <c r="H405" s="1842"/>
      <c r="I405" s="1842"/>
      <c r="J405" s="1842"/>
      <c r="K405" s="33"/>
      <c r="L405" s="2569"/>
      <c r="M405" s="1454"/>
    </row>
    <row r="406" spans="1:13" ht="74.25" thickTop="1" thickBot="1" x14ac:dyDescent="0.3">
      <c r="A406" s="2570" t="s">
        <v>142</v>
      </c>
      <c r="B406" s="2571" t="s">
        <v>143</v>
      </c>
      <c r="C406" s="2376" t="s">
        <v>2124</v>
      </c>
      <c r="D406" s="2700" t="s">
        <v>2125</v>
      </c>
      <c r="E406" s="2701" t="s">
        <v>2222</v>
      </c>
      <c r="F406" s="2373" t="s">
        <v>2126</v>
      </c>
      <c r="G406" s="2374" t="s">
        <v>2127</v>
      </c>
      <c r="H406" s="2374" t="s">
        <v>2128</v>
      </c>
      <c r="I406" s="2375" t="s">
        <v>2129</v>
      </c>
      <c r="J406" s="2375" t="s">
        <v>2130</v>
      </c>
      <c r="L406" s="2376" t="s">
        <v>2131</v>
      </c>
      <c r="M406" s="2377" t="s">
        <v>2132</v>
      </c>
    </row>
    <row r="407" spans="1:13" ht="15.75" thickTop="1" x14ac:dyDescent="0.25">
      <c r="A407" s="2572">
        <f>'1. AgeData'!$D$30</f>
        <v>60</v>
      </c>
      <c r="B407" s="2573">
        <f>'1. AgeData'!$D$31</f>
        <v>55</v>
      </c>
      <c r="C407" s="2574">
        <f>L363</f>
        <v>215000</v>
      </c>
      <c r="D407" s="2438">
        <f>M363</f>
        <v>90000</v>
      </c>
      <c r="E407" s="2399">
        <f>H458+H504</f>
        <v>2500</v>
      </c>
      <c r="F407" s="2475">
        <f t="shared" ref="F407:F443" si="20">I458+I504</f>
        <v>2500</v>
      </c>
      <c r="G407" s="2401">
        <f>L558+L603+C656+E656+G656+K656</f>
        <v>2000</v>
      </c>
      <c r="H407" s="2400">
        <f>M558+M603+D656+F656+H656+L656</f>
        <v>0</v>
      </c>
      <c r="I407" s="2574">
        <f>E407-G407</f>
        <v>500</v>
      </c>
      <c r="J407" s="2580">
        <f>F407-H407</f>
        <v>2500</v>
      </c>
      <c r="K407" s="2394"/>
      <c r="L407" s="2581">
        <f>IF(C407&lt;=0,0,I407/C407)</f>
        <v>2.3255813953488372E-3</v>
      </c>
      <c r="M407" s="2582">
        <f>IF(D407&lt;=0,0,J407/D407)</f>
        <v>2.7777777777777776E-2</v>
      </c>
    </row>
    <row r="408" spans="1:13" x14ac:dyDescent="0.25">
      <c r="A408" s="2281">
        <f>A407+1</f>
        <v>61</v>
      </c>
      <c r="B408" s="2287">
        <f>B407+1</f>
        <v>56</v>
      </c>
      <c r="C408" s="2436">
        <f t="shared" ref="C408:D423" si="21">L364</f>
        <v>215000</v>
      </c>
      <c r="D408" s="2439">
        <f t="shared" si="21"/>
        <v>90826.87040392877</v>
      </c>
      <c r="E408" s="2473">
        <f t="shared" ref="E408:E443" si="22">H459+H505</f>
        <v>2500</v>
      </c>
      <c r="F408" s="2476">
        <f t="shared" si="20"/>
        <v>2589.75</v>
      </c>
      <c r="G408" s="2402">
        <f t="shared" ref="G408:H408" si="23">L559+L604+C657+E657+G657+K657</f>
        <v>0</v>
      </c>
      <c r="H408" s="2477">
        <f t="shared" si="23"/>
        <v>0</v>
      </c>
      <c r="I408" s="2436">
        <f t="shared" ref="I408:J443" si="24">E408-G408</f>
        <v>2500</v>
      </c>
      <c r="J408" s="2583">
        <f t="shared" si="24"/>
        <v>2589.75</v>
      </c>
      <c r="K408" s="2353"/>
      <c r="L408" s="2584">
        <f t="shared" ref="L408:M443" si="25">IF(C408&lt;=0,0,I408/C408)</f>
        <v>1.1627906976744186E-2</v>
      </c>
      <c r="M408" s="1608">
        <f t="shared" si="25"/>
        <v>2.8513037920196563E-2</v>
      </c>
    </row>
    <row r="409" spans="1:13" x14ac:dyDescent="0.25">
      <c r="A409" s="2281">
        <f t="shared" ref="A409:B424" si="26">A408+1</f>
        <v>62</v>
      </c>
      <c r="B409" s="2287">
        <f t="shared" si="26"/>
        <v>57</v>
      </c>
      <c r="C409" s="2436">
        <f t="shared" si="21"/>
        <v>213500</v>
      </c>
      <c r="D409" s="2439">
        <f t="shared" si="21"/>
        <v>93416.62040392877</v>
      </c>
      <c r="E409" s="2473">
        <f t="shared" si="22"/>
        <v>2500</v>
      </c>
      <c r="F409" s="2476">
        <f t="shared" si="20"/>
        <v>2682.722025</v>
      </c>
      <c r="G409" s="2402">
        <f t="shared" ref="G409:H409" si="27">L560+L605+C658+E658+G658+K658</f>
        <v>0</v>
      </c>
      <c r="H409" s="2477">
        <f t="shared" si="27"/>
        <v>0</v>
      </c>
      <c r="I409" s="2436">
        <f t="shared" si="24"/>
        <v>2500</v>
      </c>
      <c r="J409" s="2583">
        <f t="shared" si="24"/>
        <v>2682.722025</v>
      </c>
      <c r="K409" s="2353"/>
      <c r="L409" s="2584">
        <f t="shared" si="25"/>
        <v>1.1709601873536301E-2</v>
      </c>
      <c r="M409" s="1608">
        <f t="shared" si="25"/>
        <v>2.8717823588565342E-2</v>
      </c>
    </row>
    <row r="410" spans="1:13" x14ac:dyDescent="0.25">
      <c r="A410" s="2281">
        <f t="shared" si="26"/>
        <v>63</v>
      </c>
      <c r="B410" s="2287">
        <f t="shared" si="26"/>
        <v>58</v>
      </c>
      <c r="C410" s="2436">
        <f t="shared" si="21"/>
        <v>211386.2636757291</v>
      </c>
      <c r="D410" s="2439">
        <f t="shared" si="21"/>
        <v>100385.60610465785</v>
      </c>
      <c r="E410" s="2473">
        <f t="shared" si="22"/>
        <v>3667.3288000000002</v>
      </c>
      <c r="F410" s="2476">
        <f t="shared" si="20"/>
        <v>2779.0317456974999</v>
      </c>
      <c r="G410" s="2402">
        <f t="shared" ref="G410:H410" si="28">L561+L606+C659+E659+G659+K659</f>
        <v>0</v>
      </c>
      <c r="H410" s="2477">
        <f t="shared" si="28"/>
        <v>1600</v>
      </c>
      <c r="I410" s="2436">
        <f t="shared" si="24"/>
        <v>3667.3288000000002</v>
      </c>
      <c r="J410" s="2583">
        <f t="shared" si="24"/>
        <v>1179.0317456974999</v>
      </c>
      <c r="K410" s="2353"/>
      <c r="L410" s="2584">
        <f t="shared" si="25"/>
        <v>1.7348945651576294E-2</v>
      </c>
      <c r="M410" s="1608">
        <f t="shared" si="25"/>
        <v>1.1745027912351203E-2</v>
      </c>
    </row>
    <row r="411" spans="1:13" x14ac:dyDescent="0.25">
      <c r="A411" s="2281">
        <f t="shared" si="26"/>
        <v>64</v>
      </c>
      <c r="B411" s="2287">
        <f t="shared" si="26"/>
        <v>59</v>
      </c>
      <c r="C411" s="2436">
        <f t="shared" si="21"/>
        <v>208021.59282991878</v>
      </c>
      <c r="D411" s="2439">
        <f t="shared" si="21"/>
        <v>110334.36700454503</v>
      </c>
      <c r="E411" s="2473">
        <f t="shared" si="22"/>
        <v>2500</v>
      </c>
      <c r="F411" s="2476">
        <f t="shared" si="20"/>
        <v>3907.10953736804</v>
      </c>
      <c r="G411" s="2402">
        <f t="shared" ref="G411:H411" si="29">L562+L607+C660+E660+G660+K660</f>
        <v>0</v>
      </c>
      <c r="H411" s="2477">
        <f t="shared" si="29"/>
        <v>1718.4</v>
      </c>
      <c r="I411" s="2436">
        <f t="shared" si="24"/>
        <v>2500</v>
      </c>
      <c r="J411" s="2583">
        <f t="shared" si="24"/>
        <v>2188.7095373680399</v>
      </c>
      <c r="K411" s="2353"/>
      <c r="L411" s="2584">
        <f t="shared" si="25"/>
        <v>1.2017983162180829E-2</v>
      </c>
      <c r="M411" s="1608">
        <f t="shared" si="25"/>
        <v>1.9837060716339453E-2</v>
      </c>
    </row>
    <row r="412" spans="1:13" x14ac:dyDescent="0.25">
      <c r="A412" s="2281">
        <f t="shared" si="26"/>
        <v>65</v>
      </c>
      <c r="B412" s="2287">
        <f t="shared" si="26"/>
        <v>60</v>
      </c>
      <c r="C412" s="2436">
        <f t="shared" si="21"/>
        <v>206558.79952592507</v>
      </c>
      <c r="D412" s="2439">
        <f t="shared" si="21"/>
        <v>110848.58713616997</v>
      </c>
      <c r="E412" s="2473">
        <f t="shared" si="22"/>
        <v>0</v>
      </c>
      <c r="F412" s="2476">
        <f t="shared" si="20"/>
        <v>2982.1478689427527</v>
      </c>
      <c r="G412" s="2402">
        <f t="shared" ref="G412:H412" si="30">L563+L608+C661+E661+G661+K661</f>
        <v>0</v>
      </c>
      <c r="H412" s="2477">
        <f t="shared" si="30"/>
        <v>5762.8609894467991</v>
      </c>
      <c r="I412" s="2436">
        <f t="shared" si="24"/>
        <v>0</v>
      </c>
      <c r="J412" s="2583">
        <f t="shared" si="24"/>
        <v>-2780.7131205040464</v>
      </c>
      <c r="K412" s="2353"/>
      <c r="L412" s="2584">
        <f t="shared" si="25"/>
        <v>0</v>
      </c>
      <c r="M412" s="1608">
        <f t="shared" si="25"/>
        <v>-2.5085688436318355E-2</v>
      </c>
    </row>
    <row r="413" spans="1:13" x14ac:dyDescent="0.25">
      <c r="A413" s="2281">
        <f t="shared" si="26"/>
        <v>66</v>
      </c>
      <c r="B413" s="2287">
        <f t="shared" si="26"/>
        <v>61</v>
      </c>
      <c r="C413" s="2436">
        <f t="shared" si="21"/>
        <v>204809.17068610369</v>
      </c>
      <c r="D413" s="2439">
        <f t="shared" si="21"/>
        <v>113422.57502751272</v>
      </c>
      <c r="E413" s="2473">
        <f t="shared" si="22"/>
        <v>0</v>
      </c>
      <c r="F413" s="2476">
        <f t="shared" si="20"/>
        <v>3089.2069774377978</v>
      </c>
      <c r="G413" s="2402">
        <f t="shared" ref="G413:H413" si="31">L564+L609+C662+E662+G662+K662</f>
        <v>0</v>
      </c>
      <c r="H413" s="2477">
        <f t="shared" si="31"/>
        <v>5949.9267406845092</v>
      </c>
      <c r="I413" s="2436">
        <f t="shared" si="24"/>
        <v>0</v>
      </c>
      <c r="J413" s="2583">
        <f t="shared" si="24"/>
        <v>-2860.7197632467114</v>
      </c>
      <c r="K413" s="2353"/>
      <c r="L413" s="2584">
        <f t="shared" si="25"/>
        <v>0</v>
      </c>
      <c r="M413" s="1608">
        <f t="shared" si="25"/>
        <v>-2.5221784662822117E-2</v>
      </c>
    </row>
    <row r="414" spans="1:13" x14ac:dyDescent="0.25">
      <c r="A414" s="2281">
        <f t="shared" si="26"/>
        <v>67</v>
      </c>
      <c r="B414" s="2287">
        <f t="shared" si="26"/>
        <v>62</v>
      </c>
      <c r="C414" s="2436">
        <f t="shared" si="21"/>
        <v>204309.17068610369</v>
      </c>
      <c r="D414" s="2439">
        <f t="shared" si="21"/>
        <v>114972.84906732893</v>
      </c>
      <c r="E414" s="2473">
        <f t="shared" si="22"/>
        <v>0</v>
      </c>
      <c r="F414" s="2476">
        <f t="shared" si="20"/>
        <v>3200.1095079278148</v>
      </c>
      <c r="G414" s="2402">
        <f t="shared" ref="G414:H414" si="32">L565+L610+C663+E663+G663+K663</f>
        <v>0</v>
      </c>
      <c r="H414" s="2477">
        <f t="shared" si="32"/>
        <v>6118.0835438844224</v>
      </c>
      <c r="I414" s="2436">
        <f t="shared" si="24"/>
        <v>0</v>
      </c>
      <c r="J414" s="2583">
        <f t="shared" si="24"/>
        <v>-2917.9740359566076</v>
      </c>
      <c r="K414" s="2353"/>
      <c r="L414" s="2584">
        <f t="shared" si="25"/>
        <v>0</v>
      </c>
      <c r="M414" s="1608">
        <f t="shared" si="25"/>
        <v>-2.5379679286261933E-2</v>
      </c>
    </row>
    <row r="415" spans="1:13" x14ac:dyDescent="0.25">
      <c r="A415" s="2281">
        <f t="shared" si="26"/>
        <v>68</v>
      </c>
      <c r="B415" s="2287">
        <f t="shared" si="26"/>
        <v>63</v>
      </c>
      <c r="C415" s="2436">
        <f t="shared" si="21"/>
        <v>205476.49948610368</v>
      </c>
      <c r="D415" s="2439">
        <f t="shared" si="21"/>
        <v>118330.6170811191</v>
      </c>
      <c r="E415" s="2473">
        <f t="shared" si="22"/>
        <v>0</v>
      </c>
      <c r="F415" s="2476">
        <f t="shared" si="20"/>
        <v>3314.9934392624232</v>
      </c>
      <c r="G415" s="2402">
        <f t="shared" ref="G415:H415" si="33">L566+L611+C664+E664+G664+K664</f>
        <v>0</v>
      </c>
      <c r="H415" s="2477">
        <f t="shared" si="33"/>
        <v>4449.6528891122844</v>
      </c>
      <c r="I415" s="2436">
        <f t="shared" si="24"/>
        <v>0</v>
      </c>
      <c r="J415" s="2583">
        <f t="shared" si="24"/>
        <v>-1134.6594498498612</v>
      </c>
      <c r="K415" s="2353"/>
      <c r="L415" s="2584">
        <f t="shared" si="25"/>
        <v>0</v>
      </c>
      <c r="M415" s="1608">
        <f t="shared" si="25"/>
        <v>-9.5888915129380171E-3</v>
      </c>
    </row>
    <row r="416" spans="1:13" x14ac:dyDescent="0.25">
      <c r="A416" s="2281">
        <f t="shared" si="26"/>
        <v>69</v>
      </c>
      <c r="B416" s="2287">
        <f t="shared" si="26"/>
        <v>64</v>
      </c>
      <c r="C416" s="2436">
        <f t="shared" si="21"/>
        <v>205476.49948610368</v>
      </c>
      <c r="D416" s="2439">
        <f t="shared" si="21"/>
        <v>121843.41342068046</v>
      </c>
      <c r="E416" s="2473">
        <f t="shared" si="22"/>
        <v>0</v>
      </c>
      <c r="F416" s="2476">
        <f t="shared" si="20"/>
        <v>3434.0017037319444</v>
      </c>
      <c r="G416" s="2402">
        <f t="shared" ref="G416:H416" si="34">L567+L612+C665+E665+G665+K665</f>
        <v>0</v>
      </c>
      <c r="H416" s="2477">
        <f t="shared" si="34"/>
        <v>1902.8361899667689</v>
      </c>
      <c r="I416" s="2436">
        <f t="shared" si="24"/>
        <v>0</v>
      </c>
      <c r="J416" s="2583">
        <f t="shared" si="24"/>
        <v>1531.1655137651755</v>
      </c>
      <c r="K416" s="2353"/>
      <c r="L416" s="2584">
        <f t="shared" si="25"/>
        <v>0</v>
      </c>
      <c r="M416" s="1608">
        <f t="shared" si="25"/>
        <v>1.2566666270901528E-2</v>
      </c>
    </row>
    <row r="417" spans="1:13" x14ac:dyDescent="0.25">
      <c r="A417" s="2281">
        <f t="shared" si="26"/>
        <v>70</v>
      </c>
      <c r="B417" s="2287">
        <f t="shared" si="26"/>
        <v>65</v>
      </c>
      <c r="C417" s="2436">
        <f t="shared" si="21"/>
        <v>205476.49948610368</v>
      </c>
      <c r="D417" s="2439">
        <f t="shared" si="21"/>
        <v>125478.28396966598</v>
      </c>
      <c r="E417" s="2473">
        <f t="shared" si="22"/>
        <v>0</v>
      </c>
      <c r="F417" s="2476">
        <f t="shared" si="20"/>
        <v>0</v>
      </c>
      <c r="G417" s="2402">
        <f t="shared" ref="G417:H417" si="35">L568+L613+C666+E666+G666+K666</f>
        <v>8961.9356210047918</v>
      </c>
      <c r="H417" s="2477">
        <f t="shared" si="35"/>
        <v>233.26704610091437</v>
      </c>
      <c r="I417" s="2436">
        <f t="shared" si="24"/>
        <v>-8961.9356210047918</v>
      </c>
      <c r="J417" s="2583">
        <f t="shared" si="24"/>
        <v>-233.26704610091437</v>
      </c>
      <c r="K417" s="2353"/>
      <c r="L417" s="2584">
        <f t="shared" si="25"/>
        <v>-4.36153800722641E-2</v>
      </c>
      <c r="M417" s="1608">
        <f t="shared" si="25"/>
        <v>-1.8590232406852649E-3</v>
      </c>
    </row>
    <row r="418" spans="1:13" x14ac:dyDescent="0.25">
      <c r="A418" s="2281">
        <f t="shared" si="26"/>
        <v>71</v>
      </c>
      <c r="B418" s="2287">
        <f t="shared" si="26"/>
        <v>66</v>
      </c>
      <c r="C418" s="2436">
        <f t="shared" si="21"/>
        <v>205977.3571690926</v>
      </c>
      <c r="D418" s="2439">
        <f t="shared" si="21"/>
        <v>125919.14896733646</v>
      </c>
      <c r="E418" s="2473">
        <f t="shared" si="22"/>
        <v>0</v>
      </c>
      <c r="F418" s="2476">
        <f t="shared" si="20"/>
        <v>0</v>
      </c>
      <c r="G418" s="2402">
        <f t="shared" ref="G418:H418" si="36">L569+L614+C667+E667+G667+K667</f>
        <v>11584.579991029121</v>
      </c>
      <c r="H418" s="2477">
        <f t="shared" si="36"/>
        <v>2113.7363242709084</v>
      </c>
      <c r="I418" s="2436">
        <f t="shared" si="24"/>
        <v>-11584.579991029121</v>
      </c>
      <c r="J418" s="2583">
        <f t="shared" si="24"/>
        <v>-2113.7363242709084</v>
      </c>
      <c r="K418" s="2353"/>
      <c r="L418" s="2584">
        <f t="shared" si="25"/>
        <v>-5.6242007132458804E-2</v>
      </c>
      <c r="M418" s="1608">
        <f t="shared" si="25"/>
        <v>-1.678645656046495E-2</v>
      </c>
    </row>
    <row r="419" spans="1:13" x14ac:dyDescent="0.25">
      <c r="A419" s="2281">
        <f t="shared" si="26"/>
        <v>72</v>
      </c>
      <c r="B419" s="2287">
        <f t="shared" si="26"/>
        <v>67</v>
      </c>
      <c r="C419" s="2436">
        <f t="shared" si="21"/>
        <v>202810.51350233439</v>
      </c>
      <c r="D419" s="2439">
        <f t="shared" si="21"/>
        <v>126374.78294242889</v>
      </c>
      <c r="E419" s="2473">
        <f t="shared" si="22"/>
        <v>0</v>
      </c>
      <c r="F419" s="2476">
        <f t="shared" si="20"/>
        <v>0</v>
      </c>
      <c r="G419" s="2402">
        <f t="shared" ref="G419:H419" si="37">L570+L615+C668+E668+G668+K668</f>
        <v>9441.6606836849369</v>
      </c>
      <c r="H419" s="2477">
        <f t="shared" si="37"/>
        <v>0</v>
      </c>
      <c r="I419" s="2436">
        <f t="shared" si="24"/>
        <v>-9441.6606836849369</v>
      </c>
      <c r="J419" s="2583">
        <f t="shared" si="24"/>
        <v>0</v>
      </c>
      <c r="K419" s="2353"/>
      <c r="L419" s="2584">
        <f t="shared" si="25"/>
        <v>-4.655409880206364E-2</v>
      </c>
      <c r="M419" s="1608">
        <f t="shared" si="25"/>
        <v>0</v>
      </c>
    </row>
    <row r="420" spans="1:13" x14ac:dyDescent="0.25">
      <c r="A420" s="2281">
        <f t="shared" si="26"/>
        <v>73</v>
      </c>
      <c r="B420" s="2287">
        <f t="shared" si="26"/>
        <v>68</v>
      </c>
      <c r="C420" s="2436">
        <f t="shared" si="21"/>
        <v>193456.15650555908</v>
      </c>
      <c r="D420" s="2439">
        <f t="shared" si="21"/>
        <v>126845.68065568691</v>
      </c>
      <c r="E420" s="2473">
        <f t="shared" si="22"/>
        <v>0</v>
      </c>
      <c r="F420" s="2476">
        <f t="shared" si="20"/>
        <v>0</v>
      </c>
      <c r="G420" s="2402">
        <f t="shared" ref="G420:H420" si="38">L571+L616+C669+E669+G669+K669</f>
        <v>9755.780815869748</v>
      </c>
      <c r="H420" s="2477">
        <f t="shared" si="38"/>
        <v>0</v>
      </c>
      <c r="I420" s="2436">
        <f t="shared" si="24"/>
        <v>-9755.780815869748</v>
      </c>
      <c r="J420" s="2583">
        <f t="shared" si="24"/>
        <v>0</v>
      </c>
      <c r="K420" s="2353"/>
      <c r="L420" s="2584">
        <f t="shared" si="25"/>
        <v>-5.0428898165302945E-2</v>
      </c>
      <c r="M420" s="1608">
        <f t="shared" si="25"/>
        <v>0</v>
      </c>
    </row>
    <row r="421" spans="1:13" x14ac:dyDescent="0.25">
      <c r="A421" s="2281">
        <f t="shared" si="26"/>
        <v>74</v>
      </c>
      <c r="B421" s="2287">
        <f t="shared" si="26"/>
        <v>69</v>
      </c>
      <c r="C421" s="2436">
        <f t="shared" si="21"/>
        <v>183932.72814395512</v>
      </c>
      <c r="D421" s="2439">
        <f t="shared" si="21"/>
        <v>127332.3534423391</v>
      </c>
      <c r="E421" s="2473">
        <f t="shared" si="22"/>
        <v>0</v>
      </c>
      <c r="F421" s="2476">
        <f t="shared" si="20"/>
        <v>0</v>
      </c>
      <c r="G421" s="2402">
        <f t="shared" ref="G421:H421" si="39">L572+L617+C670+E670+G670+K670</f>
        <v>9851.4624987162351</v>
      </c>
      <c r="H421" s="2477">
        <f t="shared" si="39"/>
        <v>0</v>
      </c>
      <c r="I421" s="2436">
        <f t="shared" si="24"/>
        <v>-9851.4624987162351</v>
      </c>
      <c r="J421" s="2583">
        <f t="shared" si="24"/>
        <v>0</v>
      </c>
      <c r="K421" s="2353"/>
      <c r="L421" s="2584">
        <f t="shared" si="25"/>
        <v>-5.3560139068920778E-2</v>
      </c>
      <c r="M421" s="1608">
        <f t="shared" si="25"/>
        <v>0</v>
      </c>
    </row>
    <row r="422" spans="1:13" x14ac:dyDescent="0.25">
      <c r="A422" s="2281">
        <f t="shared" si="26"/>
        <v>75</v>
      </c>
      <c r="B422" s="2287">
        <f t="shared" si="26"/>
        <v>70</v>
      </c>
      <c r="C422" s="2436">
        <f t="shared" si="21"/>
        <v>174184.52027153099</v>
      </c>
      <c r="D422" s="2439">
        <f t="shared" si="21"/>
        <v>127287.36558278695</v>
      </c>
      <c r="E422" s="2473">
        <f t="shared" si="22"/>
        <v>0</v>
      </c>
      <c r="F422" s="2476">
        <f t="shared" si="20"/>
        <v>0</v>
      </c>
      <c r="G422" s="2402">
        <f t="shared" ref="G422:H422" si="40">L573+L618+C671+E671+G671+K671</f>
        <v>15109.559306087787</v>
      </c>
      <c r="H422" s="2477">
        <f t="shared" si="40"/>
        <v>9021.2382835803946</v>
      </c>
      <c r="I422" s="2436">
        <f t="shared" si="24"/>
        <v>-15109.559306087787</v>
      </c>
      <c r="J422" s="2583">
        <f t="shared" si="24"/>
        <v>-9021.2382835803946</v>
      </c>
      <c r="K422" s="2353"/>
      <c r="L422" s="2584">
        <f t="shared" si="25"/>
        <v>-8.6744558486218815E-2</v>
      </c>
      <c r="M422" s="1608">
        <f t="shared" si="25"/>
        <v>-7.087300646279017E-2</v>
      </c>
    </row>
    <row r="423" spans="1:13" x14ac:dyDescent="0.25">
      <c r="A423" s="2281">
        <f t="shared" si="26"/>
        <v>76</v>
      </c>
      <c r="B423" s="2287">
        <f t="shared" si="26"/>
        <v>71</v>
      </c>
      <c r="C423" s="2436">
        <f t="shared" si="21"/>
        <v>166667.22484776023</v>
      </c>
      <c r="D423" s="2439">
        <f t="shared" si="21"/>
        <v>123124.75618116626</v>
      </c>
      <c r="E423" s="2473">
        <f t="shared" si="22"/>
        <v>0</v>
      </c>
      <c r="F423" s="2476">
        <f t="shared" si="20"/>
        <v>0</v>
      </c>
      <c r="G423" s="2402">
        <f t="shared" ref="G423:H423" si="41">L574+L619+C672+E672+G672+K672</f>
        <v>7579.3427603419041</v>
      </c>
      <c r="H423" s="2477">
        <f t="shared" si="41"/>
        <v>4648.6099465402694</v>
      </c>
      <c r="I423" s="2436">
        <f t="shared" si="24"/>
        <v>-7579.3427603419041</v>
      </c>
      <c r="J423" s="2583">
        <f t="shared" si="24"/>
        <v>-4648.6099465402694</v>
      </c>
      <c r="K423" s="2353"/>
      <c r="L423" s="2584">
        <f t="shared" si="25"/>
        <v>-4.5475904259311604E-2</v>
      </c>
      <c r="M423" s="1608">
        <f t="shared" si="25"/>
        <v>-3.7755282452704202E-2</v>
      </c>
    </row>
    <row r="424" spans="1:13" x14ac:dyDescent="0.25">
      <c r="A424" s="2281">
        <f t="shared" si="26"/>
        <v>77</v>
      </c>
      <c r="B424" s="2287">
        <f t="shared" si="26"/>
        <v>72</v>
      </c>
      <c r="C424" s="2436">
        <f t="shared" ref="C424:D439" si="42">L380</f>
        <v>159265.35074323634</v>
      </c>
      <c r="D424" s="2439">
        <f t="shared" si="42"/>
        <v>118958.10922585131</v>
      </c>
      <c r="E424" s="2473">
        <f t="shared" si="22"/>
        <v>0</v>
      </c>
      <c r="F424" s="2476">
        <f t="shared" si="20"/>
        <v>0</v>
      </c>
      <c r="G424" s="2402">
        <f t="shared" ref="G424:H424" si="43">L575+L620+C673+E673+G673+K673</f>
        <v>7516.6256019947541</v>
      </c>
      <c r="H424" s="2477">
        <f t="shared" si="43"/>
        <v>4650.03995580027</v>
      </c>
      <c r="I424" s="2436">
        <f t="shared" si="24"/>
        <v>-7516.6256019947541</v>
      </c>
      <c r="J424" s="2583">
        <f t="shared" si="24"/>
        <v>-4650.03995580027</v>
      </c>
      <c r="K424" s="2353"/>
      <c r="L424" s="2584">
        <f t="shared" si="25"/>
        <v>-4.7195611392668028E-2</v>
      </c>
      <c r="M424" s="1608">
        <f t="shared" si="25"/>
        <v>-3.9089726510126384E-2</v>
      </c>
    </row>
    <row r="425" spans="1:13" x14ac:dyDescent="0.25">
      <c r="A425" s="2281">
        <f t="shared" ref="A425:B440" si="44">A424+1</f>
        <v>78</v>
      </c>
      <c r="B425" s="2287">
        <f t="shared" si="44"/>
        <v>73</v>
      </c>
      <c r="C425" s="2436">
        <f t="shared" si="42"/>
        <v>151921.97842997473</v>
      </c>
      <c r="D425" s="2439">
        <f t="shared" si="42"/>
        <v>114786.77766938822</v>
      </c>
      <c r="E425" s="2473">
        <f t="shared" si="22"/>
        <v>0</v>
      </c>
      <c r="F425" s="2476">
        <f t="shared" si="20"/>
        <v>0</v>
      </c>
      <c r="G425" s="2402">
        <f t="shared" ref="G425:H425" si="45">L576+L621+C674+E674+G674+K674</f>
        <v>7488.650041736475</v>
      </c>
      <c r="H425" s="2477">
        <f t="shared" si="45"/>
        <v>4651.430283256057</v>
      </c>
      <c r="I425" s="2436">
        <f t="shared" si="24"/>
        <v>-7488.650041736475</v>
      </c>
      <c r="J425" s="2583">
        <f t="shared" si="24"/>
        <v>-4651.430283256057</v>
      </c>
      <c r="K425" s="2353"/>
      <c r="L425" s="2584">
        <f t="shared" si="25"/>
        <v>-4.929273643700087E-2</v>
      </c>
      <c r="M425" s="1608">
        <f t="shared" si="25"/>
        <v>-4.0522352641113632E-2</v>
      </c>
    </row>
    <row r="426" spans="1:13" x14ac:dyDescent="0.25">
      <c r="A426" s="2281">
        <f t="shared" si="44"/>
        <v>79</v>
      </c>
      <c r="B426" s="2287">
        <f t="shared" si="44"/>
        <v>74</v>
      </c>
      <c r="C426" s="2436">
        <f t="shared" si="42"/>
        <v>144604.75248203106</v>
      </c>
      <c r="D426" s="2439">
        <f t="shared" si="42"/>
        <v>110610.10325056952</v>
      </c>
      <c r="E426" s="2473">
        <f t="shared" si="22"/>
        <v>0</v>
      </c>
      <c r="F426" s="2476">
        <f t="shared" si="20"/>
        <v>0</v>
      </c>
      <c r="G426" s="2402">
        <f t="shared" ref="G426:H426" si="46">L577+L622+C675+E675+G675+K675</f>
        <v>7421.1239439928586</v>
      </c>
      <c r="H426" s="2477">
        <f t="shared" si="46"/>
        <v>4652.7506382301772</v>
      </c>
      <c r="I426" s="2436">
        <f t="shared" si="24"/>
        <v>-7421.1239439928586</v>
      </c>
      <c r="J426" s="2583">
        <f t="shared" si="24"/>
        <v>-4652.7506382301772</v>
      </c>
      <c r="K426" s="2353"/>
      <c r="L426" s="2584">
        <f t="shared" si="25"/>
        <v>-5.1320055645577935E-2</v>
      </c>
      <c r="M426" s="1608">
        <f t="shared" si="25"/>
        <v>-4.2064427222259379E-2</v>
      </c>
    </row>
    <row r="427" spans="1:13" x14ac:dyDescent="0.25">
      <c r="A427" s="2281">
        <f t="shared" si="44"/>
        <v>80</v>
      </c>
      <c r="B427" s="2287">
        <f t="shared" si="44"/>
        <v>75</v>
      </c>
      <c r="C427" s="2436">
        <f t="shared" si="42"/>
        <v>137351.58432243075</v>
      </c>
      <c r="D427" s="2439">
        <f t="shared" si="42"/>
        <v>106427.41954154361</v>
      </c>
      <c r="E427" s="2473">
        <f t="shared" si="22"/>
        <v>0</v>
      </c>
      <c r="F427" s="2476">
        <f t="shared" si="20"/>
        <v>0</v>
      </c>
      <c r="G427" s="2402">
        <f t="shared" ref="G427:H427" si="47">L578+L623+C676+E676+G676+K676</f>
        <v>7351.2641876396683</v>
      </c>
      <c r="H427" s="2477">
        <f t="shared" si="47"/>
        <v>4653.9656372227955</v>
      </c>
      <c r="I427" s="2436">
        <f t="shared" si="24"/>
        <v>-7351.2641876396683</v>
      </c>
      <c r="J427" s="2583">
        <f t="shared" si="24"/>
        <v>-4653.9656372227955</v>
      </c>
      <c r="K427" s="2353"/>
      <c r="L427" s="2584">
        <f t="shared" si="25"/>
        <v>-5.3521509954939345E-2</v>
      </c>
      <c r="M427" s="1608">
        <f t="shared" si="25"/>
        <v>-4.3729009472095064E-2</v>
      </c>
    </row>
    <row r="428" spans="1:13" x14ac:dyDescent="0.25">
      <c r="A428" s="2281">
        <f t="shared" si="44"/>
        <v>81</v>
      </c>
      <c r="B428" s="2287">
        <f t="shared" si="44"/>
        <v>76</v>
      </c>
      <c r="C428" s="2436">
        <f t="shared" si="42"/>
        <v>130164.5050931062</v>
      </c>
      <c r="D428" s="2439">
        <f t="shared" si="42"/>
        <v>102238.05574210314</v>
      </c>
      <c r="E428" s="2473">
        <f t="shared" si="22"/>
        <v>0</v>
      </c>
      <c r="F428" s="2476">
        <f t="shared" si="20"/>
        <v>0</v>
      </c>
      <c r="G428" s="2402">
        <f t="shared" ref="G428:H428" si="48">L579+L624+C677+E677+G677+K677</f>
        <v>7278.8711846139395</v>
      </c>
      <c r="H428" s="2477">
        <f t="shared" si="48"/>
        <v>4655.0339259530156</v>
      </c>
      <c r="I428" s="2436">
        <f t="shared" si="24"/>
        <v>-7278.8711846139395</v>
      </c>
      <c r="J428" s="2583">
        <f t="shared" si="24"/>
        <v>-4655.0339259530156</v>
      </c>
      <c r="K428" s="2353"/>
      <c r="L428" s="2584">
        <f t="shared" si="25"/>
        <v>-5.59205536056653E-2</v>
      </c>
      <c r="M428" s="1608">
        <f t="shared" si="25"/>
        <v>-4.5531322873504178E-2</v>
      </c>
    </row>
    <row r="429" spans="1:13" x14ac:dyDescent="0.25">
      <c r="A429" s="2281">
        <f t="shared" si="44"/>
        <v>82</v>
      </c>
      <c r="B429" s="2287">
        <f t="shared" si="44"/>
        <v>77</v>
      </c>
      <c r="C429" s="2436">
        <f t="shared" si="42"/>
        <v>123045.7370416419</v>
      </c>
      <c r="D429" s="2439">
        <f t="shared" si="42"/>
        <v>98044.532144949888</v>
      </c>
      <c r="E429" s="2473">
        <f t="shared" si="22"/>
        <v>0</v>
      </c>
      <c r="F429" s="2476">
        <f t="shared" si="20"/>
        <v>0</v>
      </c>
      <c r="G429" s="2402">
        <f t="shared" ref="G429:H429" si="49">L580+L625+C678+E678+G678+K678</f>
        <v>7203.7190240805339</v>
      </c>
      <c r="H429" s="2477">
        <f t="shared" si="49"/>
        <v>4633.9452913606929</v>
      </c>
      <c r="I429" s="2436">
        <f t="shared" si="24"/>
        <v>-7203.7190240805339</v>
      </c>
      <c r="J429" s="2583">
        <f t="shared" si="24"/>
        <v>-4633.9452913606929</v>
      </c>
      <c r="K429" s="2353"/>
      <c r="L429" s="2584">
        <f t="shared" si="25"/>
        <v>-5.8545051598517445E-2</v>
      </c>
      <c r="M429" s="1608">
        <f t="shared" si="25"/>
        <v>-4.7263678962839333E-2</v>
      </c>
    </row>
    <row r="430" spans="1:13" x14ac:dyDescent="0.25">
      <c r="A430" s="2281">
        <f t="shared" si="44"/>
        <v>83</v>
      </c>
      <c r="B430" s="2287">
        <f t="shared" si="44"/>
        <v>78</v>
      </c>
      <c r="C430" s="2436">
        <f t="shared" si="42"/>
        <v>115997.72046565666</v>
      </c>
      <c r="D430" s="2439">
        <f t="shared" si="42"/>
        <v>93861.956013390532</v>
      </c>
      <c r="E430" s="2473">
        <f t="shared" si="22"/>
        <v>0</v>
      </c>
      <c r="F430" s="2476">
        <f t="shared" si="20"/>
        <v>0</v>
      </c>
      <c r="G430" s="2402">
        <f t="shared" ref="G430:H430" si="50">L581+L626+C679+E679+G679+K679</f>
        <v>7125.5506336153812</v>
      </c>
      <c r="H430" s="2477">
        <f t="shared" si="50"/>
        <v>4634.6717971060316</v>
      </c>
      <c r="I430" s="2436">
        <f t="shared" si="24"/>
        <v>-7125.5506336153812</v>
      </c>
      <c r="J430" s="2583">
        <f t="shared" si="24"/>
        <v>-4634.6717971060316</v>
      </c>
      <c r="K430" s="2353"/>
      <c r="L430" s="2584">
        <f t="shared" si="25"/>
        <v>-6.1428367773184271E-2</v>
      </c>
      <c r="M430" s="1608">
        <f t="shared" si="25"/>
        <v>-4.9377532644267932E-2</v>
      </c>
    </row>
    <row r="431" spans="1:13" x14ac:dyDescent="0.25">
      <c r="A431" s="2281">
        <f t="shared" si="44"/>
        <v>84</v>
      </c>
      <c r="B431" s="2287">
        <f t="shared" si="44"/>
        <v>79</v>
      </c>
      <c r="C431" s="2436">
        <f t="shared" si="42"/>
        <v>109023.14569797268</v>
      </c>
      <c r="D431" s="2439">
        <f t="shared" si="42"/>
        <v>89674.385413153344</v>
      </c>
      <c r="E431" s="2473">
        <f t="shared" si="22"/>
        <v>0</v>
      </c>
      <c r="F431" s="2476">
        <f t="shared" si="20"/>
        <v>0</v>
      </c>
      <c r="G431" s="2402">
        <f t="shared" ref="G431:H431" si="51">L582+L627+C680+E680+G680+K680</f>
        <v>7044.0717593487179</v>
      </c>
      <c r="H431" s="2477">
        <f t="shared" si="51"/>
        <v>4611.3216492740676</v>
      </c>
      <c r="I431" s="2436">
        <f t="shared" si="24"/>
        <v>-7044.0717593487179</v>
      </c>
      <c r="J431" s="2583">
        <f t="shared" si="24"/>
        <v>-4611.3216492740676</v>
      </c>
      <c r="K431" s="2353"/>
      <c r="L431" s="2584">
        <f t="shared" si="25"/>
        <v>-6.4610791719979743E-2</v>
      </c>
      <c r="M431" s="1608">
        <f t="shared" si="25"/>
        <v>-5.1422952362912805E-2</v>
      </c>
    </row>
    <row r="432" spans="1:13" x14ac:dyDescent="0.25">
      <c r="A432" s="2281">
        <f t="shared" si="44"/>
        <v>85</v>
      </c>
      <c r="B432" s="2287">
        <f t="shared" si="44"/>
        <v>80</v>
      </c>
      <c r="C432" s="2436">
        <f t="shared" si="42"/>
        <v>102127.17910248008</v>
      </c>
      <c r="D432" s="2439">
        <f t="shared" si="42"/>
        <v>85501.76072014324</v>
      </c>
      <c r="E432" s="2473">
        <f t="shared" si="22"/>
        <v>0</v>
      </c>
      <c r="F432" s="2476">
        <f t="shared" si="20"/>
        <v>0</v>
      </c>
      <c r="G432" s="2402">
        <f t="shared" ref="G432:H432" si="52">L583+L628+C681+E681+G681+K681</f>
        <v>6911.9235088211781</v>
      </c>
      <c r="H432" s="2477">
        <f t="shared" si="52"/>
        <v>4586.824810646779</v>
      </c>
      <c r="I432" s="2436">
        <f t="shared" si="24"/>
        <v>-6911.9235088211781</v>
      </c>
      <c r="J432" s="2583">
        <f t="shared" si="24"/>
        <v>-4586.824810646779</v>
      </c>
      <c r="K432" s="2353"/>
      <c r="L432" s="2584">
        <f t="shared" si="25"/>
        <v>-6.7679569430634828E-2</v>
      </c>
      <c r="M432" s="1608">
        <f t="shared" si="25"/>
        <v>-5.3645969065595808E-2</v>
      </c>
    </row>
    <row r="433" spans="1:13" x14ac:dyDescent="0.25">
      <c r="A433" s="2281">
        <f t="shared" si="44"/>
        <v>86</v>
      </c>
      <c r="B433" s="2287">
        <f t="shared" si="44"/>
        <v>81</v>
      </c>
      <c r="C433" s="2436">
        <f t="shared" si="42"/>
        <v>95358.187316432712</v>
      </c>
      <c r="D433" s="2439">
        <f t="shared" si="42"/>
        <v>81344.409270435441</v>
      </c>
      <c r="E433" s="2473">
        <f t="shared" si="22"/>
        <v>0</v>
      </c>
      <c r="F433" s="2476">
        <f t="shared" si="20"/>
        <v>0</v>
      </c>
      <c r="G433" s="2402">
        <f t="shared" ref="G433:H433" si="53">L584+L629+C682+E682+G682+K682</f>
        <v>6775.6633270515913</v>
      </c>
      <c r="H433" s="2477">
        <f t="shared" si="53"/>
        <v>4561.0457340740159</v>
      </c>
      <c r="I433" s="2436">
        <f t="shared" si="24"/>
        <v>-6775.6633270515913</v>
      </c>
      <c r="J433" s="2583">
        <f t="shared" si="24"/>
        <v>-4561.0457340740159</v>
      </c>
      <c r="K433" s="2353"/>
      <c r="L433" s="2584">
        <f t="shared" si="25"/>
        <v>-7.1054867104043268E-2</v>
      </c>
      <c r="M433" s="1608">
        <f t="shared" si="25"/>
        <v>-5.6070795460699527E-2</v>
      </c>
    </row>
    <row r="434" spans="1:13" x14ac:dyDescent="0.25">
      <c r="A434" s="2281">
        <f t="shared" si="44"/>
        <v>87</v>
      </c>
      <c r="B434" s="2287">
        <f t="shared" si="44"/>
        <v>82</v>
      </c>
      <c r="C434" s="2436">
        <f t="shared" si="42"/>
        <v>88720.024490184442</v>
      </c>
      <c r="D434" s="2439">
        <f t="shared" si="42"/>
        <v>77202.767755135079</v>
      </c>
      <c r="E434" s="2473">
        <f t="shared" si="22"/>
        <v>0</v>
      </c>
      <c r="F434" s="2476">
        <f t="shared" si="20"/>
        <v>0</v>
      </c>
      <c r="G434" s="2402">
        <f t="shared" ref="G434:H434" si="54">L585+L630+C683+E683+G683+K683</f>
        <v>6634.9314053412454</v>
      </c>
      <c r="H434" s="2477">
        <f t="shared" si="54"/>
        <v>4533.8295309253135</v>
      </c>
      <c r="I434" s="2436">
        <f t="shared" si="24"/>
        <v>-6634.9314053412454</v>
      </c>
      <c r="J434" s="2583">
        <f t="shared" si="24"/>
        <v>-4533.8295309253135</v>
      </c>
      <c r="K434" s="2353"/>
      <c r="L434" s="2584">
        <f t="shared" si="25"/>
        <v>-7.4785049299386772E-2</v>
      </c>
      <c r="M434" s="1608">
        <f t="shared" si="25"/>
        <v>-5.8726256360462539E-2</v>
      </c>
    </row>
    <row r="435" spans="1:13" x14ac:dyDescent="0.25">
      <c r="A435" s="2281">
        <f t="shared" si="44"/>
        <v>88</v>
      </c>
      <c r="B435" s="2287">
        <f t="shared" si="44"/>
        <v>83</v>
      </c>
      <c r="C435" s="2436">
        <f t="shared" si="42"/>
        <v>82216.910264619612</v>
      </c>
      <c r="D435" s="2439">
        <f t="shared" si="42"/>
        <v>73077.402981614767</v>
      </c>
      <c r="E435" s="2473">
        <f t="shared" si="22"/>
        <v>0</v>
      </c>
      <c r="F435" s="2476">
        <f t="shared" si="20"/>
        <v>0</v>
      </c>
      <c r="G435" s="2402">
        <f t="shared" ref="G435:H435" si="55">L586+L631+C684+E684+G684+K684</f>
        <v>6489.316801132949</v>
      </c>
      <c r="H435" s="2477">
        <f t="shared" si="55"/>
        <v>4504.9984145393655</v>
      </c>
      <c r="I435" s="2436">
        <f t="shared" si="24"/>
        <v>-6489.316801132949</v>
      </c>
      <c r="J435" s="2583">
        <f t="shared" si="24"/>
        <v>-4504.9984145393655</v>
      </c>
      <c r="K435" s="2353"/>
      <c r="L435" s="2584">
        <f t="shared" si="25"/>
        <v>-7.8929222470739038E-2</v>
      </c>
      <c r="M435" s="1608">
        <f t="shared" si="25"/>
        <v>-6.1646941882605749E-2</v>
      </c>
    </row>
    <row r="436" spans="1:13" x14ac:dyDescent="0.25">
      <c r="A436" s="2281">
        <f t="shared" si="44"/>
        <v>89</v>
      </c>
      <c r="B436" s="2287">
        <f t="shared" si="44"/>
        <v>84</v>
      </c>
      <c r="C436" s="2436">
        <f t="shared" si="42"/>
        <v>75853.483608478942</v>
      </c>
      <c r="D436" s="2439">
        <f t="shared" si="42"/>
        <v>68969.036718955351</v>
      </c>
      <c r="E436" s="2473">
        <f t="shared" si="22"/>
        <v>0</v>
      </c>
      <c r="F436" s="2476">
        <f t="shared" si="20"/>
        <v>0</v>
      </c>
      <c r="G436" s="2402">
        <f t="shared" ref="G436:H436" si="56">L587+L632+C685+E685+G685+K685</f>
        <v>6338.3468932073392</v>
      </c>
      <c r="H436" s="2477">
        <f t="shared" si="56"/>
        <v>4474.3472854550237</v>
      </c>
      <c r="I436" s="2436">
        <f t="shared" si="24"/>
        <v>-6338.3468932073392</v>
      </c>
      <c r="J436" s="2583">
        <f t="shared" si="24"/>
        <v>-4474.3472854550237</v>
      </c>
      <c r="K436" s="2353"/>
      <c r="L436" s="2584">
        <f t="shared" si="25"/>
        <v>-8.3560392900647679E-2</v>
      </c>
      <c r="M436" s="1608">
        <f t="shared" si="25"/>
        <v>-6.4874724924573302E-2</v>
      </c>
    </row>
    <row r="437" spans="1:13" x14ac:dyDescent="0.25">
      <c r="A437" s="2281">
        <f t="shared" si="44"/>
        <v>90</v>
      </c>
      <c r="B437" s="2287">
        <f t="shared" si="44"/>
        <v>85</v>
      </c>
      <c r="C437" s="2436">
        <f t="shared" si="42"/>
        <v>69637.832811977583</v>
      </c>
      <c r="D437" s="2439">
        <f t="shared" si="42"/>
        <v>64884.080417343081</v>
      </c>
      <c r="E437" s="2473">
        <f t="shared" si="22"/>
        <v>0</v>
      </c>
      <c r="F437" s="2476">
        <f t="shared" si="20"/>
        <v>0</v>
      </c>
      <c r="G437" s="2402">
        <f t="shared" ref="G437:H437" si="57">L588+L633+C686+E686+G686+K686</f>
        <v>6127.2504167544475</v>
      </c>
      <c r="H437" s="2477">
        <f t="shared" si="57"/>
        <v>4411.6271241096811</v>
      </c>
      <c r="I437" s="2436">
        <f t="shared" si="24"/>
        <v>-6127.2504167544475</v>
      </c>
      <c r="J437" s="2583">
        <f t="shared" si="24"/>
        <v>-4411.6271241096811</v>
      </c>
      <c r="K437" s="2353"/>
      <c r="L437" s="2584">
        <f t="shared" si="25"/>
        <v>-8.7987379407656857E-2</v>
      </c>
      <c r="M437" s="1608">
        <f t="shared" si="25"/>
        <v>-6.7992442764596581E-2</v>
      </c>
    </row>
    <row r="438" spans="1:13" x14ac:dyDescent="0.25">
      <c r="A438" s="2281">
        <f t="shared" si="44"/>
        <v>91</v>
      </c>
      <c r="B438" s="2287">
        <f t="shared" si="44"/>
        <v>86</v>
      </c>
      <c r="C438" s="2436">
        <f t="shared" si="42"/>
        <v>63627.089292845318</v>
      </c>
      <c r="D438" s="2439">
        <f t="shared" si="42"/>
        <v>60848.751917497291</v>
      </c>
      <c r="E438" s="2473">
        <f t="shared" si="22"/>
        <v>0</v>
      </c>
      <c r="F438" s="2476">
        <f t="shared" si="20"/>
        <v>0</v>
      </c>
      <c r="G438" s="2402">
        <f t="shared" ref="G438:H438" si="58">L589+L634+C687+E687+G687+K687</f>
        <v>5911.632363744995</v>
      </c>
      <c r="H438" s="2477">
        <f t="shared" si="58"/>
        <v>4346.2168803228033</v>
      </c>
      <c r="I438" s="2436">
        <f t="shared" si="24"/>
        <v>-5911.632363744995</v>
      </c>
      <c r="J438" s="2583">
        <f t="shared" si="24"/>
        <v>-4346.2168803228033</v>
      </c>
      <c r="K438" s="2353"/>
      <c r="L438" s="2584">
        <f t="shared" si="25"/>
        <v>-9.2910620766204696E-2</v>
      </c>
      <c r="M438" s="1608">
        <f t="shared" si="25"/>
        <v>-7.1426557544116726E-2</v>
      </c>
    </row>
    <row r="439" spans="1:13" x14ac:dyDescent="0.25">
      <c r="A439" s="2281">
        <f t="shared" si="44"/>
        <v>92</v>
      </c>
      <c r="B439" s="2287">
        <f t="shared" si="44"/>
        <v>87</v>
      </c>
      <c r="C439" s="2436">
        <f t="shared" si="42"/>
        <v>57825.659627726716</v>
      </c>
      <c r="D439" s="2439">
        <f t="shared" si="42"/>
        <v>56865.015875730482</v>
      </c>
      <c r="E439" s="2473">
        <f t="shared" si="22"/>
        <v>0</v>
      </c>
      <c r="F439" s="2476">
        <f t="shared" si="20"/>
        <v>0</v>
      </c>
      <c r="G439" s="2402">
        <f t="shared" ref="G439:H439" si="59">L590+L635+C688+E688+G688+K688</f>
        <v>5691.1188291031267</v>
      </c>
      <c r="H439" s="2477">
        <f t="shared" si="59"/>
        <v>4277.8340893965724</v>
      </c>
      <c r="I439" s="2436">
        <f t="shared" si="24"/>
        <v>-5691.1188291031267</v>
      </c>
      <c r="J439" s="2583">
        <f t="shared" si="24"/>
        <v>-4277.8340893965724</v>
      </c>
      <c r="K439" s="2353"/>
      <c r="L439" s="2584">
        <f t="shared" si="25"/>
        <v>-9.8418571716115844E-2</v>
      </c>
      <c r="M439" s="1608">
        <f t="shared" si="25"/>
        <v>-7.5227871187886486E-2</v>
      </c>
    </row>
    <row r="440" spans="1:13" x14ac:dyDescent="0.25">
      <c r="A440" s="2281">
        <f t="shared" si="44"/>
        <v>93</v>
      </c>
      <c r="B440" s="2287">
        <f t="shared" si="44"/>
        <v>88</v>
      </c>
      <c r="C440" s="2436">
        <f t="shared" ref="C440:D443" si="60">L396</f>
        <v>52238.348993095293</v>
      </c>
      <c r="D440" s="2439">
        <f t="shared" si="60"/>
        <v>52935.130490296455</v>
      </c>
      <c r="E440" s="2473">
        <f t="shared" si="22"/>
        <v>0</v>
      </c>
      <c r="F440" s="2476">
        <f t="shared" si="20"/>
        <v>0</v>
      </c>
      <c r="G440" s="2402">
        <f t="shared" ref="G440:H440" si="61">L591+L636+C689+E689+G689+K689</f>
        <v>5465.2827950375513</v>
      </c>
      <c r="H440" s="2477">
        <f t="shared" si="61"/>
        <v>4206.1555921274421</v>
      </c>
      <c r="I440" s="2436">
        <f t="shared" si="24"/>
        <v>-5465.2827950375513</v>
      </c>
      <c r="J440" s="2583">
        <f t="shared" si="24"/>
        <v>-4206.1555921274421</v>
      </c>
      <c r="K440" s="2353"/>
      <c r="L440" s="2584">
        <f t="shared" si="25"/>
        <v>-0.10462204300828756</v>
      </c>
      <c r="M440" s="1608">
        <f t="shared" si="25"/>
        <v>-7.9458679957320089E-2</v>
      </c>
    </row>
    <row r="441" spans="1:13" x14ac:dyDescent="0.25">
      <c r="A441" s="2281">
        <f t="shared" ref="A441:B443" si="62">A440+1</f>
        <v>94</v>
      </c>
      <c r="B441" s="2287">
        <f t="shared" si="62"/>
        <v>89</v>
      </c>
      <c r="C441" s="2436">
        <f t="shared" si="60"/>
        <v>46874.003771508746</v>
      </c>
      <c r="D441" s="2439">
        <f t="shared" si="60"/>
        <v>49061.695287238792</v>
      </c>
      <c r="E441" s="2473">
        <f t="shared" si="22"/>
        <v>0</v>
      </c>
      <c r="F441" s="2476">
        <f t="shared" si="20"/>
        <v>0</v>
      </c>
      <c r="G441" s="2402">
        <f t="shared" ref="G441:H441" si="63">L592+L637+C690+E690+G690+K690</f>
        <v>5176.1201718904013</v>
      </c>
      <c r="H441" s="2477">
        <f t="shared" si="63"/>
        <v>4130.8093373749125</v>
      </c>
      <c r="I441" s="2436">
        <f t="shared" si="24"/>
        <v>-5176.1201718904013</v>
      </c>
      <c r="J441" s="2583">
        <f t="shared" si="24"/>
        <v>-4130.8093373749125</v>
      </c>
      <c r="K441" s="2353"/>
      <c r="L441" s="2584">
        <f t="shared" si="25"/>
        <v>-0.11042624387542896</v>
      </c>
      <c r="M441" s="1608">
        <f t="shared" si="25"/>
        <v>-8.4196220966081411E-2</v>
      </c>
    </row>
    <row r="442" spans="1:13" x14ac:dyDescent="0.25">
      <c r="A442" s="2281">
        <f t="shared" si="62"/>
        <v>95</v>
      </c>
      <c r="B442" s="2287">
        <f t="shared" si="62"/>
        <v>90</v>
      </c>
      <c r="C442" s="2436">
        <f t="shared" si="60"/>
        <v>41792.352833058547</v>
      </c>
      <c r="D442" s="2439">
        <f t="shared" si="60"/>
        <v>45255.227944012149</v>
      </c>
      <c r="E442" s="2473">
        <f t="shared" si="22"/>
        <v>0</v>
      </c>
      <c r="F442" s="2476">
        <f t="shared" si="20"/>
        <v>0</v>
      </c>
      <c r="G442" s="2402">
        <f t="shared" ref="G442:H442" si="64">L593+L638+C691+E691+G691+K691</f>
        <v>4886.107815387847</v>
      </c>
      <c r="H442" s="2477">
        <f t="shared" si="64"/>
        <v>4015.8256409198434</v>
      </c>
      <c r="I442" s="2436">
        <f t="shared" si="24"/>
        <v>-4886.107815387847</v>
      </c>
      <c r="J442" s="2583">
        <f t="shared" si="24"/>
        <v>-4015.8256409198434</v>
      </c>
      <c r="K442" s="2353"/>
      <c r="L442" s="2584">
        <f t="shared" si="25"/>
        <v>-0.11691392047022638</v>
      </c>
      <c r="M442" s="1608">
        <f t="shared" si="25"/>
        <v>-8.8737275743877658E-2</v>
      </c>
    </row>
    <row r="443" spans="1:13" ht="15.75" thickBot="1" x14ac:dyDescent="0.3">
      <c r="A443" s="2285">
        <f t="shared" si="62"/>
        <v>96</v>
      </c>
      <c r="B443" s="2288">
        <f t="shared" si="62"/>
        <v>91</v>
      </c>
      <c r="C443" s="2437">
        <f t="shared" si="60"/>
        <v>36994.316136821719</v>
      </c>
      <c r="D443" s="2441">
        <f t="shared" si="60"/>
        <v>41547.723653834735</v>
      </c>
      <c r="E443" s="2474">
        <f t="shared" si="22"/>
        <v>0</v>
      </c>
      <c r="F443" s="2478">
        <f t="shared" si="20"/>
        <v>0</v>
      </c>
      <c r="G443" s="3052">
        <f t="shared" ref="G443:H443" si="65">L594+L639+C692+E692+G692+K692</f>
        <v>4595.1919930376125</v>
      </c>
      <c r="H443" s="2480">
        <f t="shared" si="65"/>
        <v>3897.1368240209572</v>
      </c>
      <c r="I443" s="2437">
        <f t="shared" si="24"/>
        <v>-4595.1919930376125</v>
      </c>
      <c r="J443" s="2585">
        <f t="shared" si="24"/>
        <v>-3897.1368240209572</v>
      </c>
      <c r="K443" s="1948"/>
      <c r="L443" s="2586">
        <f t="shared" si="25"/>
        <v>-0.12421345960397033</v>
      </c>
      <c r="M443" s="2587">
        <f t="shared" si="25"/>
        <v>-9.3799045562421871E-2</v>
      </c>
    </row>
    <row r="444" spans="1:13" ht="15.75" thickTop="1" x14ac:dyDescent="0.25"/>
    <row r="446" spans="1:13" ht="16.5" thickBot="1" x14ac:dyDescent="0.3">
      <c r="A446" s="1367"/>
      <c r="B446" s="1367"/>
      <c r="C446" s="1367"/>
      <c r="D446" s="1367"/>
      <c r="E446" s="1367"/>
      <c r="F446" s="1367"/>
      <c r="G446" s="1367"/>
      <c r="H446" s="1367"/>
      <c r="I446" s="1367"/>
      <c r="J446" s="1367"/>
      <c r="K446" s="1367"/>
      <c r="L446" s="1367"/>
      <c r="M446" s="1367"/>
    </row>
    <row r="447" spans="1:13" ht="19.5" thickTop="1" x14ac:dyDescent="0.3">
      <c r="A447" s="1340" t="s">
        <v>2870</v>
      </c>
      <c r="B447" s="1341"/>
      <c r="C447" s="1341"/>
      <c r="D447" s="1341"/>
      <c r="E447" s="2282"/>
      <c r="F447" s="1341"/>
      <c r="G447" s="1341"/>
      <c r="H447" s="1341"/>
      <c r="I447" s="1341"/>
      <c r="J447" s="1341"/>
      <c r="K447" s="1341"/>
      <c r="L447" s="1341"/>
      <c r="M447" s="1342"/>
    </row>
    <row r="448" spans="1:13" ht="18.75" x14ac:dyDescent="0.3">
      <c r="A448" s="1416" t="s">
        <v>2871</v>
      </c>
      <c r="B448" s="215"/>
      <c r="C448" s="215"/>
      <c r="D448" s="215"/>
      <c r="E448" s="215"/>
      <c r="F448" s="215"/>
      <c r="G448" s="215"/>
      <c r="H448" s="6"/>
      <c r="I448" s="144"/>
      <c r="J448" s="6"/>
      <c r="K448" s="6"/>
      <c r="L448" s="6"/>
      <c r="M448" s="1311"/>
    </row>
    <row r="449" spans="1:13" ht="18.75" x14ac:dyDescent="0.3">
      <c r="A449" s="1438"/>
      <c r="B449" s="33" t="s">
        <v>1955</v>
      </c>
      <c r="C449" s="1841"/>
      <c r="D449" s="1841"/>
      <c r="E449" s="1842"/>
      <c r="F449" s="6"/>
      <c r="G449" s="1227" t="s">
        <v>2133</v>
      </c>
      <c r="H449" s="6"/>
      <c r="I449" s="144"/>
      <c r="J449" s="6"/>
      <c r="K449" s="6"/>
      <c r="L449" s="6"/>
      <c r="M449" s="1311"/>
    </row>
    <row r="450" spans="1:13" ht="18.75" x14ac:dyDescent="0.3">
      <c r="A450" s="1438"/>
      <c r="B450" s="33" t="s">
        <v>1956</v>
      </c>
      <c r="C450" s="1841"/>
      <c r="D450" s="1841"/>
      <c r="E450" s="1842"/>
      <c r="F450" s="6"/>
      <c r="G450" s="1227" t="s">
        <v>2114</v>
      </c>
      <c r="H450" s="6"/>
      <c r="I450" s="144"/>
      <c r="J450" s="6"/>
      <c r="K450" s="6"/>
      <c r="L450" s="6"/>
      <c r="M450" s="1311"/>
    </row>
    <row r="451" spans="1:13" ht="15.75" thickBot="1" x14ac:dyDescent="0.3">
      <c r="A451" s="2281"/>
      <c r="B451" s="684"/>
      <c r="C451" s="1295"/>
      <c r="D451" s="1295"/>
      <c r="E451" s="2254"/>
      <c r="F451" s="6"/>
      <c r="G451" s="6"/>
      <c r="H451" s="6"/>
      <c r="I451" s="6"/>
      <c r="J451" s="6"/>
      <c r="K451" s="6"/>
      <c r="L451" s="6"/>
      <c r="M451" s="1311"/>
    </row>
    <row r="452" spans="1:13" ht="19.5" thickTop="1" x14ac:dyDescent="0.3">
      <c r="A452" s="1340" t="s">
        <v>2872</v>
      </c>
      <c r="B452" s="1341"/>
      <c r="C452" s="1341"/>
      <c r="D452" s="1341"/>
      <c r="E452" s="2282"/>
      <c r="F452" s="1341"/>
      <c r="G452" s="1341"/>
      <c r="H452" s="1341"/>
      <c r="I452" s="1341"/>
      <c r="J452" s="1341"/>
      <c r="K452" s="1341"/>
      <c r="L452" s="1341"/>
      <c r="M452" s="2353"/>
    </row>
    <row r="453" spans="1:13" x14ac:dyDescent="0.25">
      <c r="A453" s="1416" t="s">
        <v>1919</v>
      </c>
      <c r="B453" s="6"/>
      <c r="C453" s="6"/>
      <c r="D453" s="6"/>
      <c r="E453" s="13"/>
      <c r="F453" s="6"/>
      <c r="G453" s="6"/>
      <c r="H453" s="6"/>
      <c r="I453" s="6"/>
      <c r="J453" s="6"/>
      <c r="K453" s="6"/>
      <c r="M453" s="2353"/>
    </row>
    <row r="454" spans="1:13" ht="18.75" x14ac:dyDescent="0.3">
      <c r="A454" s="1416" t="s">
        <v>1980</v>
      </c>
      <c r="B454" s="6"/>
      <c r="C454" s="6"/>
      <c r="D454" s="6"/>
      <c r="E454" s="13"/>
      <c r="F454" s="6"/>
      <c r="G454" s="6"/>
      <c r="H454" s="6"/>
      <c r="I454" s="144"/>
      <c r="J454" s="6"/>
      <c r="K454" s="6"/>
      <c r="L454" s="6"/>
      <c r="M454" s="2353"/>
    </row>
    <row r="455" spans="1:13" x14ac:dyDescent="0.25">
      <c r="A455" s="2330" t="s">
        <v>2134</v>
      </c>
      <c r="B455" s="6"/>
      <c r="C455" s="6"/>
      <c r="D455" s="6"/>
      <c r="E455" s="1295"/>
      <c r="F455" s="1295"/>
      <c r="G455" s="33"/>
      <c r="H455" s="1295"/>
      <c r="I455" s="1295"/>
      <c r="J455" s="1295"/>
      <c r="K455" s="1295"/>
      <c r="L455" s="1295"/>
      <c r="M455" s="2353"/>
    </row>
    <row r="456" spans="1:13" ht="19.5" thickBot="1" x14ac:dyDescent="0.35">
      <c r="A456" s="1320"/>
      <c r="B456" s="1295"/>
      <c r="C456" s="1295"/>
      <c r="D456" s="1295"/>
      <c r="E456" s="2254"/>
      <c r="F456" s="6"/>
      <c r="G456" s="6"/>
      <c r="H456" s="6"/>
      <c r="I456" s="6"/>
      <c r="J456" s="6"/>
      <c r="K456" s="6"/>
      <c r="L456" s="6"/>
      <c r="M456" s="2353"/>
    </row>
    <row r="457" spans="1:13" ht="50.25" thickTop="1" thickBot="1" x14ac:dyDescent="0.3">
      <c r="A457" s="2588" t="s">
        <v>142</v>
      </c>
      <c r="B457" s="2589" t="s">
        <v>143</v>
      </c>
      <c r="C457" s="512" t="s">
        <v>2135</v>
      </c>
      <c r="D457" s="512" t="s">
        <v>2136</v>
      </c>
      <c r="E457" s="2279" t="s">
        <v>2137</v>
      </c>
      <c r="F457" s="2279" t="s">
        <v>2138</v>
      </c>
      <c r="G457" s="2394"/>
      <c r="H457" s="2303" t="s">
        <v>2140</v>
      </c>
      <c r="I457" s="2304" t="s">
        <v>2139</v>
      </c>
      <c r="J457" s="6"/>
      <c r="K457" s="6"/>
      <c r="L457" s="6"/>
      <c r="M457" s="2353"/>
    </row>
    <row r="458" spans="1:13" ht="15.75" thickTop="1" x14ac:dyDescent="0.25">
      <c r="A458" s="2572">
        <f>'1. AgeData'!$D$30</f>
        <v>60</v>
      </c>
      <c r="B458" s="2573">
        <f>'1. AgeData'!$D$31</f>
        <v>55</v>
      </c>
      <c r="C458" s="2574">
        <f t="shared" ref="C458:C494" si="66">IF(AND(A458&gt;=$F$180,A458&lt;=$G$180,$I$15="yes"),$D$180*POWER((1+$E$180),(A458-$F$180)),0)</f>
        <v>0</v>
      </c>
      <c r="D458" s="1447">
        <f t="shared" ref="D458:D494" si="67">IF(AND(B458&gt;=$F$186,B458&lt;=$G$186,$I$15="yes"),$D$186*POWER((1+$E$137),(B458-$F$186)),0)</f>
        <v>2500</v>
      </c>
      <c r="E458" s="3152">
        <f t="shared" ref="E458:E494" si="68">IF(AND(A458&gt;=$F$186,A458&lt;=$G$186,$I$15="yes"),$D$186*POWER((1+$E$134),(A458-$F$186)),0)</f>
        <v>2500</v>
      </c>
      <c r="F458" s="3153">
        <f t="shared" ref="F458:F494" si="69">IF(AND(B458&gt;=$F$189,B458&lt;=$G$189,$I$15="yes"),$D$189*POWER((1+$E$189),(B458-$F$189)),0)</f>
        <v>0</v>
      </c>
      <c r="G458" s="2353"/>
      <c r="H458" s="2575">
        <f t="shared" ref="H458:I494" si="70">C458+E458</f>
        <v>2500</v>
      </c>
      <c r="I458" s="2576">
        <f>D458+F458</f>
        <v>2500</v>
      </c>
      <c r="J458" s="6"/>
      <c r="K458" s="6"/>
      <c r="L458" s="6"/>
      <c r="M458" s="2353"/>
    </row>
    <row r="459" spans="1:13" x14ac:dyDescent="0.25">
      <c r="A459" s="2281">
        <f>A458+1</f>
        <v>61</v>
      </c>
      <c r="B459" s="2287">
        <f>B458+1</f>
        <v>56</v>
      </c>
      <c r="C459" s="2436">
        <f t="shared" si="66"/>
        <v>0</v>
      </c>
      <c r="D459" s="408">
        <f t="shared" si="67"/>
        <v>2589.75</v>
      </c>
      <c r="E459" s="2641">
        <f t="shared" si="68"/>
        <v>2500</v>
      </c>
      <c r="F459" s="2642">
        <f t="shared" si="69"/>
        <v>0</v>
      </c>
      <c r="G459" s="2353"/>
      <c r="H459" s="1130">
        <f t="shared" si="70"/>
        <v>2500</v>
      </c>
      <c r="I459" s="2577">
        <f t="shared" si="70"/>
        <v>2589.75</v>
      </c>
      <c r="J459" s="6"/>
      <c r="K459" s="6"/>
      <c r="L459" s="6"/>
      <c r="M459" s="2353"/>
    </row>
    <row r="460" spans="1:13" x14ac:dyDescent="0.25">
      <c r="A460" s="2281">
        <f t="shared" ref="A460:B475" si="71">A459+1</f>
        <v>62</v>
      </c>
      <c r="B460" s="2287">
        <f t="shared" si="71"/>
        <v>57</v>
      </c>
      <c r="C460" s="2436">
        <f t="shared" si="66"/>
        <v>0</v>
      </c>
      <c r="D460" s="408">
        <f t="shared" si="67"/>
        <v>2682.722025</v>
      </c>
      <c r="E460" s="2641">
        <f t="shared" si="68"/>
        <v>2500</v>
      </c>
      <c r="F460" s="2642">
        <f t="shared" si="69"/>
        <v>0</v>
      </c>
      <c r="G460" s="2353"/>
      <c r="H460" s="1130">
        <f t="shared" si="70"/>
        <v>2500</v>
      </c>
      <c r="I460" s="2577">
        <f t="shared" si="70"/>
        <v>2682.722025</v>
      </c>
      <c r="J460" s="6"/>
      <c r="K460" s="6"/>
      <c r="L460" s="6"/>
      <c r="M460" s="2353"/>
    </row>
    <row r="461" spans="1:13" x14ac:dyDescent="0.25">
      <c r="A461" s="2281">
        <f t="shared" si="71"/>
        <v>63</v>
      </c>
      <c r="B461" s="2287">
        <f t="shared" si="71"/>
        <v>58</v>
      </c>
      <c r="C461" s="2436">
        <f t="shared" si="66"/>
        <v>0</v>
      </c>
      <c r="D461" s="408">
        <f t="shared" si="67"/>
        <v>2779.0317456974999</v>
      </c>
      <c r="E461" s="2641">
        <f t="shared" si="68"/>
        <v>2500</v>
      </c>
      <c r="F461" s="2642">
        <f t="shared" si="69"/>
        <v>0</v>
      </c>
      <c r="G461" s="2353"/>
      <c r="H461" s="1130">
        <f t="shared" si="70"/>
        <v>2500</v>
      </c>
      <c r="I461" s="2577">
        <f t="shared" si="70"/>
        <v>2779.0317456974999</v>
      </c>
      <c r="J461" s="6"/>
      <c r="K461" s="6"/>
      <c r="L461" s="6"/>
      <c r="M461" s="2353"/>
    </row>
    <row r="462" spans="1:13" x14ac:dyDescent="0.25">
      <c r="A462" s="2281">
        <f t="shared" si="71"/>
        <v>64</v>
      </c>
      <c r="B462" s="2287">
        <f t="shared" si="71"/>
        <v>59</v>
      </c>
      <c r="C462" s="2436">
        <f t="shared" si="66"/>
        <v>0</v>
      </c>
      <c r="D462" s="408">
        <f t="shared" si="67"/>
        <v>2878.7989853680401</v>
      </c>
      <c r="E462" s="2641">
        <f t="shared" si="68"/>
        <v>2500</v>
      </c>
      <c r="F462" s="2642">
        <f t="shared" si="69"/>
        <v>0</v>
      </c>
      <c r="G462" s="2353"/>
      <c r="H462" s="1130">
        <f t="shared" si="70"/>
        <v>2500</v>
      </c>
      <c r="I462" s="2577">
        <f t="shared" si="70"/>
        <v>2878.7989853680401</v>
      </c>
      <c r="J462" s="6"/>
      <c r="K462" s="6"/>
      <c r="L462" s="6"/>
      <c r="M462" s="2353"/>
    </row>
    <row r="463" spans="1:13" x14ac:dyDescent="0.25">
      <c r="A463" s="2281">
        <f t="shared" si="71"/>
        <v>65</v>
      </c>
      <c r="B463" s="2287">
        <f t="shared" si="71"/>
        <v>60</v>
      </c>
      <c r="C463" s="2436">
        <f t="shared" si="66"/>
        <v>0</v>
      </c>
      <c r="D463" s="408">
        <f t="shared" si="67"/>
        <v>2982.1478689427527</v>
      </c>
      <c r="E463" s="2641">
        <f t="shared" si="68"/>
        <v>0</v>
      </c>
      <c r="F463" s="2642">
        <f t="shared" si="69"/>
        <v>0</v>
      </c>
      <c r="G463" s="2353"/>
      <c r="H463" s="1130">
        <f t="shared" si="70"/>
        <v>0</v>
      </c>
      <c r="I463" s="2577">
        <f t="shared" si="70"/>
        <v>2982.1478689427527</v>
      </c>
      <c r="J463" s="6"/>
      <c r="K463" s="6"/>
      <c r="L463" s="6"/>
      <c r="M463" s="2353"/>
    </row>
    <row r="464" spans="1:13" x14ac:dyDescent="0.25">
      <c r="A464" s="2281">
        <f t="shared" si="71"/>
        <v>66</v>
      </c>
      <c r="B464" s="2287">
        <f t="shared" si="71"/>
        <v>61</v>
      </c>
      <c r="C464" s="2436">
        <f t="shared" si="66"/>
        <v>0</v>
      </c>
      <c r="D464" s="408">
        <f t="shared" si="67"/>
        <v>3089.2069774377978</v>
      </c>
      <c r="E464" s="2641">
        <f t="shared" si="68"/>
        <v>0</v>
      </c>
      <c r="F464" s="2642">
        <f t="shared" si="69"/>
        <v>0</v>
      </c>
      <c r="G464" s="2353"/>
      <c r="H464" s="1130">
        <f t="shared" si="70"/>
        <v>0</v>
      </c>
      <c r="I464" s="2577">
        <f t="shared" si="70"/>
        <v>3089.2069774377978</v>
      </c>
      <c r="J464" s="6"/>
      <c r="K464" s="6"/>
      <c r="L464" s="6"/>
      <c r="M464" s="2353"/>
    </row>
    <row r="465" spans="1:13" x14ac:dyDescent="0.25">
      <c r="A465" s="2281">
        <f t="shared" si="71"/>
        <v>67</v>
      </c>
      <c r="B465" s="2287">
        <f t="shared" si="71"/>
        <v>62</v>
      </c>
      <c r="C465" s="2436">
        <f t="shared" si="66"/>
        <v>0</v>
      </c>
      <c r="D465" s="408">
        <f t="shared" si="67"/>
        <v>3200.1095079278148</v>
      </c>
      <c r="E465" s="2641">
        <f t="shared" si="68"/>
        <v>0</v>
      </c>
      <c r="F465" s="2642">
        <f t="shared" si="69"/>
        <v>0</v>
      </c>
      <c r="G465" s="2353"/>
      <c r="H465" s="1130">
        <f t="shared" si="70"/>
        <v>0</v>
      </c>
      <c r="I465" s="2577">
        <f t="shared" si="70"/>
        <v>3200.1095079278148</v>
      </c>
      <c r="J465" s="6"/>
      <c r="K465" s="6"/>
      <c r="L465" s="6"/>
      <c r="M465" s="2353"/>
    </row>
    <row r="466" spans="1:13" x14ac:dyDescent="0.25">
      <c r="A466" s="2281">
        <f t="shared" si="71"/>
        <v>68</v>
      </c>
      <c r="B466" s="2287">
        <f t="shared" si="71"/>
        <v>63</v>
      </c>
      <c r="C466" s="2436">
        <f t="shared" si="66"/>
        <v>0</v>
      </c>
      <c r="D466" s="408">
        <f t="shared" si="67"/>
        <v>3314.9934392624232</v>
      </c>
      <c r="E466" s="2641">
        <f t="shared" si="68"/>
        <v>0</v>
      </c>
      <c r="F466" s="2642">
        <f t="shared" si="69"/>
        <v>0</v>
      </c>
      <c r="G466" s="2353"/>
      <c r="H466" s="1130">
        <f t="shared" si="70"/>
        <v>0</v>
      </c>
      <c r="I466" s="2577">
        <f t="shared" si="70"/>
        <v>3314.9934392624232</v>
      </c>
      <c r="J466" s="6"/>
      <c r="K466" s="6"/>
      <c r="L466" s="6"/>
      <c r="M466" s="2353"/>
    </row>
    <row r="467" spans="1:13" x14ac:dyDescent="0.25">
      <c r="A467" s="2281">
        <f t="shared" si="71"/>
        <v>69</v>
      </c>
      <c r="B467" s="2287">
        <f t="shared" si="71"/>
        <v>64</v>
      </c>
      <c r="C467" s="2436">
        <f t="shared" si="66"/>
        <v>0</v>
      </c>
      <c r="D467" s="408">
        <f t="shared" si="67"/>
        <v>3434.0017037319444</v>
      </c>
      <c r="E467" s="2641">
        <f t="shared" si="68"/>
        <v>0</v>
      </c>
      <c r="F467" s="2642">
        <f t="shared" si="69"/>
        <v>0</v>
      </c>
      <c r="G467" s="2353"/>
      <c r="H467" s="1130">
        <f t="shared" si="70"/>
        <v>0</v>
      </c>
      <c r="I467" s="2577">
        <f t="shared" si="70"/>
        <v>3434.0017037319444</v>
      </c>
      <c r="J467" s="6"/>
      <c r="K467" s="6"/>
      <c r="L467" s="6"/>
      <c r="M467" s="2353"/>
    </row>
    <row r="468" spans="1:13" x14ac:dyDescent="0.25">
      <c r="A468" s="2281">
        <f t="shared" si="71"/>
        <v>70</v>
      </c>
      <c r="B468" s="2287">
        <f t="shared" si="71"/>
        <v>65</v>
      </c>
      <c r="C468" s="2436">
        <f t="shared" si="66"/>
        <v>0</v>
      </c>
      <c r="D468" s="408">
        <f t="shared" si="67"/>
        <v>0</v>
      </c>
      <c r="E468" s="2641">
        <f t="shared" si="68"/>
        <v>0</v>
      </c>
      <c r="F468" s="2642">
        <f t="shared" si="69"/>
        <v>0</v>
      </c>
      <c r="G468" s="2353"/>
      <c r="H468" s="1130">
        <f t="shared" si="70"/>
        <v>0</v>
      </c>
      <c r="I468" s="2577">
        <f t="shared" si="70"/>
        <v>0</v>
      </c>
      <c r="J468" s="6"/>
      <c r="K468" s="6"/>
      <c r="L468" s="6"/>
      <c r="M468" s="2353"/>
    </row>
    <row r="469" spans="1:13" x14ac:dyDescent="0.25">
      <c r="A469" s="2281">
        <f t="shared" si="71"/>
        <v>71</v>
      </c>
      <c r="B469" s="2287">
        <f t="shared" si="71"/>
        <v>66</v>
      </c>
      <c r="C469" s="2436">
        <f t="shared" si="66"/>
        <v>0</v>
      </c>
      <c r="D469" s="408">
        <f t="shared" si="67"/>
        <v>0</v>
      </c>
      <c r="E469" s="2641">
        <f t="shared" si="68"/>
        <v>0</v>
      </c>
      <c r="F469" s="2642">
        <f t="shared" si="69"/>
        <v>0</v>
      </c>
      <c r="G469" s="2353"/>
      <c r="H469" s="1130">
        <f t="shared" si="70"/>
        <v>0</v>
      </c>
      <c r="I469" s="2577">
        <f t="shared" si="70"/>
        <v>0</v>
      </c>
      <c r="J469" s="6"/>
      <c r="K469" s="6"/>
      <c r="L469" s="6"/>
      <c r="M469" s="2353"/>
    </row>
    <row r="470" spans="1:13" x14ac:dyDescent="0.25">
      <c r="A470" s="2281">
        <f t="shared" si="71"/>
        <v>72</v>
      </c>
      <c r="B470" s="2287">
        <f t="shared" si="71"/>
        <v>67</v>
      </c>
      <c r="C470" s="2436">
        <f t="shared" si="66"/>
        <v>0</v>
      </c>
      <c r="D470" s="408">
        <f t="shared" si="67"/>
        <v>0</v>
      </c>
      <c r="E470" s="2641">
        <f t="shared" si="68"/>
        <v>0</v>
      </c>
      <c r="F470" s="2642">
        <f t="shared" si="69"/>
        <v>0</v>
      </c>
      <c r="G470" s="2353"/>
      <c r="H470" s="1130">
        <f t="shared" si="70"/>
        <v>0</v>
      </c>
      <c r="I470" s="2577">
        <f t="shared" si="70"/>
        <v>0</v>
      </c>
      <c r="J470" s="6"/>
      <c r="K470" s="6"/>
      <c r="L470" s="6"/>
      <c r="M470" s="2353"/>
    </row>
    <row r="471" spans="1:13" x14ac:dyDescent="0.25">
      <c r="A471" s="2281">
        <f t="shared" si="71"/>
        <v>73</v>
      </c>
      <c r="B471" s="2287">
        <f t="shared" si="71"/>
        <v>68</v>
      </c>
      <c r="C471" s="2436">
        <f t="shared" si="66"/>
        <v>0</v>
      </c>
      <c r="D471" s="408">
        <f t="shared" si="67"/>
        <v>0</v>
      </c>
      <c r="E471" s="2641">
        <f t="shared" si="68"/>
        <v>0</v>
      </c>
      <c r="F471" s="2642">
        <f t="shared" si="69"/>
        <v>0</v>
      </c>
      <c r="G471" s="2353"/>
      <c r="H471" s="1130">
        <f t="shared" si="70"/>
        <v>0</v>
      </c>
      <c r="I471" s="2577">
        <f t="shared" si="70"/>
        <v>0</v>
      </c>
      <c r="J471" s="6"/>
      <c r="K471" s="6"/>
      <c r="L471" s="6"/>
      <c r="M471" s="2353"/>
    </row>
    <row r="472" spans="1:13" x14ac:dyDescent="0.25">
      <c r="A472" s="2281">
        <f t="shared" si="71"/>
        <v>74</v>
      </c>
      <c r="B472" s="2287">
        <f t="shared" si="71"/>
        <v>69</v>
      </c>
      <c r="C472" s="2436">
        <f t="shared" si="66"/>
        <v>0</v>
      </c>
      <c r="D472" s="408">
        <f t="shared" si="67"/>
        <v>0</v>
      </c>
      <c r="E472" s="2641">
        <f t="shared" si="68"/>
        <v>0</v>
      </c>
      <c r="F472" s="2642">
        <f t="shared" si="69"/>
        <v>0</v>
      </c>
      <c r="G472" s="2353"/>
      <c r="H472" s="1130">
        <f t="shared" si="70"/>
        <v>0</v>
      </c>
      <c r="I472" s="2577">
        <f t="shared" si="70"/>
        <v>0</v>
      </c>
      <c r="J472" s="6"/>
      <c r="K472" s="6"/>
      <c r="L472" s="6"/>
      <c r="M472" s="2353"/>
    </row>
    <row r="473" spans="1:13" x14ac:dyDescent="0.25">
      <c r="A473" s="2281">
        <f t="shared" si="71"/>
        <v>75</v>
      </c>
      <c r="B473" s="2287">
        <f t="shared" si="71"/>
        <v>70</v>
      </c>
      <c r="C473" s="2436">
        <f t="shared" si="66"/>
        <v>0</v>
      </c>
      <c r="D473" s="408">
        <f t="shared" si="67"/>
        <v>0</v>
      </c>
      <c r="E473" s="2641">
        <f t="shared" si="68"/>
        <v>0</v>
      </c>
      <c r="F473" s="2642">
        <f t="shared" si="69"/>
        <v>0</v>
      </c>
      <c r="G473" s="2353"/>
      <c r="H473" s="1130">
        <f t="shared" si="70"/>
        <v>0</v>
      </c>
      <c r="I473" s="2577">
        <f t="shared" si="70"/>
        <v>0</v>
      </c>
      <c r="J473" s="6"/>
      <c r="K473" s="6"/>
      <c r="L473" s="6"/>
      <c r="M473" s="2353"/>
    </row>
    <row r="474" spans="1:13" x14ac:dyDescent="0.25">
      <c r="A474" s="2281">
        <f t="shared" si="71"/>
        <v>76</v>
      </c>
      <c r="B474" s="2287">
        <f t="shared" si="71"/>
        <v>71</v>
      </c>
      <c r="C474" s="2436">
        <f t="shared" si="66"/>
        <v>0</v>
      </c>
      <c r="D474" s="408">
        <f t="shared" si="67"/>
        <v>0</v>
      </c>
      <c r="E474" s="2641">
        <f t="shared" si="68"/>
        <v>0</v>
      </c>
      <c r="F474" s="2642">
        <f t="shared" si="69"/>
        <v>0</v>
      </c>
      <c r="G474" s="2353"/>
      <c r="H474" s="1130">
        <f t="shared" si="70"/>
        <v>0</v>
      </c>
      <c r="I474" s="2577">
        <f t="shared" si="70"/>
        <v>0</v>
      </c>
      <c r="J474" s="6"/>
      <c r="K474" s="6"/>
      <c r="L474" s="6"/>
      <c r="M474" s="2353"/>
    </row>
    <row r="475" spans="1:13" x14ac:dyDescent="0.25">
      <c r="A475" s="2281">
        <f t="shared" si="71"/>
        <v>77</v>
      </c>
      <c r="B475" s="2287">
        <f t="shared" si="71"/>
        <v>72</v>
      </c>
      <c r="C475" s="2436">
        <f t="shared" si="66"/>
        <v>0</v>
      </c>
      <c r="D475" s="408">
        <f t="shared" si="67"/>
        <v>0</v>
      </c>
      <c r="E475" s="2641">
        <f t="shared" si="68"/>
        <v>0</v>
      </c>
      <c r="F475" s="2642">
        <f t="shared" si="69"/>
        <v>0</v>
      </c>
      <c r="G475" s="2353"/>
      <c r="H475" s="1130">
        <f t="shared" si="70"/>
        <v>0</v>
      </c>
      <c r="I475" s="2577">
        <f t="shared" si="70"/>
        <v>0</v>
      </c>
      <c r="J475" s="6"/>
      <c r="K475" s="6"/>
      <c r="L475" s="6"/>
      <c r="M475" s="2353"/>
    </row>
    <row r="476" spans="1:13" x14ac:dyDescent="0.25">
      <c r="A476" s="2281">
        <f t="shared" ref="A476:B491" si="72">A475+1</f>
        <v>78</v>
      </c>
      <c r="B476" s="2287">
        <f t="shared" si="72"/>
        <v>73</v>
      </c>
      <c r="C476" s="2436">
        <f t="shared" si="66"/>
        <v>0</v>
      </c>
      <c r="D476" s="408">
        <f t="shared" si="67"/>
        <v>0</v>
      </c>
      <c r="E476" s="2641">
        <f t="shared" si="68"/>
        <v>0</v>
      </c>
      <c r="F476" s="2642">
        <f t="shared" si="69"/>
        <v>0</v>
      </c>
      <c r="G476" s="2353"/>
      <c r="H476" s="1130">
        <f t="shared" si="70"/>
        <v>0</v>
      </c>
      <c r="I476" s="2577">
        <f t="shared" si="70"/>
        <v>0</v>
      </c>
      <c r="J476" s="6"/>
      <c r="K476" s="6"/>
      <c r="L476" s="6"/>
      <c r="M476" s="2353"/>
    </row>
    <row r="477" spans="1:13" x14ac:dyDescent="0.25">
      <c r="A477" s="2281">
        <f t="shared" si="72"/>
        <v>79</v>
      </c>
      <c r="B477" s="2287">
        <f t="shared" si="72"/>
        <v>74</v>
      </c>
      <c r="C477" s="2436">
        <f t="shared" si="66"/>
        <v>0</v>
      </c>
      <c r="D477" s="408">
        <f t="shared" si="67"/>
        <v>0</v>
      </c>
      <c r="E477" s="2641">
        <f t="shared" si="68"/>
        <v>0</v>
      </c>
      <c r="F477" s="2642">
        <f t="shared" si="69"/>
        <v>0</v>
      </c>
      <c r="G477" s="2353"/>
      <c r="H477" s="1130">
        <f t="shared" si="70"/>
        <v>0</v>
      </c>
      <c r="I477" s="2577">
        <f t="shared" si="70"/>
        <v>0</v>
      </c>
      <c r="J477" s="6"/>
      <c r="K477" s="6"/>
      <c r="L477" s="6"/>
      <c r="M477" s="2353"/>
    </row>
    <row r="478" spans="1:13" x14ac:dyDescent="0.25">
      <c r="A478" s="2281">
        <f t="shared" si="72"/>
        <v>80</v>
      </c>
      <c r="B478" s="2287">
        <f t="shared" si="72"/>
        <v>75</v>
      </c>
      <c r="C478" s="2436">
        <f t="shared" si="66"/>
        <v>0</v>
      </c>
      <c r="D478" s="408">
        <f t="shared" si="67"/>
        <v>0</v>
      </c>
      <c r="E478" s="2641">
        <f t="shared" si="68"/>
        <v>0</v>
      </c>
      <c r="F478" s="2642">
        <f t="shared" si="69"/>
        <v>0</v>
      </c>
      <c r="G478" s="2353"/>
      <c r="H478" s="1130">
        <f t="shared" si="70"/>
        <v>0</v>
      </c>
      <c r="I478" s="2577">
        <f t="shared" si="70"/>
        <v>0</v>
      </c>
      <c r="J478" s="6"/>
      <c r="K478" s="6"/>
      <c r="L478" s="6"/>
      <c r="M478" s="2353"/>
    </row>
    <row r="479" spans="1:13" x14ac:dyDescent="0.25">
      <c r="A479" s="2281">
        <f t="shared" si="72"/>
        <v>81</v>
      </c>
      <c r="B479" s="2287">
        <f t="shared" si="72"/>
        <v>76</v>
      </c>
      <c r="C479" s="2436">
        <f t="shared" si="66"/>
        <v>0</v>
      </c>
      <c r="D479" s="408">
        <f t="shared" si="67"/>
        <v>0</v>
      </c>
      <c r="E479" s="2641">
        <f t="shared" si="68"/>
        <v>0</v>
      </c>
      <c r="F479" s="2642">
        <f t="shared" si="69"/>
        <v>0</v>
      </c>
      <c r="G479" s="2353"/>
      <c r="H479" s="1130">
        <f t="shared" si="70"/>
        <v>0</v>
      </c>
      <c r="I479" s="2577">
        <f t="shared" si="70"/>
        <v>0</v>
      </c>
      <c r="J479" s="6"/>
      <c r="K479" s="6"/>
      <c r="L479" s="6"/>
      <c r="M479" s="2353"/>
    </row>
    <row r="480" spans="1:13" x14ac:dyDescent="0.25">
      <c r="A480" s="2281">
        <f t="shared" si="72"/>
        <v>82</v>
      </c>
      <c r="B480" s="2287">
        <f t="shared" si="72"/>
        <v>77</v>
      </c>
      <c r="C480" s="2436">
        <f t="shared" si="66"/>
        <v>0</v>
      </c>
      <c r="D480" s="408">
        <f t="shared" si="67"/>
        <v>0</v>
      </c>
      <c r="E480" s="2641">
        <f t="shared" si="68"/>
        <v>0</v>
      </c>
      <c r="F480" s="2642">
        <f t="shared" si="69"/>
        <v>0</v>
      </c>
      <c r="G480" s="2353"/>
      <c r="H480" s="1130">
        <f t="shared" si="70"/>
        <v>0</v>
      </c>
      <c r="I480" s="2577">
        <f t="shared" si="70"/>
        <v>0</v>
      </c>
      <c r="J480" s="6"/>
      <c r="K480" s="6"/>
      <c r="L480" s="6"/>
      <c r="M480" s="2353"/>
    </row>
    <row r="481" spans="1:13" x14ac:dyDescent="0.25">
      <c r="A481" s="2281">
        <f t="shared" si="72"/>
        <v>83</v>
      </c>
      <c r="B481" s="2287">
        <f t="shared" si="72"/>
        <v>78</v>
      </c>
      <c r="C481" s="2436">
        <f t="shared" si="66"/>
        <v>0</v>
      </c>
      <c r="D481" s="408">
        <f t="shared" si="67"/>
        <v>0</v>
      </c>
      <c r="E481" s="2641">
        <f t="shared" si="68"/>
        <v>0</v>
      </c>
      <c r="F481" s="2642">
        <f t="shared" si="69"/>
        <v>0</v>
      </c>
      <c r="G481" s="2353"/>
      <c r="H481" s="1130">
        <f t="shared" si="70"/>
        <v>0</v>
      </c>
      <c r="I481" s="2577">
        <f t="shared" si="70"/>
        <v>0</v>
      </c>
      <c r="J481" s="6"/>
      <c r="K481" s="6"/>
      <c r="L481" s="6"/>
      <c r="M481" s="2353"/>
    </row>
    <row r="482" spans="1:13" x14ac:dyDescent="0.25">
      <c r="A482" s="2281">
        <f t="shared" si="72"/>
        <v>84</v>
      </c>
      <c r="B482" s="2287">
        <f t="shared" si="72"/>
        <v>79</v>
      </c>
      <c r="C482" s="2436">
        <f t="shared" si="66"/>
        <v>0</v>
      </c>
      <c r="D482" s="408">
        <f t="shared" si="67"/>
        <v>0</v>
      </c>
      <c r="E482" s="2641">
        <f t="shared" si="68"/>
        <v>0</v>
      </c>
      <c r="F482" s="2642">
        <f t="shared" si="69"/>
        <v>0</v>
      </c>
      <c r="G482" s="2353"/>
      <c r="H482" s="1130">
        <f t="shared" si="70"/>
        <v>0</v>
      </c>
      <c r="I482" s="2577">
        <f t="shared" si="70"/>
        <v>0</v>
      </c>
      <c r="J482" s="6"/>
      <c r="K482" s="6"/>
      <c r="L482" s="6"/>
      <c r="M482" s="2353"/>
    </row>
    <row r="483" spans="1:13" x14ac:dyDescent="0.25">
      <c r="A483" s="2281">
        <f t="shared" si="72"/>
        <v>85</v>
      </c>
      <c r="B483" s="2287">
        <f t="shared" si="72"/>
        <v>80</v>
      </c>
      <c r="C483" s="2436">
        <f t="shared" si="66"/>
        <v>0</v>
      </c>
      <c r="D483" s="408">
        <f t="shared" si="67"/>
        <v>0</v>
      </c>
      <c r="E483" s="2641">
        <f t="shared" si="68"/>
        <v>0</v>
      </c>
      <c r="F483" s="2642">
        <f t="shared" si="69"/>
        <v>0</v>
      </c>
      <c r="G483" s="2353"/>
      <c r="H483" s="1130">
        <f t="shared" si="70"/>
        <v>0</v>
      </c>
      <c r="I483" s="2577">
        <f t="shared" si="70"/>
        <v>0</v>
      </c>
      <c r="J483" s="6"/>
      <c r="K483" s="6"/>
      <c r="L483" s="6"/>
      <c r="M483" s="2353"/>
    </row>
    <row r="484" spans="1:13" x14ac:dyDescent="0.25">
      <c r="A484" s="2281">
        <f t="shared" si="72"/>
        <v>86</v>
      </c>
      <c r="B484" s="2287">
        <f t="shared" si="72"/>
        <v>81</v>
      </c>
      <c r="C484" s="2436">
        <f t="shared" si="66"/>
        <v>0</v>
      </c>
      <c r="D484" s="408">
        <f t="shared" si="67"/>
        <v>0</v>
      </c>
      <c r="E484" s="2641">
        <f t="shared" si="68"/>
        <v>0</v>
      </c>
      <c r="F484" s="2642">
        <f t="shared" si="69"/>
        <v>0</v>
      </c>
      <c r="G484" s="2353"/>
      <c r="H484" s="1130">
        <f t="shared" si="70"/>
        <v>0</v>
      </c>
      <c r="I484" s="2577">
        <f t="shared" si="70"/>
        <v>0</v>
      </c>
      <c r="J484" s="6"/>
      <c r="K484" s="6"/>
      <c r="L484" s="6"/>
      <c r="M484" s="2353"/>
    </row>
    <row r="485" spans="1:13" x14ac:dyDescent="0.25">
      <c r="A485" s="2281">
        <f t="shared" si="72"/>
        <v>87</v>
      </c>
      <c r="B485" s="2287">
        <f t="shared" si="72"/>
        <v>82</v>
      </c>
      <c r="C485" s="2436">
        <f t="shared" si="66"/>
        <v>0</v>
      </c>
      <c r="D485" s="408">
        <f t="shared" si="67"/>
        <v>0</v>
      </c>
      <c r="E485" s="2641">
        <f t="shared" si="68"/>
        <v>0</v>
      </c>
      <c r="F485" s="2642">
        <f t="shared" si="69"/>
        <v>0</v>
      </c>
      <c r="G485" s="2353"/>
      <c r="H485" s="1130">
        <f t="shared" si="70"/>
        <v>0</v>
      </c>
      <c r="I485" s="2577">
        <f t="shared" si="70"/>
        <v>0</v>
      </c>
      <c r="J485" s="6"/>
      <c r="K485" s="6"/>
      <c r="L485" s="6"/>
      <c r="M485" s="2353"/>
    </row>
    <row r="486" spans="1:13" x14ac:dyDescent="0.25">
      <c r="A486" s="2281">
        <f t="shared" si="72"/>
        <v>88</v>
      </c>
      <c r="B486" s="2287">
        <f t="shared" si="72"/>
        <v>83</v>
      </c>
      <c r="C486" s="2436">
        <f t="shared" si="66"/>
        <v>0</v>
      </c>
      <c r="D486" s="408">
        <f t="shared" si="67"/>
        <v>0</v>
      </c>
      <c r="E486" s="2641">
        <f t="shared" si="68"/>
        <v>0</v>
      </c>
      <c r="F486" s="2642">
        <f t="shared" si="69"/>
        <v>0</v>
      </c>
      <c r="G486" s="2353"/>
      <c r="H486" s="1130">
        <f t="shared" si="70"/>
        <v>0</v>
      </c>
      <c r="I486" s="2577">
        <f t="shared" si="70"/>
        <v>0</v>
      </c>
      <c r="J486" s="6"/>
      <c r="K486" s="6"/>
      <c r="L486" s="6"/>
      <c r="M486" s="2353"/>
    </row>
    <row r="487" spans="1:13" x14ac:dyDescent="0.25">
      <c r="A487" s="2281">
        <f t="shared" si="72"/>
        <v>89</v>
      </c>
      <c r="B487" s="2287">
        <f t="shared" si="72"/>
        <v>84</v>
      </c>
      <c r="C487" s="2436">
        <f t="shared" si="66"/>
        <v>0</v>
      </c>
      <c r="D487" s="408">
        <f t="shared" si="67"/>
        <v>0</v>
      </c>
      <c r="E487" s="2641">
        <f t="shared" si="68"/>
        <v>0</v>
      </c>
      <c r="F487" s="2642">
        <f t="shared" si="69"/>
        <v>0</v>
      </c>
      <c r="G487" s="2353"/>
      <c r="H487" s="1130">
        <f t="shared" si="70"/>
        <v>0</v>
      </c>
      <c r="I487" s="2577">
        <f t="shared" si="70"/>
        <v>0</v>
      </c>
      <c r="J487" s="6"/>
      <c r="K487" s="6"/>
      <c r="L487" s="6"/>
      <c r="M487" s="2353"/>
    </row>
    <row r="488" spans="1:13" x14ac:dyDescent="0.25">
      <c r="A488" s="2281">
        <f t="shared" si="72"/>
        <v>90</v>
      </c>
      <c r="B488" s="2287">
        <f t="shared" si="72"/>
        <v>85</v>
      </c>
      <c r="C488" s="2436">
        <f t="shared" si="66"/>
        <v>0</v>
      </c>
      <c r="D488" s="408">
        <f t="shared" si="67"/>
        <v>0</v>
      </c>
      <c r="E488" s="2641">
        <f t="shared" si="68"/>
        <v>0</v>
      </c>
      <c r="F488" s="2642">
        <f t="shared" si="69"/>
        <v>0</v>
      </c>
      <c r="G488" s="2353"/>
      <c r="H488" s="1130">
        <f t="shared" si="70"/>
        <v>0</v>
      </c>
      <c r="I488" s="2577">
        <f t="shared" si="70"/>
        <v>0</v>
      </c>
      <c r="J488" s="6"/>
      <c r="K488" s="6"/>
      <c r="L488" s="6"/>
      <c r="M488" s="2353"/>
    </row>
    <row r="489" spans="1:13" x14ac:dyDescent="0.25">
      <c r="A489" s="2281">
        <f t="shared" si="72"/>
        <v>91</v>
      </c>
      <c r="B489" s="2287">
        <f t="shared" si="72"/>
        <v>86</v>
      </c>
      <c r="C489" s="2436">
        <f t="shared" si="66"/>
        <v>0</v>
      </c>
      <c r="D489" s="408">
        <f t="shared" si="67"/>
        <v>0</v>
      </c>
      <c r="E489" s="2641">
        <f t="shared" si="68"/>
        <v>0</v>
      </c>
      <c r="F489" s="2642">
        <f t="shared" si="69"/>
        <v>0</v>
      </c>
      <c r="G489" s="2353"/>
      <c r="H489" s="1130">
        <f t="shared" si="70"/>
        <v>0</v>
      </c>
      <c r="I489" s="2577">
        <f t="shared" si="70"/>
        <v>0</v>
      </c>
      <c r="J489" s="6"/>
      <c r="K489" s="6"/>
      <c r="L489" s="6"/>
      <c r="M489" s="2353"/>
    </row>
    <row r="490" spans="1:13" x14ac:dyDescent="0.25">
      <c r="A490" s="2281">
        <f t="shared" si="72"/>
        <v>92</v>
      </c>
      <c r="B490" s="2287">
        <f t="shared" si="72"/>
        <v>87</v>
      </c>
      <c r="C490" s="2436">
        <f t="shared" si="66"/>
        <v>0</v>
      </c>
      <c r="D490" s="408">
        <f t="shared" si="67"/>
        <v>0</v>
      </c>
      <c r="E490" s="2641">
        <f t="shared" si="68"/>
        <v>0</v>
      </c>
      <c r="F490" s="2642">
        <f t="shared" si="69"/>
        <v>0</v>
      </c>
      <c r="G490" s="2353"/>
      <c r="H490" s="1130">
        <f t="shared" si="70"/>
        <v>0</v>
      </c>
      <c r="I490" s="2577">
        <f t="shared" si="70"/>
        <v>0</v>
      </c>
      <c r="J490" s="6"/>
      <c r="K490" s="6"/>
      <c r="L490" s="6"/>
      <c r="M490" s="2353"/>
    </row>
    <row r="491" spans="1:13" x14ac:dyDescent="0.25">
      <c r="A491" s="2281">
        <f t="shared" si="72"/>
        <v>93</v>
      </c>
      <c r="B491" s="2287">
        <f t="shared" si="72"/>
        <v>88</v>
      </c>
      <c r="C491" s="2436">
        <f t="shared" si="66"/>
        <v>0</v>
      </c>
      <c r="D491" s="408">
        <f t="shared" si="67"/>
        <v>0</v>
      </c>
      <c r="E491" s="2641">
        <f t="shared" si="68"/>
        <v>0</v>
      </c>
      <c r="F491" s="2642">
        <f t="shared" si="69"/>
        <v>0</v>
      </c>
      <c r="G491" s="2353"/>
      <c r="H491" s="1130">
        <f t="shared" si="70"/>
        <v>0</v>
      </c>
      <c r="I491" s="2577">
        <f t="shared" si="70"/>
        <v>0</v>
      </c>
      <c r="J491" s="6"/>
      <c r="K491" s="6"/>
      <c r="L491" s="6"/>
      <c r="M491" s="2353"/>
    </row>
    <row r="492" spans="1:13" x14ac:dyDescent="0.25">
      <c r="A492" s="2281">
        <f t="shared" ref="A492:B494" si="73">A491+1</f>
        <v>94</v>
      </c>
      <c r="B492" s="2287">
        <f t="shared" si="73"/>
        <v>89</v>
      </c>
      <c r="C492" s="2436">
        <f t="shared" si="66"/>
        <v>0</v>
      </c>
      <c r="D492" s="408">
        <f t="shared" si="67"/>
        <v>0</v>
      </c>
      <c r="E492" s="2641">
        <f t="shared" si="68"/>
        <v>0</v>
      </c>
      <c r="F492" s="2642">
        <f t="shared" si="69"/>
        <v>0</v>
      </c>
      <c r="G492" s="2353"/>
      <c r="H492" s="1130">
        <f t="shared" si="70"/>
        <v>0</v>
      </c>
      <c r="I492" s="2577">
        <f t="shared" si="70"/>
        <v>0</v>
      </c>
      <c r="J492" s="6"/>
      <c r="K492" s="6"/>
      <c r="L492" s="6"/>
      <c r="M492" s="2353"/>
    </row>
    <row r="493" spans="1:13" x14ac:dyDescent="0.25">
      <c r="A493" s="2281">
        <f t="shared" si="73"/>
        <v>95</v>
      </c>
      <c r="B493" s="2287">
        <f t="shared" si="73"/>
        <v>90</v>
      </c>
      <c r="C493" s="2436">
        <f t="shared" si="66"/>
        <v>0</v>
      </c>
      <c r="D493" s="408">
        <f t="shared" si="67"/>
        <v>0</v>
      </c>
      <c r="E493" s="2641">
        <f t="shared" si="68"/>
        <v>0</v>
      </c>
      <c r="F493" s="2642">
        <f t="shared" si="69"/>
        <v>0</v>
      </c>
      <c r="G493" s="2353"/>
      <c r="H493" s="1130">
        <f t="shared" si="70"/>
        <v>0</v>
      </c>
      <c r="I493" s="2577">
        <f t="shared" si="70"/>
        <v>0</v>
      </c>
      <c r="J493" s="6"/>
      <c r="K493" s="6"/>
      <c r="L493" s="6"/>
      <c r="M493" s="2353"/>
    </row>
    <row r="494" spans="1:13" ht="15.75" thickBot="1" x14ac:dyDescent="0.3">
      <c r="A494" s="2285">
        <f t="shared" si="73"/>
        <v>96</v>
      </c>
      <c r="B494" s="2288">
        <f t="shared" si="73"/>
        <v>91</v>
      </c>
      <c r="C494" s="2437">
        <f t="shared" si="66"/>
        <v>0</v>
      </c>
      <c r="D494" s="2393">
        <f t="shared" si="67"/>
        <v>0</v>
      </c>
      <c r="E494" s="2643">
        <f t="shared" si="68"/>
        <v>0</v>
      </c>
      <c r="F494" s="2644">
        <f t="shared" si="69"/>
        <v>0</v>
      </c>
      <c r="G494" s="1948"/>
      <c r="H494" s="2578">
        <f t="shared" si="70"/>
        <v>0</v>
      </c>
      <c r="I494" s="2579">
        <f t="shared" si="70"/>
        <v>0</v>
      </c>
      <c r="J494" s="2073"/>
      <c r="K494" s="1314"/>
      <c r="L494" s="1315"/>
      <c r="M494" s="2353"/>
    </row>
    <row r="495" spans="1:13" ht="15.75" thickTop="1" x14ac:dyDescent="0.25">
      <c r="A495" s="2281"/>
      <c r="B495" s="684"/>
      <c r="C495" s="1295"/>
      <c r="D495" s="1295"/>
      <c r="E495" s="2254"/>
      <c r="F495" s="6"/>
      <c r="G495" s="6"/>
      <c r="H495" s="6"/>
      <c r="I495" s="6"/>
      <c r="J495" s="6"/>
      <c r="K495" s="6"/>
      <c r="L495" s="6"/>
      <c r="M495" s="1311"/>
    </row>
    <row r="496" spans="1:13" ht="15.75" thickBot="1" x14ac:dyDescent="0.3">
      <c r="A496" s="2281"/>
      <c r="B496" s="684"/>
      <c r="C496" s="1295"/>
      <c r="D496" s="1295"/>
      <c r="E496" s="2254"/>
      <c r="F496" s="6"/>
      <c r="G496" s="6"/>
      <c r="H496" s="6"/>
      <c r="I496" s="6"/>
      <c r="J496" s="6"/>
      <c r="K496" s="6"/>
      <c r="L496" s="6"/>
      <c r="M496" s="1311"/>
    </row>
    <row r="497" spans="1:13" ht="19.5" thickTop="1" x14ac:dyDescent="0.3">
      <c r="A497" s="1340" t="s">
        <v>2142</v>
      </c>
      <c r="B497" s="1341"/>
      <c r="C497" s="1341"/>
      <c r="D497" s="1341"/>
      <c r="E497" s="1341"/>
      <c r="F497" s="1341"/>
      <c r="G497" s="1341"/>
      <c r="H497" s="1341"/>
      <c r="I497" s="1341"/>
      <c r="J497" s="1341"/>
      <c r="K497" s="1341"/>
      <c r="L497" s="1342"/>
      <c r="M497" s="2353"/>
    </row>
    <row r="498" spans="1:13" x14ac:dyDescent="0.25">
      <c r="A498" s="1416" t="s">
        <v>479</v>
      </c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1311"/>
      <c r="M498" s="1311"/>
    </row>
    <row r="499" spans="1:13" x14ac:dyDescent="0.25">
      <c r="A499" s="1416" t="s">
        <v>480</v>
      </c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1311"/>
      <c r="M499" s="1311"/>
    </row>
    <row r="500" spans="1:13" x14ac:dyDescent="0.25">
      <c r="A500" s="1416" t="s">
        <v>2141</v>
      </c>
      <c r="B500" s="6"/>
      <c r="C500" s="6"/>
      <c r="D500" s="6"/>
      <c r="E500" s="6"/>
      <c r="F500" s="6"/>
      <c r="G500" s="6"/>
      <c r="I500" s="2629"/>
      <c r="J500" s="6"/>
      <c r="K500" s="6"/>
      <c r="L500" s="1311"/>
      <c r="M500" s="1311"/>
    </row>
    <row r="501" spans="1:13" x14ac:dyDescent="0.25">
      <c r="A501" s="1416"/>
      <c r="B501" s="6"/>
      <c r="C501" s="6"/>
      <c r="D501" s="6"/>
      <c r="E501" s="6"/>
      <c r="F501" s="6"/>
      <c r="G501" s="6"/>
      <c r="I501" s="6"/>
      <c r="J501" s="6"/>
      <c r="K501" s="6"/>
      <c r="L501" s="1311"/>
      <c r="M501" s="1311"/>
    </row>
    <row r="502" spans="1:13" ht="15.75" thickBot="1" x14ac:dyDescent="0.3">
      <c r="A502" s="1504"/>
      <c r="B502" s="1314"/>
      <c r="C502" s="1314"/>
      <c r="D502" s="1314"/>
      <c r="E502" s="1314"/>
      <c r="F502" s="1314"/>
      <c r="G502" s="1314"/>
      <c r="H502" s="1314"/>
      <c r="I502" s="1314"/>
      <c r="J502" s="6"/>
      <c r="K502" s="6"/>
      <c r="L502" s="1311"/>
      <c r="M502" s="1311"/>
    </row>
    <row r="503" spans="1:13" ht="62.25" thickTop="1" thickBot="1" x14ac:dyDescent="0.3">
      <c r="A503" s="2588" t="s">
        <v>142</v>
      </c>
      <c r="B503" s="2589" t="s">
        <v>143</v>
      </c>
      <c r="C503" s="512" t="s">
        <v>2143</v>
      </c>
      <c r="D503" s="512" t="s">
        <v>2144</v>
      </c>
      <c r="E503" s="453" t="s">
        <v>2145</v>
      </c>
      <c r="F503" s="453" t="s">
        <v>2146</v>
      </c>
      <c r="G503" s="2590"/>
      <c r="H503" s="431" t="s">
        <v>2147</v>
      </c>
      <c r="I503" s="431" t="s">
        <v>2148</v>
      </c>
      <c r="J503" s="2527"/>
      <c r="K503" s="515"/>
      <c r="L503" s="2445"/>
      <c r="M503" s="1311"/>
    </row>
    <row r="504" spans="1:13" ht="15.75" thickTop="1" x14ac:dyDescent="0.25">
      <c r="A504" s="2572">
        <f>'1. AgeData'!$D$30</f>
        <v>60</v>
      </c>
      <c r="B504" s="2591">
        <f>'1. AgeData'!$D$31</f>
        <v>55</v>
      </c>
      <c r="C504" s="2574">
        <f t="shared" ref="C504:C540" si="74">IF($I$16&lt;&gt;"yes",0,SUMIF($B$703:$B$805,("="&amp;A504),$C$703:$C$805))</f>
        <v>0</v>
      </c>
      <c r="D504" s="1447">
        <f t="shared" ref="D504:D540" si="75">IF($I$16&lt;&gt;"yes",0,SUMIF($F$703:$F$805,("="&amp;B504),$G$703:$G$805))</f>
        <v>0</v>
      </c>
      <c r="E504" s="3154">
        <f>IF($I$16&lt;&gt;"yes",0,SUMIF($F$804:$F$906,("="&amp;A498),$I$804:$I$906))</f>
        <v>0</v>
      </c>
      <c r="F504" s="3155">
        <f t="shared" ref="F504:F540" si="76">IF($I$16&lt;&gt;"yes",0,SUMIF($J$811:$J$913,("="&amp;B504),$K$811:$K$913))</f>
        <v>0</v>
      </c>
      <c r="G504" s="2633"/>
      <c r="H504" s="2592">
        <f>C504+E504</f>
        <v>0</v>
      </c>
      <c r="I504" s="2576">
        <f>D504+F504</f>
        <v>0</v>
      </c>
      <c r="J504" s="2593"/>
      <c r="K504" s="1130"/>
      <c r="L504" s="2577"/>
      <c r="M504" s="1311"/>
    </row>
    <row r="505" spans="1:13" x14ac:dyDescent="0.25">
      <c r="A505" s="2594">
        <f>A504+1</f>
        <v>61</v>
      </c>
      <c r="B505" s="31">
        <f>B504+1</f>
        <v>56</v>
      </c>
      <c r="C505" s="2436">
        <f t="shared" si="74"/>
        <v>0</v>
      </c>
      <c r="D505" s="408">
        <f t="shared" si="75"/>
        <v>0</v>
      </c>
      <c r="E505" s="3156">
        <f>IF($I$16&lt;&gt;"yes",0,SUMIF($F$804:$F$906,("="&amp;A499),$I$804:$I$906))</f>
        <v>0</v>
      </c>
      <c r="F505" s="3157">
        <f t="shared" si="76"/>
        <v>0</v>
      </c>
      <c r="G505" s="1570"/>
      <c r="H505" s="2595">
        <f t="shared" ref="H505:H540" si="77">C505+E505</f>
        <v>0</v>
      </c>
      <c r="I505" s="2577">
        <f t="shared" ref="I505:I540" si="78">D505+F505</f>
        <v>0</v>
      </c>
      <c r="J505" s="2593"/>
      <c r="K505" s="1130"/>
      <c r="L505" s="2577"/>
      <c r="M505" s="1311"/>
    </row>
    <row r="506" spans="1:13" x14ac:dyDescent="0.25">
      <c r="A506" s="2594">
        <f t="shared" ref="A506:A540" si="79">A505+1</f>
        <v>62</v>
      </c>
      <c r="B506" s="31">
        <f t="shared" ref="B506:B540" si="80">B505+1</f>
        <v>57</v>
      </c>
      <c r="C506" s="2436">
        <f t="shared" si="74"/>
        <v>0</v>
      </c>
      <c r="D506" s="408">
        <f t="shared" si="75"/>
        <v>0</v>
      </c>
      <c r="E506" s="3156">
        <f>IF($I$16&lt;&gt;"yes",0,SUMIF($F$804:$F$906,("="&amp;A500),$I$804:$I$906))</f>
        <v>0</v>
      </c>
      <c r="F506" s="3157">
        <f t="shared" si="76"/>
        <v>0</v>
      </c>
      <c r="G506" s="1570"/>
      <c r="H506" s="2595">
        <f t="shared" si="77"/>
        <v>0</v>
      </c>
      <c r="I506" s="2577">
        <f t="shared" si="78"/>
        <v>0</v>
      </c>
      <c r="J506" s="2593"/>
      <c r="K506" s="1130"/>
      <c r="L506" s="2577"/>
      <c r="M506" s="1311"/>
    </row>
    <row r="507" spans="1:13" x14ac:dyDescent="0.25">
      <c r="A507" s="2594">
        <f t="shared" si="79"/>
        <v>63</v>
      </c>
      <c r="B507" s="31">
        <f t="shared" si="80"/>
        <v>58</v>
      </c>
      <c r="C507" s="2436">
        <f t="shared" si="74"/>
        <v>1167.3288</v>
      </c>
      <c r="D507" s="408">
        <f t="shared" si="75"/>
        <v>0</v>
      </c>
      <c r="E507" s="3156">
        <f>IF($I$16&lt;&gt;"yes",0,SUMIF($F$804:$F$906,("="&amp;A501),$I$804:$I$906))</f>
        <v>0</v>
      </c>
      <c r="F507" s="3157">
        <f t="shared" si="76"/>
        <v>0</v>
      </c>
      <c r="G507" s="1570"/>
      <c r="H507" s="2595">
        <f t="shared" si="77"/>
        <v>1167.3288</v>
      </c>
      <c r="I507" s="2577">
        <f t="shared" si="78"/>
        <v>0</v>
      </c>
      <c r="J507" s="2593"/>
      <c r="K507" s="1130"/>
      <c r="L507" s="2577"/>
      <c r="M507" s="1311"/>
    </row>
    <row r="508" spans="1:13" x14ac:dyDescent="0.25">
      <c r="A508" s="2594">
        <f t="shared" si="79"/>
        <v>64</v>
      </c>
      <c r="B508" s="31">
        <f t="shared" si="80"/>
        <v>59</v>
      </c>
      <c r="C508" s="2436">
        <f t="shared" si="74"/>
        <v>0</v>
      </c>
      <c r="D508" s="408">
        <f t="shared" si="75"/>
        <v>1028.3105519999999</v>
      </c>
      <c r="E508" s="3156">
        <f>IF($I$16&lt;&gt;"yes",0,SUMIF($F$804:$F$906,("="&amp;#REF!),$I$804:$I$906))</f>
        <v>0</v>
      </c>
      <c r="F508" s="3157">
        <f t="shared" si="76"/>
        <v>0</v>
      </c>
      <c r="G508" s="1570"/>
      <c r="H508" s="2595">
        <f t="shared" si="77"/>
        <v>0</v>
      </c>
      <c r="I508" s="2577">
        <f t="shared" si="78"/>
        <v>1028.3105519999999</v>
      </c>
      <c r="J508" s="2593"/>
      <c r="K508" s="1130"/>
      <c r="L508" s="2577"/>
      <c r="M508" s="1311"/>
    </row>
    <row r="509" spans="1:13" x14ac:dyDescent="0.25">
      <c r="A509" s="2594">
        <f t="shared" si="79"/>
        <v>65</v>
      </c>
      <c r="B509" s="31">
        <f t="shared" si="80"/>
        <v>60</v>
      </c>
      <c r="C509" s="2436">
        <f t="shared" si="74"/>
        <v>0</v>
      </c>
      <c r="D509" s="408">
        <f t="shared" si="75"/>
        <v>0</v>
      </c>
      <c r="E509" s="3156">
        <f t="shared" ref="E509:E540" si="81">IF($I$16&lt;&gt;"yes",0,SUMIF($F$804:$F$906,("="&amp;A502),$I$804:$I$906))</f>
        <v>0</v>
      </c>
      <c r="F509" s="3157">
        <f t="shared" si="76"/>
        <v>0</v>
      </c>
      <c r="G509" s="1570"/>
      <c r="H509" s="2595">
        <f t="shared" si="77"/>
        <v>0</v>
      </c>
      <c r="I509" s="2577">
        <f t="shared" si="78"/>
        <v>0</v>
      </c>
      <c r="J509" s="2593"/>
      <c r="K509" s="1130"/>
      <c r="L509" s="2577"/>
      <c r="M509" s="1311"/>
    </row>
    <row r="510" spans="1:13" x14ac:dyDescent="0.25">
      <c r="A510" s="2594">
        <f t="shared" si="79"/>
        <v>66</v>
      </c>
      <c r="B510" s="31">
        <f t="shared" si="80"/>
        <v>61</v>
      </c>
      <c r="C510" s="2436">
        <f t="shared" si="74"/>
        <v>0</v>
      </c>
      <c r="D510" s="408">
        <f t="shared" si="75"/>
        <v>0</v>
      </c>
      <c r="E510" s="3156">
        <f t="shared" si="81"/>
        <v>0</v>
      </c>
      <c r="F510" s="3157">
        <f t="shared" si="76"/>
        <v>0</v>
      </c>
      <c r="G510" s="1570"/>
      <c r="H510" s="2595">
        <f t="shared" si="77"/>
        <v>0</v>
      </c>
      <c r="I510" s="2577">
        <f t="shared" si="78"/>
        <v>0</v>
      </c>
      <c r="J510" s="2593"/>
      <c r="K510" s="1130"/>
      <c r="L510" s="2577"/>
      <c r="M510" s="1311"/>
    </row>
    <row r="511" spans="1:13" x14ac:dyDescent="0.25">
      <c r="A511" s="2594">
        <f t="shared" si="79"/>
        <v>67</v>
      </c>
      <c r="B511" s="31">
        <f t="shared" si="80"/>
        <v>62</v>
      </c>
      <c r="C511" s="2436">
        <f t="shared" si="74"/>
        <v>0</v>
      </c>
      <c r="D511" s="408">
        <f t="shared" si="75"/>
        <v>0</v>
      </c>
      <c r="E511" s="3156">
        <f t="shared" si="81"/>
        <v>0</v>
      </c>
      <c r="F511" s="3157">
        <f t="shared" si="76"/>
        <v>0</v>
      </c>
      <c r="G511" s="1570"/>
      <c r="H511" s="2595">
        <f t="shared" si="77"/>
        <v>0</v>
      </c>
      <c r="I511" s="2577">
        <f t="shared" si="78"/>
        <v>0</v>
      </c>
      <c r="J511" s="2593"/>
      <c r="K511" s="1130"/>
      <c r="L511" s="2577"/>
      <c r="M511" s="1311"/>
    </row>
    <row r="512" spans="1:13" x14ac:dyDescent="0.25">
      <c r="A512" s="2594">
        <f t="shared" si="79"/>
        <v>68</v>
      </c>
      <c r="B512" s="31">
        <f t="shared" si="80"/>
        <v>63</v>
      </c>
      <c r="C512" s="2436">
        <f t="shared" si="74"/>
        <v>0</v>
      </c>
      <c r="D512" s="408">
        <f t="shared" si="75"/>
        <v>0</v>
      </c>
      <c r="E512" s="3156">
        <f t="shared" si="81"/>
        <v>0</v>
      </c>
      <c r="F512" s="3157">
        <f t="shared" si="76"/>
        <v>0</v>
      </c>
      <c r="G512" s="1570"/>
      <c r="H512" s="2595">
        <f t="shared" si="77"/>
        <v>0</v>
      </c>
      <c r="I512" s="2577">
        <f t="shared" si="78"/>
        <v>0</v>
      </c>
      <c r="J512" s="2593"/>
      <c r="K512" s="1130"/>
      <c r="L512" s="2577"/>
      <c r="M512" s="1311"/>
    </row>
    <row r="513" spans="1:13" x14ac:dyDescent="0.25">
      <c r="A513" s="2594">
        <f t="shared" si="79"/>
        <v>69</v>
      </c>
      <c r="B513" s="31">
        <f t="shared" si="80"/>
        <v>64</v>
      </c>
      <c r="C513" s="2436">
        <f t="shared" si="74"/>
        <v>0</v>
      </c>
      <c r="D513" s="408">
        <f t="shared" si="75"/>
        <v>0</v>
      </c>
      <c r="E513" s="3156">
        <f t="shared" si="81"/>
        <v>0</v>
      </c>
      <c r="F513" s="3157">
        <f t="shared" si="76"/>
        <v>0</v>
      </c>
      <c r="G513" s="1570"/>
      <c r="H513" s="2595">
        <f t="shared" si="77"/>
        <v>0</v>
      </c>
      <c r="I513" s="2577">
        <f t="shared" si="78"/>
        <v>0</v>
      </c>
      <c r="J513" s="2593"/>
      <c r="K513" s="1130"/>
      <c r="L513" s="2577"/>
      <c r="M513" s="1311"/>
    </row>
    <row r="514" spans="1:13" x14ac:dyDescent="0.25">
      <c r="A514" s="2594">
        <f t="shared" si="79"/>
        <v>70</v>
      </c>
      <c r="B514" s="31">
        <f t="shared" si="80"/>
        <v>65</v>
      </c>
      <c r="C514" s="2436">
        <f t="shared" si="74"/>
        <v>0</v>
      </c>
      <c r="D514" s="408">
        <f t="shared" si="75"/>
        <v>0</v>
      </c>
      <c r="E514" s="3156">
        <f t="shared" si="81"/>
        <v>0</v>
      </c>
      <c r="F514" s="3157">
        <f t="shared" si="76"/>
        <v>0</v>
      </c>
      <c r="G514" s="1570"/>
      <c r="H514" s="2595">
        <f t="shared" si="77"/>
        <v>0</v>
      </c>
      <c r="I514" s="2577">
        <f t="shared" si="78"/>
        <v>0</v>
      </c>
      <c r="J514" s="2593"/>
      <c r="K514" s="1130"/>
      <c r="L514" s="2577"/>
      <c r="M514" s="1311"/>
    </row>
    <row r="515" spans="1:13" x14ac:dyDescent="0.25">
      <c r="A515" s="2594">
        <f t="shared" si="79"/>
        <v>71</v>
      </c>
      <c r="B515" s="31">
        <f t="shared" si="80"/>
        <v>66</v>
      </c>
      <c r="C515" s="2436">
        <f t="shared" si="74"/>
        <v>0</v>
      </c>
      <c r="D515" s="408">
        <f t="shared" si="75"/>
        <v>0</v>
      </c>
      <c r="E515" s="3156">
        <f t="shared" si="81"/>
        <v>0</v>
      </c>
      <c r="F515" s="3157">
        <f t="shared" si="76"/>
        <v>0</v>
      </c>
      <c r="G515" s="1570"/>
      <c r="H515" s="2595">
        <f t="shared" si="77"/>
        <v>0</v>
      </c>
      <c r="I515" s="2577">
        <f t="shared" si="78"/>
        <v>0</v>
      </c>
      <c r="J515" s="2593"/>
      <c r="K515" s="1130"/>
      <c r="L515" s="2577"/>
      <c r="M515" s="1311"/>
    </row>
    <row r="516" spans="1:13" x14ac:dyDescent="0.25">
      <c r="A516" s="2594">
        <f t="shared" si="79"/>
        <v>72</v>
      </c>
      <c r="B516" s="31">
        <f t="shared" si="80"/>
        <v>67</v>
      </c>
      <c r="C516" s="2436">
        <f t="shared" si="74"/>
        <v>0</v>
      </c>
      <c r="D516" s="408">
        <f t="shared" si="75"/>
        <v>0</v>
      </c>
      <c r="E516" s="3156">
        <f t="shared" si="81"/>
        <v>0</v>
      </c>
      <c r="F516" s="3157">
        <f t="shared" si="76"/>
        <v>0</v>
      </c>
      <c r="G516" s="1570"/>
      <c r="H516" s="2595">
        <f t="shared" si="77"/>
        <v>0</v>
      </c>
      <c r="I516" s="2577">
        <f t="shared" si="78"/>
        <v>0</v>
      </c>
      <c r="J516" s="2593"/>
      <c r="K516" s="1130"/>
      <c r="L516" s="2577"/>
      <c r="M516" s="1311"/>
    </row>
    <row r="517" spans="1:13" x14ac:dyDescent="0.25">
      <c r="A517" s="2594">
        <f t="shared" si="79"/>
        <v>73</v>
      </c>
      <c r="B517" s="31">
        <f t="shared" si="80"/>
        <v>68</v>
      </c>
      <c r="C517" s="2436">
        <f t="shared" si="74"/>
        <v>0</v>
      </c>
      <c r="D517" s="408">
        <f t="shared" si="75"/>
        <v>0</v>
      </c>
      <c r="E517" s="3156">
        <f t="shared" si="81"/>
        <v>0</v>
      </c>
      <c r="F517" s="3157">
        <f t="shared" si="76"/>
        <v>0</v>
      </c>
      <c r="G517" s="1570"/>
      <c r="H517" s="2595">
        <f t="shared" si="77"/>
        <v>0</v>
      </c>
      <c r="I517" s="2577">
        <f t="shared" si="78"/>
        <v>0</v>
      </c>
      <c r="J517" s="2593"/>
      <c r="K517" s="1130"/>
      <c r="L517" s="2577"/>
      <c r="M517" s="1311"/>
    </row>
    <row r="518" spans="1:13" x14ac:dyDescent="0.25">
      <c r="A518" s="2594">
        <f t="shared" si="79"/>
        <v>74</v>
      </c>
      <c r="B518" s="31">
        <f t="shared" si="80"/>
        <v>69</v>
      </c>
      <c r="C518" s="2436">
        <f t="shared" si="74"/>
        <v>0</v>
      </c>
      <c r="D518" s="408">
        <f t="shared" si="75"/>
        <v>0</v>
      </c>
      <c r="E518" s="3156">
        <f t="shared" si="81"/>
        <v>0</v>
      </c>
      <c r="F518" s="3157">
        <f t="shared" si="76"/>
        <v>0</v>
      </c>
      <c r="G518" s="1570"/>
      <c r="H518" s="2595">
        <f t="shared" si="77"/>
        <v>0</v>
      </c>
      <c r="I518" s="2577">
        <f t="shared" si="78"/>
        <v>0</v>
      </c>
      <c r="J518" s="2593"/>
      <c r="K518" s="1130"/>
      <c r="L518" s="2577"/>
      <c r="M518" s="1311"/>
    </row>
    <row r="519" spans="1:13" x14ac:dyDescent="0.25">
      <c r="A519" s="2594">
        <f t="shared" si="79"/>
        <v>75</v>
      </c>
      <c r="B519" s="31">
        <f t="shared" si="80"/>
        <v>70</v>
      </c>
      <c r="C519" s="2436">
        <f t="shared" si="74"/>
        <v>0</v>
      </c>
      <c r="D519" s="408">
        <f t="shared" si="75"/>
        <v>0</v>
      </c>
      <c r="E519" s="3156">
        <f t="shared" si="81"/>
        <v>0</v>
      </c>
      <c r="F519" s="3157">
        <f t="shared" si="76"/>
        <v>0</v>
      </c>
      <c r="G519" s="1570"/>
      <c r="H519" s="2595">
        <f t="shared" si="77"/>
        <v>0</v>
      </c>
      <c r="I519" s="2577">
        <f t="shared" si="78"/>
        <v>0</v>
      </c>
      <c r="J519" s="2593"/>
      <c r="K519" s="1130"/>
      <c r="L519" s="2577"/>
      <c r="M519" s="1311"/>
    </row>
    <row r="520" spans="1:13" x14ac:dyDescent="0.25">
      <c r="A520" s="2594">
        <f t="shared" si="79"/>
        <v>76</v>
      </c>
      <c r="B520" s="31">
        <f t="shared" si="80"/>
        <v>71</v>
      </c>
      <c r="C520" s="2436">
        <f t="shared" si="74"/>
        <v>0</v>
      </c>
      <c r="D520" s="408">
        <f t="shared" si="75"/>
        <v>0</v>
      </c>
      <c r="E520" s="3156">
        <f t="shared" si="81"/>
        <v>0</v>
      </c>
      <c r="F520" s="3157">
        <f t="shared" si="76"/>
        <v>0</v>
      </c>
      <c r="G520" s="1570"/>
      <c r="H520" s="2595">
        <f t="shared" si="77"/>
        <v>0</v>
      </c>
      <c r="I520" s="2577">
        <f t="shared" si="78"/>
        <v>0</v>
      </c>
      <c r="J520" s="2593"/>
      <c r="K520" s="1130"/>
      <c r="L520" s="2577"/>
      <c r="M520" s="1311"/>
    </row>
    <row r="521" spans="1:13" x14ac:dyDescent="0.25">
      <c r="A521" s="2594">
        <f t="shared" si="79"/>
        <v>77</v>
      </c>
      <c r="B521" s="31">
        <f t="shared" si="80"/>
        <v>72</v>
      </c>
      <c r="C521" s="2436">
        <f t="shared" si="74"/>
        <v>0</v>
      </c>
      <c r="D521" s="408">
        <f t="shared" si="75"/>
        <v>0</v>
      </c>
      <c r="E521" s="3156">
        <f t="shared" si="81"/>
        <v>0</v>
      </c>
      <c r="F521" s="3157">
        <f t="shared" si="76"/>
        <v>0</v>
      </c>
      <c r="G521" s="1570"/>
      <c r="H521" s="2595">
        <f t="shared" si="77"/>
        <v>0</v>
      </c>
      <c r="I521" s="2577">
        <f t="shared" si="78"/>
        <v>0</v>
      </c>
      <c r="J521" s="2593"/>
      <c r="K521" s="1130"/>
      <c r="L521" s="2577"/>
      <c r="M521" s="1311"/>
    </row>
    <row r="522" spans="1:13" x14ac:dyDescent="0.25">
      <c r="A522" s="2594">
        <f t="shared" si="79"/>
        <v>78</v>
      </c>
      <c r="B522" s="31">
        <f t="shared" si="80"/>
        <v>73</v>
      </c>
      <c r="C522" s="2436">
        <f t="shared" si="74"/>
        <v>0</v>
      </c>
      <c r="D522" s="408">
        <f t="shared" si="75"/>
        <v>0</v>
      </c>
      <c r="E522" s="3156">
        <f t="shared" si="81"/>
        <v>0</v>
      </c>
      <c r="F522" s="3157">
        <f t="shared" si="76"/>
        <v>0</v>
      </c>
      <c r="G522" s="1570"/>
      <c r="H522" s="2595">
        <f t="shared" si="77"/>
        <v>0</v>
      </c>
      <c r="I522" s="2577">
        <f t="shared" si="78"/>
        <v>0</v>
      </c>
      <c r="J522" s="2593"/>
      <c r="K522" s="1130"/>
      <c r="L522" s="2577"/>
      <c r="M522" s="1311"/>
    </row>
    <row r="523" spans="1:13" x14ac:dyDescent="0.25">
      <c r="A523" s="2594">
        <f t="shared" si="79"/>
        <v>79</v>
      </c>
      <c r="B523" s="31">
        <f t="shared" si="80"/>
        <v>74</v>
      </c>
      <c r="C523" s="2436">
        <f t="shared" si="74"/>
        <v>0</v>
      </c>
      <c r="D523" s="408">
        <f t="shared" si="75"/>
        <v>0</v>
      </c>
      <c r="E523" s="3156">
        <f t="shared" si="81"/>
        <v>0</v>
      </c>
      <c r="F523" s="3157">
        <f t="shared" si="76"/>
        <v>0</v>
      </c>
      <c r="G523" s="1570"/>
      <c r="H523" s="2595">
        <f t="shared" si="77"/>
        <v>0</v>
      </c>
      <c r="I523" s="2577">
        <f t="shared" si="78"/>
        <v>0</v>
      </c>
      <c r="J523" s="2593"/>
      <c r="K523" s="1130"/>
      <c r="L523" s="2577"/>
      <c r="M523" s="1311"/>
    </row>
    <row r="524" spans="1:13" x14ac:dyDescent="0.25">
      <c r="A524" s="2594">
        <f t="shared" si="79"/>
        <v>80</v>
      </c>
      <c r="B524" s="31">
        <f t="shared" si="80"/>
        <v>75</v>
      </c>
      <c r="C524" s="2436">
        <f t="shared" si="74"/>
        <v>0</v>
      </c>
      <c r="D524" s="408">
        <f t="shared" si="75"/>
        <v>0</v>
      </c>
      <c r="E524" s="3156">
        <f t="shared" si="81"/>
        <v>0</v>
      </c>
      <c r="F524" s="3157">
        <f t="shared" si="76"/>
        <v>0</v>
      </c>
      <c r="G524" s="1570"/>
      <c r="H524" s="2595">
        <f t="shared" si="77"/>
        <v>0</v>
      </c>
      <c r="I524" s="2577">
        <f t="shared" si="78"/>
        <v>0</v>
      </c>
      <c r="J524" s="2593"/>
      <c r="K524" s="1130"/>
      <c r="L524" s="2577"/>
      <c r="M524" s="1311"/>
    </row>
    <row r="525" spans="1:13" x14ac:dyDescent="0.25">
      <c r="A525" s="2594">
        <f t="shared" si="79"/>
        <v>81</v>
      </c>
      <c r="B525" s="31">
        <f t="shared" si="80"/>
        <v>76</v>
      </c>
      <c r="C525" s="2436">
        <f t="shared" si="74"/>
        <v>0</v>
      </c>
      <c r="D525" s="408">
        <f t="shared" si="75"/>
        <v>0</v>
      </c>
      <c r="E525" s="3156">
        <f t="shared" si="81"/>
        <v>0</v>
      </c>
      <c r="F525" s="3157">
        <f t="shared" si="76"/>
        <v>0</v>
      </c>
      <c r="G525" s="1570"/>
      <c r="H525" s="2595">
        <f t="shared" si="77"/>
        <v>0</v>
      </c>
      <c r="I525" s="2577">
        <f t="shared" si="78"/>
        <v>0</v>
      </c>
      <c r="J525" s="2593"/>
      <c r="K525" s="1130"/>
      <c r="L525" s="2577"/>
      <c r="M525" s="1311"/>
    </row>
    <row r="526" spans="1:13" x14ac:dyDescent="0.25">
      <c r="A526" s="2594">
        <f t="shared" si="79"/>
        <v>82</v>
      </c>
      <c r="B526" s="31">
        <f t="shared" si="80"/>
        <v>77</v>
      </c>
      <c r="C526" s="2436">
        <f t="shared" si="74"/>
        <v>0</v>
      </c>
      <c r="D526" s="408">
        <f t="shared" si="75"/>
        <v>0</v>
      </c>
      <c r="E526" s="3156">
        <f t="shared" si="81"/>
        <v>0</v>
      </c>
      <c r="F526" s="3157">
        <f t="shared" si="76"/>
        <v>0</v>
      </c>
      <c r="G526" s="1570"/>
      <c r="H526" s="2595">
        <f t="shared" si="77"/>
        <v>0</v>
      </c>
      <c r="I526" s="2577">
        <f t="shared" si="78"/>
        <v>0</v>
      </c>
      <c r="J526" s="2593"/>
      <c r="K526" s="1130"/>
      <c r="L526" s="2577"/>
      <c r="M526" s="1311"/>
    </row>
    <row r="527" spans="1:13" x14ac:dyDescent="0.25">
      <c r="A527" s="2594">
        <f t="shared" si="79"/>
        <v>83</v>
      </c>
      <c r="B527" s="31">
        <f t="shared" si="80"/>
        <v>78</v>
      </c>
      <c r="C527" s="2436">
        <f t="shared" si="74"/>
        <v>0</v>
      </c>
      <c r="D527" s="408">
        <f t="shared" si="75"/>
        <v>0</v>
      </c>
      <c r="E527" s="3156">
        <f t="shared" si="81"/>
        <v>0</v>
      </c>
      <c r="F527" s="3157">
        <f t="shared" si="76"/>
        <v>0</v>
      </c>
      <c r="G527" s="1570"/>
      <c r="H527" s="2595">
        <f t="shared" si="77"/>
        <v>0</v>
      </c>
      <c r="I527" s="2577">
        <f t="shared" si="78"/>
        <v>0</v>
      </c>
      <c r="J527" s="2593"/>
      <c r="K527" s="1130"/>
      <c r="L527" s="2577"/>
      <c r="M527" s="1311"/>
    </row>
    <row r="528" spans="1:13" x14ac:dyDescent="0.25">
      <c r="A528" s="2594">
        <f t="shared" si="79"/>
        <v>84</v>
      </c>
      <c r="B528" s="31">
        <f t="shared" si="80"/>
        <v>79</v>
      </c>
      <c r="C528" s="2436">
        <f t="shared" si="74"/>
        <v>0</v>
      </c>
      <c r="D528" s="408">
        <f t="shared" si="75"/>
        <v>0</v>
      </c>
      <c r="E528" s="3156">
        <f t="shared" si="81"/>
        <v>0</v>
      </c>
      <c r="F528" s="3157">
        <f t="shared" si="76"/>
        <v>0</v>
      </c>
      <c r="G528" s="1570"/>
      <c r="H528" s="2595">
        <f t="shared" si="77"/>
        <v>0</v>
      </c>
      <c r="I528" s="2577">
        <f t="shared" si="78"/>
        <v>0</v>
      </c>
      <c r="J528" s="2593"/>
      <c r="K528" s="1130"/>
      <c r="L528" s="2577"/>
      <c r="M528" s="1311"/>
    </row>
    <row r="529" spans="1:13" x14ac:dyDescent="0.25">
      <c r="A529" s="2594">
        <f t="shared" si="79"/>
        <v>85</v>
      </c>
      <c r="B529" s="31">
        <f t="shared" si="80"/>
        <v>80</v>
      </c>
      <c r="C529" s="2436">
        <f t="shared" si="74"/>
        <v>0</v>
      </c>
      <c r="D529" s="408">
        <f t="shared" si="75"/>
        <v>0</v>
      </c>
      <c r="E529" s="3156">
        <f t="shared" si="81"/>
        <v>0</v>
      </c>
      <c r="F529" s="3157">
        <f t="shared" si="76"/>
        <v>0</v>
      </c>
      <c r="G529" s="1570"/>
      <c r="H529" s="2595">
        <f t="shared" si="77"/>
        <v>0</v>
      </c>
      <c r="I529" s="2577">
        <f t="shared" si="78"/>
        <v>0</v>
      </c>
      <c r="J529" s="2593"/>
      <c r="K529" s="1130"/>
      <c r="L529" s="2577"/>
      <c r="M529" s="1311"/>
    </row>
    <row r="530" spans="1:13" x14ac:dyDescent="0.25">
      <c r="A530" s="2594">
        <f t="shared" si="79"/>
        <v>86</v>
      </c>
      <c r="B530" s="31">
        <f t="shared" si="80"/>
        <v>81</v>
      </c>
      <c r="C530" s="2436">
        <f t="shared" si="74"/>
        <v>0</v>
      </c>
      <c r="D530" s="408">
        <f t="shared" si="75"/>
        <v>0</v>
      </c>
      <c r="E530" s="3156">
        <f t="shared" si="81"/>
        <v>0</v>
      </c>
      <c r="F530" s="3157">
        <f t="shared" si="76"/>
        <v>0</v>
      </c>
      <c r="G530" s="1570"/>
      <c r="H530" s="2595">
        <f t="shared" si="77"/>
        <v>0</v>
      </c>
      <c r="I530" s="2577">
        <f t="shared" si="78"/>
        <v>0</v>
      </c>
      <c r="J530" s="2593"/>
      <c r="K530" s="1130"/>
      <c r="L530" s="2577"/>
      <c r="M530" s="1311"/>
    </row>
    <row r="531" spans="1:13" x14ac:dyDescent="0.25">
      <c r="A531" s="2594">
        <f t="shared" si="79"/>
        <v>87</v>
      </c>
      <c r="B531" s="31">
        <f t="shared" si="80"/>
        <v>82</v>
      </c>
      <c r="C531" s="2436">
        <f t="shared" si="74"/>
        <v>0</v>
      </c>
      <c r="D531" s="408">
        <f t="shared" si="75"/>
        <v>0</v>
      </c>
      <c r="E531" s="3156">
        <f t="shared" si="81"/>
        <v>0</v>
      </c>
      <c r="F531" s="3157">
        <f t="shared" si="76"/>
        <v>0</v>
      </c>
      <c r="G531" s="1570"/>
      <c r="H531" s="2595">
        <f t="shared" si="77"/>
        <v>0</v>
      </c>
      <c r="I531" s="2577">
        <f t="shared" si="78"/>
        <v>0</v>
      </c>
      <c r="J531" s="2593"/>
      <c r="K531" s="1130"/>
      <c r="L531" s="2577"/>
      <c r="M531" s="1311"/>
    </row>
    <row r="532" spans="1:13" x14ac:dyDescent="0.25">
      <c r="A532" s="2594">
        <f t="shared" si="79"/>
        <v>88</v>
      </c>
      <c r="B532" s="31">
        <f t="shared" si="80"/>
        <v>83</v>
      </c>
      <c r="C532" s="2436">
        <f t="shared" si="74"/>
        <v>0</v>
      </c>
      <c r="D532" s="408">
        <f t="shared" si="75"/>
        <v>0</v>
      </c>
      <c r="E532" s="3156">
        <f t="shared" si="81"/>
        <v>0</v>
      </c>
      <c r="F532" s="3157">
        <f t="shared" si="76"/>
        <v>0</v>
      </c>
      <c r="G532" s="1570"/>
      <c r="H532" s="2595">
        <f t="shared" si="77"/>
        <v>0</v>
      </c>
      <c r="I532" s="2577">
        <f t="shared" si="78"/>
        <v>0</v>
      </c>
      <c r="J532" s="2593"/>
      <c r="K532" s="1130"/>
      <c r="L532" s="2577"/>
      <c r="M532" s="1311"/>
    </row>
    <row r="533" spans="1:13" x14ac:dyDescent="0.25">
      <c r="A533" s="2594">
        <f t="shared" si="79"/>
        <v>89</v>
      </c>
      <c r="B533" s="31">
        <f t="shared" si="80"/>
        <v>84</v>
      </c>
      <c r="C533" s="2436">
        <f t="shared" si="74"/>
        <v>0</v>
      </c>
      <c r="D533" s="408">
        <f t="shared" si="75"/>
        <v>0</v>
      </c>
      <c r="E533" s="3156">
        <f t="shared" si="81"/>
        <v>0</v>
      </c>
      <c r="F533" s="3157">
        <f t="shared" si="76"/>
        <v>0</v>
      </c>
      <c r="G533" s="1570"/>
      <c r="H533" s="2595">
        <f t="shared" si="77"/>
        <v>0</v>
      </c>
      <c r="I533" s="2577">
        <f t="shared" si="78"/>
        <v>0</v>
      </c>
      <c r="J533" s="2593"/>
      <c r="K533" s="1130"/>
      <c r="L533" s="2577"/>
      <c r="M533" s="1311"/>
    </row>
    <row r="534" spans="1:13" x14ac:dyDescent="0.25">
      <c r="A534" s="2594">
        <f t="shared" si="79"/>
        <v>90</v>
      </c>
      <c r="B534" s="31">
        <f t="shared" si="80"/>
        <v>85</v>
      </c>
      <c r="C534" s="2436">
        <f t="shared" si="74"/>
        <v>0</v>
      </c>
      <c r="D534" s="408">
        <f t="shared" si="75"/>
        <v>0</v>
      </c>
      <c r="E534" s="3156">
        <f t="shared" si="81"/>
        <v>0</v>
      </c>
      <c r="F534" s="3157">
        <f t="shared" si="76"/>
        <v>0</v>
      </c>
      <c r="G534" s="1570"/>
      <c r="H534" s="2595">
        <f t="shared" si="77"/>
        <v>0</v>
      </c>
      <c r="I534" s="2577">
        <f t="shared" si="78"/>
        <v>0</v>
      </c>
      <c r="J534" s="2593"/>
      <c r="K534" s="1130"/>
      <c r="L534" s="2577"/>
      <c r="M534" s="1311"/>
    </row>
    <row r="535" spans="1:13" x14ac:dyDescent="0.25">
      <c r="A535" s="2594">
        <f t="shared" si="79"/>
        <v>91</v>
      </c>
      <c r="B535" s="31">
        <f t="shared" si="80"/>
        <v>86</v>
      </c>
      <c r="C535" s="2436">
        <f t="shared" si="74"/>
        <v>0</v>
      </c>
      <c r="D535" s="408">
        <f t="shared" si="75"/>
        <v>0</v>
      </c>
      <c r="E535" s="3156">
        <f t="shared" si="81"/>
        <v>0</v>
      </c>
      <c r="F535" s="3157">
        <f t="shared" si="76"/>
        <v>0</v>
      </c>
      <c r="G535" s="1570"/>
      <c r="H535" s="2595">
        <f t="shared" si="77"/>
        <v>0</v>
      </c>
      <c r="I535" s="2577">
        <f t="shared" si="78"/>
        <v>0</v>
      </c>
      <c r="J535" s="2593"/>
      <c r="K535" s="1130"/>
      <c r="L535" s="2577"/>
      <c r="M535" s="1311"/>
    </row>
    <row r="536" spans="1:13" x14ac:dyDescent="0.25">
      <c r="A536" s="2594">
        <f t="shared" si="79"/>
        <v>92</v>
      </c>
      <c r="B536" s="31">
        <f t="shared" si="80"/>
        <v>87</v>
      </c>
      <c r="C536" s="2436">
        <f t="shared" si="74"/>
        <v>0</v>
      </c>
      <c r="D536" s="408">
        <f t="shared" si="75"/>
        <v>0</v>
      </c>
      <c r="E536" s="3156">
        <f t="shared" si="81"/>
        <v>0</v>
      </c>
      <c r="F536" s="3157">
        <f t="shared" si="76"/>
        <v>0</v>
      </c>
      <c r="G536" s="1570"/>
      <c r="H536" s="2595">
        <f t="shared" si="77"/>
        <v>0</v>
      </c>
      <c r="I536" s="2577">
        <f t="shared" si="78"/>
        <v>0</v>
      </c>
      <c r="J536" s="2593"/>
      <c r="K536" s="1130"/>
      <c r="L536" s="2577"/>
      <c r="M536" s="1311"/>
    </row>
    <row r="537" spans="1:13" x14ac:dyDescent="0.25">
      <c r="A537" s="2594">
        <f t="shared" si="79"/>
        <v>93</v>
      </c>
      <c r="B537" s="31">
        <f t="shared" si="80"/>
        <v>88</v>
      </c>
      <c r="C537" s="2436">
        <f t="shared" si="74"/>
        <v>0</v>
      </c>
      <c r="D537" s="408">
        <f t="shared" si="75"/>
        <v>0</v>
      </c>
      <c r="E537" s="3156">
        <f t="shared" si="81"/>
        <v>0</v>
      </c>
      <c r="F537" s="3157">
        <f t="shared" si="76"/>
        <v>0</v>
      </c>
      <c r="G537" s="1570"/>
      <c r="H537" s="2595">
        <f t="shared" si="77"/>
        <v>0</v>
      </c>
      <c r="I537" s="2577">
        <f t="shared" si="78"/>
        <v>0</v>
      </c>
      <c r="J537" s="2593"/>
      <c r="K537" s="1130"/>
      <c r="L537" s="2577"/>
      <c r="M537" s="1311"/>
    </row>
    <row r="538" spans="1:13" x14ac:dyDescent="0.25">
      <c r="A538" s="2594">
        <f t="shared" si="79"/>
        <v>94</v>
      </c>
      <c r="B538" s="31">
        <f t="shared" si="80"/>
        <v>89</v>
      </c>
      <c r="C538" s="2436">
        <f t="shared" si="74"/>
        <v>0</v>
      </c>
      <c r="D538" s="408">
        <f t="shared" si="75"/>
        <v>0</v>
      </c>
      <c r="E538" s="3156">
        <f t="shared" si="81"/>
        <v>0</v>
      </c>
      <c r="F538" s="3157">
        <f t="shared" si="76"/>
        <v>0</v>
      </c>
      <c r="G538" s="1570"/>
      <c r="H538" s="2595">
        <f t="shared" si="77"/>
        <v>0</v>
      </c>
      <c r="I538" s="2577">
        <f t="shared" si="78"/>
        <v>0</v>
      </c>
      <c r="J538" s="2593"/>
      <c r="K538" s="1130"/>
      <c r="L538" s="2577"/>
      <c r="M538" s="1311"/>
    </row>
    <row r="539" spans="1:13" x14ac:dyDescent="0.25">
      <c r="A539" s="2594">
        <f t="shared" si="79"/>
        <v>95</v>
      </c>
      <c r="B539" s="31">
        <f t="shared" si="80"/>
        <v>90</v>
      </c>
      <c r="C539" s="2436">
        <f t="shared" si="74"/>
        <v>0</v>
      </c>
      <c r="D539" s="408">
        <f t="shared" si="75"/>
        <v>0</v>
      </c>
      <c r="E539" s="3156">
        <f t="shared" si="81"/>
        <v>0</v>
      </c>
      <c r="F539" s="3157">
        <f t="shared" si="76"/>
        <v>0</v>
      </c>
      <c r="G539" s="1570"/>
      <c r="H539" s="2595">
        <f t="shared" si="77"/>
        <v>0</v>
      </c>
      <c r="I539" s="2577">
        <f t="shared" si="78"/>
        <v>0</v>
      </c>
      <c r="J539" s="2593"/>
      <c r="K539" s="1130"/>
      <c r="L539" s="2577"/>
      <c r="M539" s="1311"/>
    </row>
    <row r="540" spans="1:13" ht="15.75" thickBot="1" x14ac:dyDescent="0.3">
      <c r="A540" s="2596">
        <f t="shared" si="79"/>
        <v>96</v>
      </c>
      <c r="B540" s="2597">
        <f t="shared" si="80"/>
        <v>91</v>
      </c>
      <c r="C540" s="2437">
        <f t="shared" si="74"/>
        <v>0</v>
      </c>
      <c r="D540" s="2393">
        <f t="shared" si="75"/>
        <v>0</v>
      </c>
      <c r="E540" s="3158">
        <f t="shared" si="81"/>
        <v>0</v>
      </c>
      <c r="F540" s="3159">
        <f t="shared" si="76"/>
        <v>0</v>
      </c>
      <c r="G540" s="2598"/>
      <c r="H540" s="2599">
        <f t="shared" si="77"/>
        <v>0</v>
      </c>
      <c r="I540" s="2579">
        <f t="shared" si="78"/>
        <v>0</v>
      </c>
      <c r="J540" s="2593"/>
      <c r="K540" s="1130"/>
      <c r="L540" s="2577"/>
      <c r="M540" s="1311"/>
    </row>
    <row r="541" spans="1:13" ht="15.75" thickTop="1" x14ac:dyDescent="0.25">
      <c r="A541" s="1336"/>
      <c r="B541" s="6"/>
      <c r="C541" s="6"/>
      <c r="D541" s="6"/>
      <c r="E541" s="6"/>
      <c r="F541" s="6"/>
      <c r="G541" s="6"/>
      <c r="H541" s="2630" t="s">
        <v>332</v>
      </c>
      <c r="I541" s="2631" t="s">
        <v>333</v>
      </c>
      <c r="J541" s="1336"/>
      <c r="K541" s="6"/>
      <c r="L541" s="1311"/>
      <c r="M541" s="1311"/>
    </row>
    <row r="542" spans="1:13" ht="15.75" thickBot="1" x14ac:dyDescent="0.3">
      <c r="A542" s="2073"/>
      <c r="B542" s="1314"/>
      <c r="C542" s="1314"/>
      <c r="D542" s="1314"/>
      <c r="E542" s="1314"/>
      <c r="F542" s="1314"/>
      <c r="G542" s="1314"/>
      <c r="H542" s="2600">
        <f>SUM(H504:H540)</f>
        <v>1167.3288</v>
      </c>
      <c r="I542" s="2601">
        <f>SUM(I504:I540)</f>
        <v>1028.3105519999999</v>
      </c>
      <c r="J542" s="2073"/>
      <c r="K542" s="1314"/>
      <c r="L542" s="1315"/>
      <c r="M542" s="1315"/>
    </row>
    <row r="543" spans="1:13" ht="15.75" thickTop="1" x14ac:dyDescent="0.25">
      <c r="A543" s="6"/>
      <c r="B543" s="6"/>
      <c r="C543" s="6"/>
      <c r="D543" s="6"/>
      <c r="E543" s="6"/>
      <c r="F543" s="6"/>
      <c r="G543" s="6"/>
      <c r="H543" s="65"/>
      <c r="I543" s="65"/>
      <c r="J543" s="6"/>
      <c r="K543" s="6"/>
      <c r="L543" s="6"/>
      <c r="M543" s="6"/>
    </row>
    <row r="544" spans="1:13" x14ac:dyDescent="0.25">
      <c r="A544" s="684"/>
      <c r="B544" s="684"/>
      <c r="C544" s="1295"/>
      <c r="D544" s="1295"/>
      <c r="E544" s="2254"/>
      <c r="F544" s="6"/>
      <c r="G544" s="6"/>
      <c r="H544" s="6"/>
      <c r="I544" s="6"/>
      <c r="J544" s="6"/>
      <c r="K544" s="6"/>
      <c r="L544" s="6"/>
      <c r="M544" s="6"/>
    </row>
    <row r="545" spans="1:13" ht="15.75" thickBot="1" x14ac:dyDescent="0.3">
      <c r="A545" s="684"/>
      <c r="B545" s="684"/>
      <c r="C545" s="1295"/>
      <c r="D545" s="1295"/>
      <c r="E545" s="2254"/>
      <c r="F545" s="6"/>
      <c r="G545" s="6"/>
      <c r="H545" s="6"/>
      <c r="I545" s="6"/>
      <c r="J545" s="6"/>
      <c r="K545" s="6"/>
      <c r="L545" s="6"/>
      <c r="M545" s="6"/>
    </row>
    <row r="546" spans="1:13" ht="19.5" thickTop="1" x14ac:dyDescent="0.3">
      <c r="A546" s="1340" t="s">
        <v>2149</v>
      </c>
      <c r="B546" s="1341"/>
      <c r="C546" s="1341"/>
      <c r="D546" s="1341"/>
      <c r="E546" s="2282"/>
      <c r="F546" s="1341"/>
      <c r="G546" s="1341"/>
      <c r="H546" s="1341"/>
      <c r="I546" s="1341"/>
      <c r="J546" s="1341"/>
      <c r="K546" s="1341"/>
      <c r="L546" s="1341"/>
      <c r="M546" s="1342"/>
    </row>
    <row r="547" spans="1:13" x14ac:dyDescent="0.25">
      <c r="A547" s="1336" t="s">
        <v>2020</v>
      </c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1311"/>
    </row>
    <row r="548" spans="1:13" x14ac:dyDescent="0.25">
      <c r="A548" s="1336" t="s">
        <v>2873</v>
      </c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1311"/>
    </row>
    <row r="549" spans="1:13" x14ac:dyDescent="0.25">
      <c r="A549" s="1336"/>
      <c r="B549" s="215" t="s">
        <v>1957</v>
      </c>
      <c r="C549" s="6"/>
      <c r="D549" s="6"/>
      <c r="E549" s="6"/>
      <c r="F549" s="1172" t="s">
        <v>2150</v>
      </c>
      <c r="G549" s="1183" t="s">
        <v>2027</v>
      </c>
      <c r="H549" s="6"/>
      <c r="I549" s="6"/>
      <c r="J549" s="6"/>
      <c r="K549" s="6"/>
      <c r="L549" s="6"/>
      <c r="M549" s="1311"/>
    </row>
    <row r="550" spans="1:13" ht="18.75" x14ac:dyDescent="0.3">
      <c r="A550" s="1336"/>
      <c r="B550" s="215" t="s">
        <v>1958</v>
      </c>
      <c r="C550" s="1841"/>
      <c r="D550" s="1841"/>
      <c r="E550" s="1842"/>
      <c r="F550" s="1172" t="s">
        <v>2151</v>
      </c>
      <c r="G550" s="1227" t="s">
        <v>2874</v>
      </c>
      <c r="H550" s="6"/>
      <c r="I550" s="6"/>
      <c r="J550" s="6"/>
      <c r="K550" s="6"/>
      <c r="L550" s="6"/>
      <c r="M550" s="1311"/>
    </row>
    <row r="551" spans="1:13" ht="18.75" x14ac:dyDescent="0.3">
      <c r="A551" s="1336"/>
      <c r="B551" s="215" t="s">
        <v>1959</v>
      </c>
      <c r="C551" s="1841"/>
      <c r="D551" s="1841"/>
      <c r="E551" s="1842"/>
      <c r="F551" s="1172" t="s">
        <v>2152</v>
      </c>
      <c r="G551" s="1227" t="s">
        <v>2875</v>
      </c>
      <c r="H551" s="6"/>
      <c r="I551" s="6"/>
      <c r="J551" s="6"/>
      <c r="K551" s="6"/>
      <c r="L551" s="6"/>
      <c r="M551" s="1311"/>
    </row>
    <row r="552" spans="1:13" ht="15.75" thickBot="1" x14ac:dyDescent="0.3">
      <c r="A552" s="133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1311"/>
    </row>
    <row r="553" spans="1:13" ht="19.5" thickTop="1" x14ac:dyDescent="0.3">
      <c r="A553" s="1340" t="s">
        <v>2153</v>
      </c>
      <c r="B553" s="1341"/>
      <c r="C553" s="1341"/>
      <c r="D553" s="1341"/>
      <c r="E553" s="2282"/>
      <c r="F553" s="1341"/>
      <c r="G553" s="1341"/>
      <c r="H553" s="1341"/>
      <c r="I553" s="1341"/>
      <c r="J553" s="1341"/>
      <c r="K553" s="1341"/>
      <c r="L553" s="1341"/>
      <c r="M553" s="1342"/>
    </row>
    <row r="554" spans="1:13" x14ac:dyDescent="0.25">
      <c r="A554" s="1336" t="s">
        <v>2154</v>
      </c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1311"/>
    </row>
    <row r="555" spans="1:13" x14ac:dyDescent="0.25">
      <c r="A555" s="1336"/>
      <c r="B555" s="215" t="s">
        <v>1957</v>
      </c>
      <c r="C555" s="6"/>
      <c r="D555" s="6"/>
      <c r="E555" s="6"/>
      <c r="G555" s="1183"/>
      <c r="H555" s="6"/>
      <c r="I555" s="6"/>
      <c r="J555" s="6"/>
      <c r="K555" s="6"/>
      <c r="L555" s="6"/>
      <c r="M555" s="1311"/>
    </row>
    <row r="556" spans="1:13" ht="15.75" thickBot="1" x14ac:dyDescent="0.3">
      <c r="A556" s="133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1311"/>
    </row>
    <row r="557" spans="1:13" ht="74.25" thickTop="1" thickBot="1" x14ac:dyDescent="0.3">
      <c r="A557" s="2588" t="s">
        <v>142</v>
      </c>
      <c r="B557" s="2589" t="s">
        <v>143</v>
      </c>
      <c r="C557" s="512" t="s">
        <v>2155</v>
      </c>
      <c r="D557" s="512" t="s">
        <v>2156</v>
      </c>
      <c r="E557" s="453" t="s">
        <v>2157</v>
      </c>
      <c r="F557" s="453" t="s">
        <v>2158</v>
      </c>
      <c r="G557" s="431" t="s">
        <v>2159</v>
      </c>
      <c r="H557" s="431" t="s">
        <v>2160</v>
      </c>
      <c r="I557" s="2279" t="s">
        <v>2161</v>
      </c>
      <c r="J557" s="2279" t="s">
        <v>2162</v>
      </c>
      <c r="K557" s="1946"/>
      <c r="L557" s="2410" t="s">
        <v>2163</v>
      </c>
      <c r="M557" s="2411" t="s">
        <v>2164</v>
      </c>
    </row>
    <row r="558" spans="1:13" ht="15.75" thickTop="1" x14ac:dyDescent="0.25">
      <c r="A558" s="2594">
        <f>'1. AgeData'!$D$30</f>
        <v>60</v>
      </c>
      <c r="B558" s="884">
        <f>'1. AgeData'!$D$31</f>
        <v>55</v>
      </c>
      <c r="C558" s="3175">
        <f t="shared" ref="C558:C594" si="82">IF(AND(A558&gt;=$I$180,A558&lt;=$J$180,$I$16="yes"),C363*$H$180,0)</f>
        <v>0</v>
      </c>
      <c r="D558" s="550">
        <f t="shared" ref="D558:D594" si="83">IF(AND(B558&gt;=$I$186,B558&lt;=$J$186,$I$16="yes"),D363*$H$186,0)</f>
        <v>0</v>
      </c>
      <c r="E558" s="3175">
        <f t="shared" ref="E558:E594" si="84">IF(AND(A558&gt;=$I$181,A558&lt;=$J$181,$I$16="yes"),E362*$H$181,0)</f>
        <v>0</v>
      </c>
      <c r="F558" s="3176">
        <f t="shared" ref="F558:F594" si="85">IF(AND(B558&gt;=$I$187,B558&lt;=$J$187,$I$16="yes"),F362*$H$187,0)</f>
        <v>0</v>
      </c>
      <c r="G558" s="1570">
        <f t="shared" ref="G558:G594" si="86">IF(AND(A558&gt;=$I$182,A558&lt;=$J$182,$I$16="yes"),G362*$H$182,0)</f>
        <v>0</v>
      </c>
      <c r="H558" s="3177">
        <f t="shared" ref="H558:H594" si="87">IF(AND(B558&gt;=$I$188,B558&lt;=$J$188,$I$16="yes"),H362*$H$188,0)</f>
        <v>0</v>
      </c>
      <c r="I558" s="2645">
        <f t="shared" ref="I558:I594" si="88">IF(AND(A558&gt;=$I$183,A558&lt;=$J$183,$I$16="yes"),I363*$H$183,0)</f>
        <v>0</v>
      </c>
      <c r="J558" s="2646">
        <f t="shared" ref="J558:J594" si="89">IF(AND(B558&gt;=$I$189,B558&lt;=$J$189,$I$146="8"),D363*$H$189,0)</f>
        <v>0</v>
      </c>
      <c r="K558" s="2353"/>
      <c r="L558" s="2412">
        <f>C558+E558+G558+I558</f>
        <v>0</v>
      </c>
      <c r="M558" s="2189">
        <f>D558+F558+H558+J558</f>
        <v>0</v>
      </c>
    </row>
    <row r="559" spans="1:13" x14ac:dyDescent="0.25">
      <c r="A559" s="2281">
        <f>A558+1</f>
        <v>61</v>
      </c>
      <c r="B559" s="2287">
        <f>B558+1</f>
        <v>56</v>
      </c>
      <c r="C559" s="2436">
        <f t="shared" si="82"/>
        <v>0</v>
      </c>
      <c r="D559" s="408">
        <f t="shared" si="83"/>
        <v>0</v>
      </c>
      <c r="E559" s="3175">
        <f t="shared" si="84"/>
        <v>0</v>
      </c>
      <c r="F559" s="3176">
        <f t="shared" si="85"/>
        <v>0</v>
      </c>
      <c r="G559" s="1570">
        <f t="shared" si="86"/>
        <v>0</v>
      </c>
      <c r="H559" s="3177">
        <f t="shared" si="87"/>
        <v>0</v>
      </c>
      <c r="I559" s="2645">
        <f t="shared" si="88"/>
        <v>0</v>
      </c>
      <c r="J559" s="2646">
        <f t="shared" si="89"/>
        <v>0</v>
      </c>
      <c r="K559" s="2353"/>
      <c r="L559" s="2412">
        <f t="shared" ref="L559:M594" si="90">C559+E559+G559+I559</f>
        <v>0</v>
      </c>
      <c r="M559" s="2189">
        <f t="shared" si="90"/>
        <v>0</v>
      </c>
    </row>
    <row r="560" spans="1:13" x14ac:dyDescent="0.25">
      <c r="A560" s="2281">
        <f t="shared" ref="A560:B575" si="91">A559+1</f>
        <v>62</v>
      </c>
      <c r="B560" s="2287">
        <f t="shared" si="91"/>
        <v>57</v>
      </c>
      <c r="C560" s="2436">
        <f t="shared" si="82"/>
        <v>0</v>
      </c>
      <c r="D560" s="408">
        <f t="shared" si="83"/>
        <v>0</v>
      </c>
      <c r="E560" s="3175">
        <f t="shared" si="84"/>
        <v>0</v>
      </c>
      <c r="F560" s="3176">
        <f t="shared" si="85"/>
        <v>0</v>
      </c>
      <c r="G560" s="1570">
        <f t="shared" si="86"/>
        <v>0</v>
      </c>
      <c r="H560" s="3177">
        <f t="shared" si="87"/>
        <v>0</v>
      </c>
      <c r="I560" s="2645">
        <f t="shared" si="88"/>
        <v>0</v>
      </c>
      <c r="J560" s="2646">
        <f t="shared" si="89"/>
        <v>0</v>
      </c>
      <c r="K560" s="2353"/>
      <c r="L560" s="2412">
        <f t="shared" si="90"/>
        <v>0</v>
      </c>
      <c r="M560" s="2189">
        <f t="shared" si="90"/>
        <v>0</v>
      </c>
    </row>
    <row r="561" spans="1:13" s="861" customFormat="1" x14ac:dyDescent="0.25">
      <c r="A561" s="2281">
        <f t="shared" si="91"/>
        <v>63</v>
      </c>
      <c r="B561" s="2287">
        <f t="shared" si="91"/>
        <v>58</v>
      </c>
      <c r="C561" s="2436">
        <f t="shared" si="82"/>
        <v>0</v>
      </c>
      <c r="D561" s="408">
        <f t="shared" si="83"/>
        <v>0</v>
      </c>
      <c r="E561" s="3175">
        <f t="shared" si="84"/>
        <v>0</v>
      </c>
      <c r="F561" s="3176">
        <f t="shared" si="85"/>
        <v>0</v>
      </c>
      <c r="G561" s="1570">
        <f t="shared" si="86"/>
        <v>0</v>
      </c>
      <c r="H561" s="3177">
        <f t="shared" si="87"/>
        <v>0</v>
      </c>
      <c r="I561" s="2645">
        <f t="shared" si="88"/>
        <v>0</v>
      </c>
      <c r="J561" s="2646">
        <f t="shared" si="89"/>
        <v>0</v>
      </c>
      <c r="K561" s="2353"/>
      <c r="L561" s="2412">
        <f t="shared" si="90"/>
        <v>0</v>
      </c>
      <c r="M561" s="2189">
        <f t="shared" si="90"/>
        <v>0</v>
      </c>
    </row>
    <row r="562" spans="1:13" s="861" customFormat="1" x14ac:dyDescent="0.25">
      <c r="A562" s="2281">
        <f t="shared" si="91"/>
        <v>64</v>
      </c>
      <c r="B562" s="2287">
        <f t="shared" si="91"/>
        <v>59</v>
      </c>
      <c r="C562" s="2436">
        <f t="shared" si="82"/>
        <v>0</v>
      </c>
      <c r="D562" s="408">
        <f t="shared" si="83"/>
        <v>0</v>
      </c>
      <c r="E562" s="3175">
        <f t="shared" si="84"/>
        <v>0</v>
      </c>
      <c r="F562" s="3176">
        <f t="shared" si="85"/>
        <v>118.39999999999999</v>
      </c>
      <c r="G562" s="1570">
        <f t="shared" si="86"/>
        <v>0</v>
      </c>
      <c r="H562" s="3177">
        <f t="shared" si="87"/>
        <v>0</v>
      </c>
      <c r="I562" s="2645">
        <f t="shared" si="88"/>
        <v>0</v>
      </c>
      <c r="J562" s="2646">
        <f t="shared" si="89"/>
        <v>0</v>
      </c>
      <c r="K562" s="2353"/>
      <c r="L562" s="2412">
        <f t="shared" si="90"/>
        <v>0</v>
      </c>
      <c r="M562" s="2189">
        <f t="shared" si="90"/>
        <v>118.39999999999999</v>
      </c>
    </row>
    <row r="563" spans="1:13" s="861" customFormat="1" x14ac:dyDescent="0.25">
      <c r="A563" s="2281">
        <f t="shared" si="91"/>
        <v>65</v>
      </c>
      <c r="B563" s="2287">
        <f t="shared" si="91"/>
        <v>60</v>
      </c>
      <c r="C563" s="2436">
        <f t="shared" si="82"/>
        <v>0</v>
      </c>
      <c r="D563" s="408">
        <f t="shared" si="83"/>
        <v>3810.7745894467989</v>
      </c>
      <c r="E563" s="3175">
        <f t="shared" si="84"/>
        <v>0</v>
      </c>
      <c r="F563" s="3176">
        <f t="shared" si="85"/>
        <v>91.2864</v>
      </c>
      <c r="G563" s="1570">
        <f t="shared" si="86"/>
        <v>0</v>
      </c>
      <c r="H563" s="3177">
        <f t="shared" si="87"/>
        <v>215.99999999999997</v>
      </c>
      <c r="I563" s="2645">
        <f t="shared" si="88"/>
        <v>0</v>
      </c>
      <c r="J563" s="2646">
        <f t="shared" si="89"/>
        <v>0</v>
      </c>
      <c r="K563" s="2353"/>
      <c r="L563" s="2412">
        <f t="shared" si="90"/>
        <v>0</v>
      </c>
      <c r="M563" s="2189">
        <f t="shared" si="90"/>
        <v>4118.0609894467989</v>
      </c>
    </row>
    <row r="564" spans="1:13" x14ac:dyDescent="0.25">
      <c r="A564" s="2281">
        <f t="shared" si="91"/>
        <v>66</v>
      </c>
      <c r="B564" s="2287">
        <f t="shared" si="91"/>
        <v>61</v>
      </c>
      <c r="C564" s="2436">
        <f t="shared" si="82"/>
        <v>0</v>
      </c>
      <c r="D564" s="408">
        <f t="shared" si="83"/>
        <v>3971.1929262845092</v>
      </c>
      <c r="E564" s="3175">
        <f t="shared" si="84"/>
        <v>0</v>
      </c>
      <c r="F564" s="3176">
        <f t="shared" si="85"/>
        <v>62.774614400000004</v>
      </c>
      <c r="G564" s="1570">
        <f t="shared" si="86"/>
        <v>0</v>
      </c>
      <c r="H564" s="3177">
        <f t="shared" si="87"/>
        <v>219.34800000000001</v>
      </c>
      <c r="I564" s="2645">
        <f t="shared" si="88"/>
        <v>0</v>
      </c>
      <c r="J564" s="2646">
        <f t="shared" si="89"/>
        <v>0</v>
      </c>
      <c r="K564" s="2353"/>
      <c r="L564" s="2412">
        <f t="shared" si="90"/>
        <v>0</v>
      </c>
      <c r="M564" s="2189">
        <f t="shared" si="90"/>
        <v>4253.315540684509</v>
      </c>
    </row>
    <row r="565" spans="1:13" x14ac:dyDescent="0.25">
      <c r="A565" s="2281">
        <f t="shared" si="91"/>
        <v>67</v>
      </c>
      <c r="B565" s="2287">
        <f t="shared" si="91"/>
        <v>62</v>
      </c>
      <c r="C565" s="2436">
        <f t="shared" si="82"/>
        <v>0</v>
      </c>
      <c r="D565" s="408">
        <f t="shared" si="83"/>
        <v>4094.7612053820212</v>
      </c>
      <c r="E565" s="3175">
        <f t="shared" si="84"/>
        <v>0</v>
      </c>
      <c r="F565" s="3176">
        <f t="shared" si="85"/>
        <v>32.705574102400014</v>
      </c>
      <c r="G565" s="1570">
        <f t="shared" si="86"/>
        <v>0</v>
      </c>
      <c r="H565" s="3177">
        <f t="shared" si="87"/>
        <v>222.74789400000006</v>
      </c>
      <c r="I565" s="2645">
        <f t="shared" si="88"/>
        <v>0</v>
      </c>
      <c r="J565" s="2646">
        <f t="shared" si="89"/>
        <v>0</v>
      </c>
      <c r="K565" s="2353"/>
      <c r="L565" s="2412">
        <f t="shared" si="90"/>
        <v>0</v>
      </c>
      <c r="M565" s="2189">
        <f t="shared" si="90"/>
        <v>4350.2146734844209</v>
      </c>
    </row>
    <row r="566" spans="1:13" x14ac:dyDescent="0.25">
      <c r="A566" s="2281">
        <f t="shared" si="91"/>
        <v>68</v>
      </c>
      <c r="B566" s="2287">
        <f t="shared" si="91"/>
        <v>63</v>
      </c>
      <c r="C566" s="2436">
        <f t="shared" si="82"/>
        <v>0</v>
      </c>
      <c r="D566" s="408">
        <f t="shared" si="83"/>
        <v>4222.7655856991341</v>
      </c>
      <c r="E566" s="3175">
        <f t="shared" si="84"/>
        <v>0</v>
      </c>
      <c r="F566" s="3176">
        <f t="shared" si="85"/>
        <v>0.68681705615040045</v>
      </c>
      <c r="G566" s="1570">
        <f t="shared" si="86"/>
        <v>0</v>
      </c>
      <c r="H566" s="3177">
        <f t="shared" si="87"/>
        <v>226.20048635700007</v>
      </c>
      <c r="I566" s="2645">
        <f t="shared" si="88"/>
        <v>0</v>
      </c>
      <c r="J566" s="2646">
        <f t="shared" si="89"/>
        <v>0</v>
      </c>
      <c r="K566" s="2353"/>
      <c r="L566" s="2412">
        <f t="shared" si="90"/>
        <v>0</v>
      </c>
      <c r="M566" s="2189">
        <f t="shared" si="90"/>
        <v>4449.6528891122844</v>
      </c>
    </row>
    <row r="567" spans="1:13" x14ac:dyDescent="0.25">
      <c r="A567" s="2281">
        <f t="shared" si="91"/>
        <v>69</v>
      </c>
      <c r="B567" s="2287">
        <f t="shared" si="91"/>
        <v>64</v>
      </c>
      <c r="C567" s="2436">
        <f t="shared" si="82"/>
        <v>0</v>
      </c>
      <c r="D567" s="408">
        <f t="shared" si="83"/>
        <v>0</v>
      </c>
      <c r="E567" s="3175">
        <f t="shared" si="84"/>
        <v>0</v>
      </c>
      <c r="F567" s="3176">
        <f t="shared" si="85"/>
        <v>0</v>
      </c>
      <c r="G567" s="1570">
        <f t="shared" si="86"/>
        <v>0</v>
      </c>
      <c r="H567" s="3177">
        <f t="shared" si="87"/>
        <v>229.70659389553359</v>
      </c>
      <c r="I567" s="2645">
        <f t="shared" si="88"/>
        <v>0</v>
      </c>
      <c r="J567" s="2646">
        <f t="shared" si="89"/>
        <v>0</v>
      </c>
      <c r="K567" s="2353"/>
      <c r="L567" s="2412">
        <f t="shared" si="90"/>
        <v>0</v>
      </c>
      <c r="M567" s="2189">
        <f t="shared" si="90"/>
        <v>229.70659389553359</v>
      </c>
    </row>
    <row r="568" spans="1:13" x14ac:dyDescent="0.25">
      <c r="A568" s="2281">
        <f t="shared" si="91"/>
        <v>70</v>
      </c>
      <c r="B568" s="2287">
        <f t="shared" si="91"/>
        <v>65</v>
      </c>
      <c r="C568" s="2436">
        <f t="shared" si="82"/>
        <v>0</v>
      </c>
      <c r="D568" s="408">
        <f t="shared" si="83"/>
        <v>0</v>
      </c>
      <c r="E568" s="3175">
        <f t="shared" si="84"/>
        <v>0</v>
      </c>
      <c r="F568" s="3176">
        <f t="shared" si="85"/>
        <v>0</v>
      </c>
      <c r="G568" s="1570">
        <f t="shared" si="86"/>
        <v>0</v>
      </c>
      <c r="H568" s="3177">
        <f t="shared" si="87"/>
        <v>233.26704610091437</v>
      </c>
      <c r="I568" s="2645">
        <f t="shared" si="88"/>
        <v>0</v>
      </c>
      <c r="J568" s="2646">
        <f t="shared" si="89"/>
        <v>0</v>
      </c>
      <c r="K568" s="2353"/>
      <c r="L568" s="2412">
        <f t="shared" si="90"/>
        <v>0</v>
      </c>
      <c r="M568" s="2189">
        <f t="shared" si="90"/>
        <v>233.26704610091437</v>
      </c>
    </row>
    <row r="569" spans="1:13" x14ac:dyDescent="0.25">
      <c r="A569" s="2281">
        <f t="shared" si="91"/>
        <v>71</v>
      </c>
      <c r="B569" s="2287">
        <f t="shared" si="91"/>
        <v>66</v>
      </c>
      <c r="C569" s="2436">
        <f t="shared" si="82"/>
        <v>0</v>
      </c>
      <c r="D569" s="408">
        <f t="shared" si="83"/>
        <v>0</v>
      </c>
      <c r="E569" s="3175">
        <f t="shared" si="84"/>
        <v>0</v>
      </c>
      <c r="F569" s="3176">
        <f t="shared" si="85"/>
        <v>0</v>
      </c>
      <c r="G569" s="1570">
        <f t="shared" si="86"/>
        <v>0</v>
      </c>
      <c r="H569" s="3177">
        <f t="shared" si="87"/>
        <v>0</v>
      </c>
      <c r="I569" s="2645">
        <f t="shared" si="88"/>
        <v>0</v>
      </c>
      <c r="J569" s="2646">
        <f t="shared" si="89"/>
        <v>0</v>
      </c>
      <c r="K569" s="2353"/>
      <c r="L569" s="2412">
        <f t="shared" si="90"/>
        <v>0</v>
      </c>
      <c r="M569" s="2189">
        <f t="shared" si="90"/>
        <v>0</v>
      </c>
    </row>
    <row r="570" spans="1:13" x14ac:dyDescent="0.25">
      <c r="A570" s="2281">
        <f t="shared" si="91"/>
        <v>72</v>
      </c>
      <c r="B570" s="2287">
        <f t="shared" si="91"/>
        <v>67</v>
      </c>
      <c r="C570" s="2436">
        <f t="shared" si="82"/>
        <v>0</v>
      </c>
      <c r="D570" s="408">
        <f t="shared" si="83"/>
        <v>0</v>
      </c>
      <c r="E570" s="3175">
        <f t="shared" si="84"/>
        <v>0</v>
      </c>
      <c r="F570" s="3176">
        <f t="shared" si="85"/>
        <v>0</v>
      </c>
      <c r="G570" s="1570">
        <f t="shared" si="86"/>
        <v>0</v>
      </c>
      <c r="H570" s="3177">
        <f t="shared" si="87"/>
        <v>0</v>
      </c>
      <c r="I570" s="2645">
        <f t="shared" si="88"/>
        <v>0</v>
      </c>
      <c r="J570" s="2646">
        <f t="shared" si="89"/>
        <v>0</v>
      </c>
      <c r="K570" s="2353"/>
      <c r="L570" s="2412">
        <f t="shared" si="90"/>
        <v>0</v>
      </c>
      <c r="M570" s="2189">
        <f t="shared" si="90"/>
        <v>0</v>
      </c>
    </row>
    <row r="571" spans="1:13" x14ac:dyDescent="0.25">
      <c r="A571" s="2281">
        <f t="shared" si="91"/>
        <v>73</v>
      </c>
      <c r="B571" s="2287">
        <f t="shared" si="91"/>
        <v>68</v>
      </c>
      <c r="C571" s="2436">
        <f t="shared" si="82"/>
        <v>0</v>
      </c>
      <c r="D571" s="408">
        <f t="shared" si="83"/>
        <v>0</v>
      </c>
      <c r="E571" s="3175">
        <f t="shared" si="84"/>
        <v>0</v>
      </c>
      <c r="F571" s="3176">
        <f t="shared" si="85"/>
        <v>0</v>
      </c>
      <c r="G571" s="1570">
        <f t="shared" si="86"/>
        <v>0</v>
      </c>
      <c r="H571" s="3177">
        <f t="shared" si="87"/>
        <v>0</v>
      </c>
      <c r="I571" s="2645">
        <f t="shared" si="88"/>
        <v>0</v>
      </c>
      <c r="J571" s="2646">
        <f t="shared" si="89"/>
        <v>0</v>
      </c>
      <c r="K571" s="2353"/>
      <c r="L571" s="2412">
        <f t="shared" si="90"/>
        <v>0</v>
      </c>
      <c r="M571" s="2189">
        <f t="shared" si="90"/>
        <v>0</v>
      </c>
    </row>
    <row r="572" spans="1:13" x14ac:dyDescent="0.25">
      <c r="A572" s="2281">
        <f t="shared" si="91"/>
        <v>74</v>
      </c>
      <c r="B572" s="2287">
        <f t="shared" si="91"/>
        <v>69</v>
      </c>
      <c r="C572" s="2436">
        <f t="shared" si="82"/>
        <v>0</v>
      </c>
      <c r="D572" s="408">
        <f t="shared" si="83"/>
        <v>0</v>
      </c>
      <c r="E572" s="3175">
        <f t="shared" si="84"/>
        <v>0</v>
      </c>
      <c r="F572" s="3176">
        <f t="shared" si="85"/>
        <v>0</v>
      </c>
      <c r="G572" s="1570">
        <f t="shared" si="86"/>
        <v>0</v>
      </c>
      <c r="H572" s="3177">
        <f t="shared" si="87"/>
        <v>0</v>
      </c>
      <c r="I572" s="2645">
        <f t="shared" si="88"/>
        <v>0</v>
      </c>
      <c r="J572" s="2646">
        <f t="shared" si="89"/>
        <v>0</v>
      </c>
      <c r="K572" s="2353"/>
      <c r="L572" s="2412">
        <f t="shared" si="90"/>
        <v>0</v>
      </c>
      <c r="M572" s="2189">
        <f t="shared" si="90"/>
        <v>0</v>
      </c>
    </row>
    <row r="573" spans="1:13" x14ac:dyDescent="0.25">
      <c r="A573" s="2281">
        <f t="shared" si="91"/>
        <v>75</v>
      </c>
      <c r="B573" s="2287">
        <f t="shared" si="91"/>
        <v>70</v>
      </c>
      <c r="C573" s="2436">
        <f t="shared" si="82"/>
        <v>0</v>
      </c>
      <c r="D573" s="408">
        <f t="shared" si="83"/>
        <v>0</v>
      </c>
      <c r="E573" s="3175">
        <f t="shared" si="84"/>
        <v>0</v>
      </c>
      <c r="F573" s="3176">
        <f t="shared" si="85"/>
        <v>0</v>
      </c>
      <c r="G573" s="1570">
        <f t="shared" si="86"/>
        <v>0</v>
      </c>
      <c r="H573" s="3177">
        <f t="shared" si="87"/>
        <v>0</v>
      </c>
      <c r="I573" s="2645">
        <f t="shared" si="88"/>
        <v>0</v>
      </c>
      <c r="J573" s="2646">
        <f t="shared" si="89"/>
        <v>0</v>
      </c>
      <c r="K573" s="2353"/>
      <c r="L573" s="2412">
        <f t="shared" si="90"/>
        <v>0</v>
      </c>
      <c r="M573" s="2189">
        <f t="shared" si="90"/>
        <v>0</v>
      </c>
    </row>
    <row r="574" spans="1:13" x14ac:dyDescent="0.25">
      <c r="A574" s="2281">
        <f t="shared" si="91"/>
        <v>76</v>
      </c>
      <c r="B574" s="2287">
        <f t="shared" si="91"/>
        <v>71</v>
      </c>
      <c r="C574" s="2436">
        <f t="shared" si="82"/>
        <v>0</v>
      </c>
      <c r="D574" s="408">
        <f t="shared" si="83"/>
        <v>0</v>
      </c>
      <c r="E574" s="3175">
        <f t="shared" si="84"/>
        <v>0</v>
      </c>
      <c r="F574" s="3176">
        <f t="shared" si="85"/>
        <v>0</v>
      </c>
      <c r="G574" s="1570">
        <f t="shared" si="86"/>
        <v>0</v>
      </c>
      <c r="H574" s="3177">
        <f t="shared" si="87"/>
        <v>0</v>
      </c>
      <c r="I574" s="2645">
        <f t="shared" si="88"/>
        <v>0</v>
      </c>
      <c r="J574" s="2646">
        <f t="shared" si="89"/>
        <v>0</v>
      </c>
      <c r="K574" s="2353"/>
      <c r="L574" s="2412">
        <f t="shared" si="90"/>
        <v>0</v>
      </c>
      <c r="M574" s="2189">
        <f t="shared" si="90"/>
        <v>0</v>
      </c>
    </row>
    <row r="575" spans="1:13" x14ac:dyDescent="0.25">
      <c r="A575" s="2281">
        <f t="shared" si="91"/>
        <v>77</v>
      </c>
      <c r="B575" s="2287">
        <f t="shared" si="91"/>
        <v>72</v>
      </c>
      <c r="C575" s="2436">
        <f t="shared" si="82"/>
        <v>0</v>
      </c>
      <c r="D575" s="408">
        <f t="shared" si="83"/>
        <v>0</v>
      </c>
      <c r="E575" s="3175">
        <f t="shared" si="84"/>
        <v>0</v>
      </c>
      <c r="F575" s="3176">
        <f t="shared" si="85"/>
        <v>0</v>
      </c>
      <c r="G575" s="1570">
        <f t="shared" si="86"/>
        <v>0</v>
      </c>
      <c r="H575" s="3177">
        <f t="shared" si="87"/>
        <v>0</v>
      </c>
      <c r="I575" s="2645">
        <f t="shared" si="88"/>
        <v>0</v>
      </c>
      <c r="J575" s="2646">
        <f t="shared" si="89"/>
        <v>0</v>
      </c>
      <c r="K575" s="2353"/>
      <c r="L575" s="2412">
        <f t="shared" si="90"/>
        <v>0</v>
      </c>
      <c r="M575" s="2189">
        <f t="shared" si="90"/>
        <v>0</v>
      </c>
    </row>
    <row r="576" spans="1:13" x14ac:dyDescent="0.25">
      <c r="A576" s="2281">
        <f t="shared" ref="A576:B591" si="92">A575+1</f>
        <v>78</v>
      </c>
      <c r="B576" s="2287">
        <f t="shared" si="92"/>
        <v>73</v>
      </c>
      <c r="C576" s="2436">
        <f t="shared" si="82"/>
        <v>0</v>
      </c>
      <c r="D576" s="408">
        <f t="shared" si="83"/>
        <v>0</v>
      </c>
      <c r="E576" s="3175">
        <f t="shared" si="84"/>
        <v>0</v>
      </c>
      <c r="F576" s="3176">
        <f t="shared" si="85"/>
        <v>0</v>
      </c>
      <c r="G576" s="1570">
        <f t="shared" si="86"/>
        <v>0</v>
      </c>
      <c r="H576" s="3177">
        <f t="shared" si="87"/>
        <v>0</v>
      </c>
      <c r="I576" s="2645">
        <f t="shared" si="88"/>
        <v>0</v>
      </c>
      <c r="J576" s="2646">
        <f t="shared" si="89"/>
        <v>0</v>
      </c>
      <c r="K576" s="2353"/>
      <c r="L576" s="2412">
        <f t="shared" si="90"/>
        <v>0</v>
      </c>
      <c r="M576" s="2189">
        <f t="shared" si="90"/>
        <v>0</v>
      </c>
    </row>
    <row r="577" spans="1:13" x14ac:dyDescent="0.25">
      <c r="A577" s="2281">
        <f t="shared" si="92"/>
        <v>79</v>
      </c>
      <c r="B577" s="2287">
        <f t="shared" si="92"/>
        <v>74</v>
      </c>
      <c r="C577" s="2436">
        <f t="shared" si="82"/>
        <v>0</v>
      </c>
      <c r="D577" s="408">
        <f t="shared" si="83"/>
        <v>0</v>
      </c>
      <c r="E577" s="3175">
        <f t="shared" si="84"/>
        <v>0</v>
      </c>
      <c r="F577" s="3176">
        <f t="shared" si="85"/>
        <v>0</v>
      </c>
      <c r="G577" s="1570">
        <f t="shared" si="86"/>
        <v>0</v>
      </c>
      <c r="H577" s="3177">
        <f t="shared" si="87"/>
        <v>0</v>
      </c>
      <c r="I577" s="2645">
        <f t="shared" si="88"/>
        <v>0</v>
      </c>
      <c r="J577" s="2646">
        <f t="shared" si="89"/>
        <v>0</v>
      </c>
      <c r="K577" s="2353"/>
      <c r="L577" s="2412">
        <f t="shared" si="90"/>
        <v>0</v>
      </c>
      <c r="M577" s="2189">
        <f t="shared" si="90"/>
        <v>0</v>
      </c>
    </row>
    <row r="578" spans="1:13" x14ac:dyDescent="0.25">
      <c r="A578" s="2281">
        <f t="shared" si="92"/>
        <v>80</v>
      </c>
      <c r="B578" s="2287">
        <f t="shared" si="92"/>
        <v>75</v>
      </c>
      <c r="C578" s="2436">
        <f t="shared" si="82"/>
        <v>0</v>
      </c>
      <c r="D578" s="408">
        <f t="shared" si="83"/>
        <v>0</v>
      </c>
      <c r="E578" s="3175">
        <f t="shared" si="84"/>
        <v>0</v>
      </c>
      <c r="F578" s="3176">
        <f t="shared" si="85"/>
        <v>0</v>
      </c>
      <c r="G578" s="1570">
        <f t="shared" si="86"/>
        <v>0</v>
      </c>
      <c r="H578" s="3177">
        <f t="shared" si="87"/>
        <v>0</v>
      </c>
      <c r="I578" s="2645">
        <f t="shared" si="88"/>
        <v>0</v>
      </c>
      <c r="J578" s="2646">
        <f t="shared" si="89"/>
        <v>0</v>
      </c>
      <c r="K578" s="2353"/>
      <c r="L578" s="2412">
        <f t="shared" si="90"/>
        <v>0</v>
      </c>
      <c r="M578" s="2189">
        <f t="shared" si="90"/>
        <v>0</v>
      </c>
    </row>
    <row r="579" spans="1:13" x14ac:dyDescent="0.25">
      <c r="A579" s="2281">
        <f t="shared" si="92"/>
        <v>81</v>
      </c>
      <c r="B579" s="2287">
        <f t="shared" si="92"/>
        <v>76</v>
      </c>
      <c r="C579" s="2436">
        <f t="shared" si="82"/>
        <v>0</v>
      </c>
      <c r="D579" s="408">
        <f t="shared" si="83"/>
        <v>0</v>
      </c>
      <c r="E579" s="3175">
        <f t="shared" si="84"/>
        <v>0</v>
      </c>
      <c r="F579" s="3176">
        <f t="shared" si="85"/>
        <v>0</v>
      </c>
      <c r="G579" s="1570">
        <f t="shared" si="86"/>
        <v>0</v>
      </c>
      <c r="H579" s="3177">
        <f t="shared" si="87"/>
        <v>0</v>
      </c>
      <c r="I579" s="2645">
        <f t="shared" si="88"/>
        <v>0</v>
      </c>
      <c r="J579" s="2646">
        <f t="shared" si="89"/>
        <v>0</v>
      </c>
      <c r="K579" s="2353"/>
      <c r="L579" s="2412">
        <f t="shared" si="90"/>
        <v>0</v>
      </c>
      <c r="M579" s="2189">
        <f t="shared" si="90"/>
        <v>0</v>
      </c>
    </row>
    <row r="580" spans="1:13" x14ac:dyDescent="0.25">
      <c r="A580" s="2281">
        <f t="shared" si="92"/>
        <v>82</v>
      </c>
      <c r="B580" s="2287">
        <f t="shared" si="92"/>
        <v>77</v>
      </c>
      <c r="C580" s="2436">
        <f t="shared" si="82"/>
        <v>0</v>
      </c>
      <c r="D580" s="408">
        <f t="shared" si="83"/>
        <v>0</v>
      </c>
      <c r="E580" s="3175">
        <f t="shared" si="84"/>
        <v>0</v>
      </c>
      <c r="F580" s="3176">
        <f t="shared" si="85"/>
        <v>0</v>
      </c>
      <c r="G580" s="1570">
        <f t="shared" si="86"/>
        <v>0</v>
      </c>
      <c r="H580" s="3177">
        <f t="shared" si="87"/>
        <v>0</v>
      </c>
      <c r="I580" s="2645">
        <f t="shared" si="88"/>
        <v>0</v>
      </c>
      <c r="J580" s="2646">
        <f t="shared" si="89"/>
        <v>0</v>
      </c>
      <c r="K580" s="2353"/>
      <c r="L580" s="2412">
        <f t="shared" si="90"/>
        <v>0</v>
      </c>
      <c r="M580" s="2189">
        <f t="shared" si="90"/>
        <v>0</v>
      </c>
    </row>
    <row r="581" spans="1:13" x14ac:dyDescent="0.25">
      <c r="A581" s="2281">
        <f t="shared" si="92"/>
        <v>83</v>
      </c>
      <c r="B581" s="2287">
        <f t="shared" si="92"/>
        <v>78</v>
      </c>
      <c r="C581" s="2436">
        <f t="shared" si="82"/>
        <v>0</v>
      </c>
      <c r="D581" s="408">
        <f t="shared" si="83"/>
        <v>0</v>
      </c>
      <c r="E581" s="3175">
        <f t="shared" si="84"/>
        <v>0</v>
      </c>
      <c r="F581" s="3176">
        <f t="shared" si="85"/>
        <v>0</v>
      </c>
      <c r="G581" s="1570">
        <f t="shared" si="86"/>
        <v>0</v>
      </c>
      <c r="H581" s="3177">
        <f t="shared" si="87"/>
        <v>0</v>
      </c>
      <c r="I581" s="2645">
        <f t="shared" si="88"/>
        <v>0</v>
      </c>
      <c r="J581" s="2646">
        <f t="shared" si="89"/>
        <v>0</v>
      </c>
      <c r="K581" s="2353"/>
      <c r="L581" s="2412">
        <f t="shared" si="90"/>
        <v>0</v>
      </c>
      <c r="M581" s="2189">
        <f t="shared" si="90"/>
        <v>0</v>
      </c>
    </row>
    <row r="582" spans="1:13" x14ac:dyDescent="0.25">
      <c r="A582" s="2281">
        <f t="shared" si="92"/>
        <v>84</v>
      </c>
      <c r="B582" s="2287">
        <f t="shared" si="92"/>
        <v>79</v>
      </c>
      <c r="C582" s="2436">
        <f t="shared" si="82"/>
        <v>0</v>
      </c>
      <c r="D582" s="408">
        <f t="shared" si="83"/>
        <v>0</v>
      </c>
      <c r="E582" s="3175">
        <f t="shared" si="84"/>
        <v>0</v>
      </c>
      <c r="F582" s="3176">
        <f t="shared" si="85"/>
        <v>0</v>
      </c>
      <c r="G582" s="1570">
        <f t="shared" si="86"/>
        <v>0</v>
      </c>
      <c r="H582" s="3177">
        <f t="shared" si="87"/>
        <v>0</v>
      </c>
      <c r="I582" s="2645">
        <f t="shared" si="88"/>
        <v>0</v>
      </c>
      <c r="J582" s="2646">
        <f t="shared" si="89"/>
        <v>0</v>
      </c>
      <c r="K582" s="2353"/>
      <c r="L582" s="2412">
        <f t="shared" si="90"/>
        <v>0</v>
      </c>
      <c r="M582" s="2189">
        <f t="shared" si="90"/>
        <v>0</v>
      </c>
    </row>
    <row r="583" spans="1:13" x14ac:dyDescent="0.25">
      <c r="A583" s="2281">
        <f t="shared" si="92"/>
        <v>85</v>
      </c>
      <c r="B583" s="2287">
        <f t="shared" si="92"/>
        <v>80</v>
      </c>
      <c r="C583" s="2436">
        <f t="shared" si="82"/>
        <v>0</v>
      </c>
      <c r="D583" s="408">
        <f t="shared" si="83"/>
        <v>0</v>
      </c>
      <c r="E583" s="3175">
        <f t="shared" si="84"/>
        <v>0</v>
      </c>
      <c r="F583" s="3176">
        <f t="shared" si="85"/>
        <v>0</v>
      </c>
      <c r="G583" s="1570">
        <f t="shared" si="86"/>
        <v>0</v>
      </c>
      <c r="H583" s="3177">
        <f t="shared" si="87"/>
        <v>0</v>
      </c>
      <c r="I583" s="2645">
        <f t="shared" si="88"/>
        <v>0</v>
      </c>
      <c r="J583" s="2646">
        <f t="shared" si="89"/>
        <v>0</v>
      </c>
      <c r="K583" s="2353"/>
      <c r="L583" s="2412">
        <f t="shared" si="90"/>
        <v>0</v>
      </c>
      <c r="M583" s="2189">
        <f t="shared" si="90"/>
        <v>0</v>
      </c>
    </row>
    <row r="584" spans="1:13" x14ac:dyDescent="0.25">
      <c r="A584" s="2281">
        <f t="shared" si="92"/>
        <v>86</v>
      </c>
      <c r="B584" s="2287">
        <f t="shared" si="92"/>
        <v>81</v>
      </c>
      <c r="C584" s="2436">
        <f t="shared" si="82"/>
        <v>0</v>
      </c>
      <c r="D584" s="408">
        <f t="shared" si="83"/>
        <v>0</v>
      </c>
      <c r="E584" s="3175">
        <f t="shared" si="84"/>
        <v>0</v>
      </c>
      <c r="F584" s="3176">
        <f t="shared" si="85"/>
        <v>0</v>
      </c>
      <c r="G584" s="1570">
        <f t="shared" si="86"/>
        <v>0</v>
      </c>
      <c r="H584" s="3177">
        <f t="shared" si="87"/>
        <v>0</v>
      </c>
      <c r="I584" s="2645">
        <f t="shared" si="88"/>
        <v>0</v>
      </c>
      <c r="J584" s="2646">
        <f t="shared" si="89"/>
        <v>0</v>
      </c>
      <c r="K584" s="2353"/>
      <c r="L584" s="2412">
        <f t="shared" si="90"/>
        <v>0</v>
      </c>
      <c r="M584" s="2189">
        <f t="shared" si="90"/>
        <v>0</v>
      </c>
    </row>
    <row r="585" spans="1:13" x14ac:dyDescent="0.25">
      <c r="A585" s="2281">
        <f t="shared" si="92"/>
        <v>87</v>
      </c>
      <c r="B585" s="2287">
        <f t="shared" si="92"/>
        <v>82</v>
      </c>
      <c r="C585" s="2436">
        <f t="shared" si="82"/>
        <v>0</v>
      </c>
      <c r="D585" s="408">
        <f t="shared" si="83"/>
        <v>0</v>
      </c>
      <c r="E585" s="3175">
        <f t="shared" si="84"/>
        <v>0</v>
      </c>
      <c r="F585" s="3176">
        <f t="shared" si="85"/>
        <v>0</v>
      </c>
      <c r="G585" s="1570">
        <f t="shared" si="86"/>
        <v>0</v>
      </c>
      <c r="H585" s="3177">
        <f t="shared" si="87"/>
        <v>0</v>
      </c>
      <c r="I585" s="2645">
        <f t="shared" si="88"/>
        <v>0</v>
      </c>
      <c r="J585" s="2646">
        <f t="shared" si="89"/>
        <v>0</v>
      </c>
      <c r="K585" s="2353"/>
      <c r="L585" s="2412">
        <f t="shared" si="90"/>
        <v>0</v>
      </c>
      <c r="M585" s="2189">
        <f t="shared" si="90"/>
        <v>0</v>
      </c>
    </row>
    <row r="586" spans="1:13" x14ac:dyDescent="0.25">
      <c r="A586" s="2281">
        <f t="shared" si="92"/>
        <v>88</v>
      </c>
      <c r="B586" s="2287">
        <f t="shared" si="92"/>
        <v>83</v>
      </c>
      <c r="C586" s="2436">
        <f t="shared" si="82"/>
        <v>0</v>
      </c>
      <c r="D586" s="408">
        <f t="shared" si="83"/>
        <v>0</v>
      </c>
      <c r="E586" s="3175">
        <f t="shared" si="84"/>
        <v>0</v>
      </c>
      <c r="F586" s="3176">
        <f t="shared" si="85"/>
        <v>0</v>
      </c>
      <c r="G586" s="1570">
        <f t="shared" si="86"/>
        <v>0</v>
      </c>
      <c r="H586" s="3177">
        <f t="shared" si="87"/>
        <v>0</v>
      </c>
      <c r="I586" s="2645">
        <f t="shared" si="88"/>
        <v>0</v>
      </c>
      <c r="J586" s="2646">
        <f t="shared" si="89"/>
        <v>0</v>
      </c>
      <c r="K586" s="2353"/>
      <c r="L586" s="2412">
        <f t="shared" si="90"/>
        <v>0</v>
      </c>
      <c r="M586" s="2189">
        <f t="shared" si="90"/>
        <v>0</v>
      </c>
    </row>
    <row r="587" spans="1:13" x14ac:dyDescent="0.25">
      <c r="A587" s="2281">
        <f t="shared" si="92"/>
        <v>89</v>
      </c>
      <c r="B587" s="2287">
        <f t="shared" si="92"/>
        <v>84</v>
      </c>
      <c r="C587" s="2436">
        <f t="shared" si="82"/>
        <v>0</v>
      </c>
      <c r="D587" s="408">
        <f t="shared" si="83"/>
        <v>0</v>
      </c>
      <c r="E587" s="3175">
        <f t="shared" si="84"/>
        <v>0</v>
      </c>
      <c r="F587" s="3176">
        <f t="shared" si="85"/>
        <v>0</v>
      </c>
      <c r="G587" s="1570">
        <f t="shared" si="86"/>
        <v>0</v>
      </c>
      <c r="H587" s="3177">
        <f t="shared" si="87"/>
        <v>0</v>
      </c>
      <c r="I587" s="2645">
        <f t="shared" si="88"/>
        <v>0</v>
      </c>
      <c r="J587" s="2646">
        <f t="shared" si="89"/>
        <v>0</v>
      </c>
      <c r="K587" s="2353"/>
      <c r="L587" s="2412">
        <f t="shared" si="90"/>
        <v>0</v>
      </c>
      <c r="M587" s="2189">
        <f t="shared" si="90"/>
        <v>0</v>
      </c>
    </row>
    <row r="588" spans="1:13" x14ac:dyDescent="0.25">
      <c r="A588" s="2281">
        <f t="shared" si="92"/>
        <v>90</v>
      </c>
      <c r="B588" s="2287">
        <f t="shared" si="92"/>
        <v>85</v>
      </c>
      <c r="C588" s="2436">
        <f t="shared" si="82"/>
        <v>0</v>
      </c>
      <c r="D588" s="408">
        <f t="shared" si="83"/>
        <v>0</v>
      </c>
      <c r="E588" s="3175">
        <f t="shared" si="84"/>
        <v>0</v>
      </c>
      <c r="F588" s="3176">
        <f t="shared" si="85"/>
        <v>0</v>
      </c>
      <c r="G588" s="1570">
        <f t="shared" si="86"/>
        <v>0</v>
      </c>
      <c r="H588" s="3177">
        <f t="shared" si="87"/>
        <v>0</v>
      </c>
      <c r="I588" s="2645">
        <f t="shared" si="88"/>
        <v>0</v>
      </c>
      <c r="J588" s="2646">
        <f t="shared" si="89"/>
        <v>0</v>
      </c>
      <c r="K588" s="2353"/>
      <c r="L588" s="2412">
        <f t="shared" si="90"/>
        <v>0</v>
      </c>
      <c r="M588" s="2189">
        <f t="shared" si="90"/>
        <v>0</v>
      </c>
    </row>
    <row r="589" spans="1:13" x14ac:dyDescent="0.25">
      <c r="A589" s="2281">
        <f t="shared" si="92"/>
        <v>91</v>
      </c>
      <c r="B589" s="2287">
        <f t="shared" si="92"/>
        <v>86</v>
      </c>
      <c r="C589" s="2436">
        <f t="shared" si="82"/>
        <v>0</v>
      </c>
      <c r="D589" s="408">
        <f t="shared" si="83"/>
        <v>0</v>
      </c>
      <c r="E589" s="3175">
        <f t="shared" si="84"/>
        <v>0</v>
      </c>
      <c r="F589" s="3176">
        <f t="shared" si="85"/>
        <v>0</v>
      </c>
      <c r="G589" s="1570">
        <f t="shared" si="86"/>
        <v>0</v>
      </c>
      <c r="H589" s="3177">
        <f t="shared" si="87"/>
        <v>0</v>
      </c>
      <c r="I589" s="2645">
        <f t="shared" si="88"/>
        <v>0</v>
      </c>
      <c r="J589" s="2646">
        <f t="shared" si="89"/>
        <v>0</v>
      </c>
      <c r="K589" s="2353"/>
      <c r="L589" s="2412">
        <f t="shared" si="90"/>
        <v>0</v>
      </c>
      <c r="M589" s="2189">
        <f t="shared" si="90"/>
        <v>0</v>
      </c>
    </row>
    <row r="590" spans="1:13" x14ac:dyDescent="0.25">
      <c r="A590" s="2281">
        <f t="shared" si="92"/>
        <v>92</v>
      </c>
      <c r="B590" s="2287">
        <f t="shared" si="92"/>
        <v>87</v>
      </c>
      <c r="C590" s="2436">
        <f t="shared" si="82"/>
        <v>0</v>
      </c>
      <c r="D590" s="408">
        <f t="shared" si="83"/>
        <v>0</v>
      </c>
      <c r="E590" s="3175">
        <f t="shared" si="84"/>
        <v>0</v>
      </c>
      <c r="F590" s="3176">
        <f t="shared" si="85"/>
        <v>0</v>
      </c>
      <c r="G590" s="1570">
        <f t="shared" si="86"/>
        <v>0</v>
      </c>
      <c r="H590" s="3177">
        <f t="shared" si="87"/>
        <v>0</v>
      </c>
      <c r="I590" s="2645">
        <f t="shared" si="88"/>
        <v>0</v>
      </c>
      <c r="J590" s="2646">
        <f t="shared" si="89"/>
        <v>0</v>
      </c>
      <c r="K590" s="2353"/>
      <c r="L590" s="2412">
        <f t="shared" si="90"/>
        <v>0</v>
      </c>
      <c r="M590" s="2189">
        <f t="shared" si="90"/>
        <v>0</v>
      </c>
    </row>
    <row r="591" spans="1:13" x14ac:dyDescent="0.25">
      <c r="A591" s="2281">
        <f t="shared" si="92"/>
        <v>93</v>
      </c>
      <c r="B591" s="2287">
        <f t="shared" si="92"/>
        <v>88</v>
      </c>
      <c r="C591" s="2436">
        <f t="shared" si="82"/>
        <v>0</v>
      </c>
      <c r="D591" s="408">
        <f t="shared" si="83"/>
        <v>0</v>
      </c>
      <c r="E591" s="3175">
        <f t="shared" si="84"/>
        <v>0</v>
      </c>
      <c r="F591" s="3176">
        <f t="shared" si="85"/>
        <v>0</v>
      </c>
      <c r="G591" s="1570">
        <f t="shared" si="86"/>
        <v>0</v>
      </c>
      <c r="H591" s="3177">
        <f t="shared" si="87"/>
        <v>0</v>
      </c>
      <c r="I591" s="2645">
        <f t="shared" si="88"/>
        <v>0</v>
      </c>
      <c r="J591" s="2646">
        <f t="shared" si="89"/>
        <v>0</v>
      </c>
      <c r="K591" s="2353"/>
      <c r="L591" s="2412">
        <f t="shared" si="90"/>
        <v>0</v>
      </c>
      <c r="M591" s="2189">
        <f t="shared" si="90"/>
        <v>0</v>
      </c>
    </row>
    <row r="592" spans="1:13" x14ac:dyDescent="0.25">
      <c r="A592" s="2281">
        <f t="shared" ref="A592:B594" si="93">A591+1</f>
        <v>94</v>
      </c>
      <c r="B592" s="2287">
        <f t="shared" si="93"/>
        <v>89</v>
      </c>
      <c r="C592" s="2436">
        <f t="shared" si="82"/>
        <v>0</v>
      </c>
      <c r="D592" s="408">
        <f t="shared" si="83"/>
        <v>0</v>
      </c>
      <c r="E592" s="3175">
        <f t="shared" si="84"/>
        <v>0</v>
      </c>
      <c r="F592" s="3176">
        <f t="shared" si="85"/>
        <v>0</v>
      </c>
      <c r="G592" s="1570">
        <f t="shared" si="86"/>
        <v>0</v>
      </c>
      <c r="H592" s="3177">
        <f t="shared" si="87"/>
        <v>0</v>
      </c>
      <c r="I592" s="2645">
        <f t="shared" si="88"/>
        <v>0</v>
      </c>
      <c r="J592" s="2646">
        <f t="shared" si="89"/>
        <v>0</v>
      </c>
      <c r="K592" s="2353"/>
      <c r="L592" s="2412">
        <f t="shared" si="90"/>
        <v>0</v>
      </c>
      <c r="M592" s="2189">
        <f t="shared" si="90"/>
        <v>0</v>
      </c>
    </row>
    <row r="593" spans="1:13" x14ac:dyDescent="0.25">
      <c r="A593" s="2281">
        <f t="shared" si="93"/>
        <v>95</v>
      </c>
      <c r="B593" s="2287">
        <f t="shared" si="93"/>
        <v>90</v>
      </c>
      <c r="C593" s="2436">
        <f t="shared" si="82"/>
        <v>0</v>
      </c>
      <c r="D593" s="408">
        <f t="shared" si="83"/>
        <v>0</v>
      </c>
      <c r="E593" s="3175">
        <f t="shared" si="84"/>
        <v>0</v>
      </c>
      <c r="F593" s="3176">
        <f t="shared" si="85"/>
        <v>0</v>
      </c>
      <c r="G593" s="1570">
        <f t="shared" si="86"/>
        <v>0</v>
      </c>
      <c r="H593" s="3177">
        <f t="shared" si="87"/>
        <v>0</v>
      </c>
      <c r="I593" s="2645">
        <f t="shared" si="88"/>
        <v>0</v>
      </c>
      <c r="J593" s="2646">
        <f t="shared" si="89"/>
        <v>0</v>
      </c>
      <c r="K593" s="2353"/>
      <c r="L593" s="2412">
        <f t="shared" si="90"/>
        <v>0</v>
      </c>
      <c r="M593" s="2189">
        <f t="shared" si="90"/>
        <v>0</v>
      </c>
    </row>
    <row r="594" spans="1:13" ht="15.75" thickBot="1" x14ac:dyDescent="0.3">
      <c r="A594" s="2285">
        <f t="shared" si="93"/>
        <v>96</v>
      </c>
      <c r="B594" s="2288">
        <f t="shared" si="93"/>
        <v>91</v>
      </c>
      <c r="C594" s="2436">
        <f t="shared" si="82"/>
        <v>0</v>
      </c>
      <c r="D594" s="408">
        <f t="shared" si="83"/>
        <v>0</v>
      </c>
      <c r="E594" s="3175">
        <f t="shared" si="84"/>
        <v>0</v>
      </c>
      <c r="F594" s="3176">
        <f t="shared" si="85"/>
        <v>0</v>
      </c>
      <c r="G594" s="1570">
        <f t="shared" si="86"/>
        <v>0</v>
      </c>
      <c r="H594" s="3177">
        <f t="shared" si="87"/>
        <v>0</v>
      </c>
      <c r="I594" s="2645">
        <f t="shared" si="88"/>
        <v>0</v>
      </c>
      <c r="J594" s="2646">
        <f t="shared" si="89"/>
        <v>0</v>
      </c>
      <c r="K594" s="1948"/>
      <c r="L594" s="2413">
        <f t="shared" si="90"/>
        <v>0</v>
      </c>
      <c r="M594" s="2191">
        <f t="shared" si="90"/>
        <v>0</v>
      </c>
    </row>
    <row r="595" spans="1:13" ht="15.75" thickTop="1" x14ac:dyDescent="0.25">
      <c r="A595" s="2013"/>
      <c r="B595" s="1341"/>
      <c r="C595" s="1341"/>
      <c r="D595" s="1341"/>
      <c r="E595" s="1341"/>
      <c r="F595" s="1341"/>
      <c r="G595" s="1341"/>
      <c r="H595" s="1341"/>
      <c r="I595" s="1341"/>
      <c r="J595" s="1341"/>
      <c r="K595" s="1341"/>
      <c r="L595" s="1341"/>
      <c r="M595" s="1342"/>
    </row>
    <row r="596" spans="1:13" ht="15.75" thickBot="1" x14ac:dyDescent="0.3">
      <c r="A596" s="2073"/>
      <c r="B596" s="1314"/>
      <c r="C596" s="1314"/>
      <c r="D596" s="1314"/>
      <c r="E596" s="1314"/>
      <c r="F596" s="1314"/>
      <c r="G596" s="1314"/>
      <c r="H596" s="1314"/>
      <c r="I596" s="1314"/>
      <c r="J596" s="1314"/>
      <c r="K596" s="1314"/>
      <c r="L596" s="1314"/>
      <c r="M596" s="1315"/>
    </row>
    <row r="597" spans="1:13" ht="19.5" thickTop="1" x14ac:dyDescent="0.3">
      <c r="A597" s="1340" t="s">
        <v>2165</v>
      </c>
      <c r="B597" s="1341"/>
      <c r="C597" s="1341"/>
      <c r="D597" s="1341"/>
      <c r="E597" s="2282"/>
      <c r="F597" s="1341"/>
      <c r="G597" s="1341"/>
      <c r="H597" s="1341"/>
      <c r="I597" s="1341"/>
      <c r="J597" s="1341"/>
      <c r="K597" s="1341"/>
      <c r="L597" s="1341"/>
      <c r="M597" s="1342"/>
    </row>
    <row r="598" spans="1:13" x14ac:dyDescent="0.25">
      <c r="A598" s="1336" t="s">
        <v>2876</v>
      </c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1311"/>
    </row>
    <row r="599" spans="1:13" x14ac:dyDescent="0.25">
      <c r="A599" s="1336" t="s">
        <v>2166</v>
      </c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1311"/>
    </row>
    <row r="600" spans="1:13" s="1382" customFormat="1" ht="15.75" x14ac:dyDescent="0.25">
      <c r="A600" s="1336"/>
      <c r="B600" s="215" t="s">
        <v>1958</v>
      </c>
      <c r="C600" s="6"/>
      <c r="D600" s="6"/>
      <c r="E600" s="6"/>
      <c r="F600" s="6"/>
      <c r="K600" s="6"/>
      <c r="L600" s="33"/>
      <c r="M600" s="1311"/>
    </row>
    <row r="601" spans="1:13" ht="15.75" thickBot="1" x14ac:dyDescent="0.3">
      <c r="A601" s="2073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1311"/>
    </row>
    <row r="602" spans="1:13" ht="74.25" thickTop="1" thickBot="1" x14ac:dyDescent="0.3">
      <c r="A602" s="2588" t="s">
        <v>142</v>
      </c>
      <c r="B602" s="2589" t="s">
        <v>143</v>
      </c>
      <c r="C602" s="512" t="s">
        <v>2167</v>
      </c>
      <c r="D602" s="512" t="s">
        <v>2168</v>
      </c>
      <c r="E602" s="453" t="s">
        <v>2169</v>
      </c>
      <c r="F602" s="453" t="s">
        <v>2170</v>
      </c>
      <c r="G602" s="431" t="s">
        <v>2171</v>
      </c>
      <c r="H602" s="431" t="s">
        <v>2172</v>
      </c>
      <c r="I602" s="2279" t="s">
        <v>2173</v>
      </c>
      <c r="J602" s="2279" t="s">
        <v>2174</v>
      </c>
      <c r="K602" s="1946"/>
      <c r="L602" s="2410" t="s">
        <v>2175</v>
      </c>
      <c r="M602" s="2411" t="s">
        <v>2175</v>
      </c>
    </row>
    <row r="603" spans="1:13" ht="15.75" thickTop="1" x14ac:dyDescent="0.25">
      <c r="A603" s="2572">
        <f>'1. AgeData'!$D$30</f>
        <v>60</v>
      </c>
      <c r="B603" s="2573">
        <f>'1. AgeData'!$D$31</f>
        <v>55</v>
      </c>
      <c r="C603" s="2632">
        <f>IF('S. Setup'!$J$59&lt;&gt;"yes",0,SUMIF($D$703:$D$805,("="&amp;A603),$E$703:$E$805))</f>
        <v>2000</v>
      </c>
      <c r="D603" s="2634">
        <f>IF('S. Setup'!$J$59&lt;&gt;"yes",0,SUMIF($H$703:$H$805,("="&amp;B603),$I$703:$I$805))</f>
        <v>0</v>
      </c>
      <c r="E603" s="2436">
        <f>IF('S. Setup'!$J$59&lt;&gt;"yes",0,SUMIF($J$703:$J$805,("="&amp;A603),$K$703:$K$805))</f>
        <v>0</v>
      </c>
      <c r="F603" s="2438">
        <f>IF('S. Setup'!$J$59&lt;&gt;"yes",0,SUMIF($L$703:$L$805,("="&amp;#REF!),$M$703:$M$805))</f>
        <v>0</v>
      </c>
      <c r="G603" s="917">
        <f>IF('S. Setup'!$J$59&lt;&gt;"yes",0,SUMIF($B$811:$B$913,("="&amp;A603),$C$811:$C$913))</f>
        <v>0</v>
      </c>
      <c r="H603" s="2602">
        <f>IF('S. Setup'!$J$59&lt;&gt;"yes",0,SUMIF($D$811:$D$913,("="&amp;B603),$E$811:$E$913))</f>
        <v>0</v>
      </c>
      <c r="I603" s="2645">
        <f>IF('S. Setup'!$J$59&lt;&gt;"yes",0,SUMIF($H$811:$H$913,("="&amp;A603),$I$811:$I$913))</f>
        <v>0</v>
      </c>
      <c r="J603" s="2646">
        <f>IF('S. Setup'!$J$59&lt;&gt;"yes",0,SUMIF($L$811:$L$913,("="&amp;B603),$M$811:$M$913))</f>
        <v>0</v>
      </c>
      <c r="K603" s="2353"/>
      <c r="L603" s="2412">
        <f>C603+E603+G603+I603</f>
        <v>2000</v>
      </c>
      <c r="M603" s="2189">
        <f>D603+F603+H603+J603</f>
        <v>0</v>
      </c>
    </row>
    <row r="604" spans="1:13" x14ac:dyDescent="0.25">
      <c r="A604" s="2594">
        <f>A603+1</f>
        <v>61</v>
      </c>
      <c r="B604" s="884">
        <f>B603+1</f>
        <v>56</v>
      </c>
      <c r="C604" s="2436">
        <f>IF('S. Setup'!$J$59&lt;&gt;"yes",0,SUMIF($D$703:$D$805,("="&amp;A604),$E$703:$E$805))</f>
        <v>0</v>
      </c>
      <c r="D604" s="2635">
        <f>IF('S. Setup'!$J$59&lt;&gt;"yes",0,SUMIF($H$703:$H$805,("="&amp;B604),$I$703:$I$805))</f>
        <v>0</v>
      </c>
      <c r="E604" s="2436">
        <f>IF('S. Setup'!$J$59&lt;&gt;"yes",0,SUMIF($J$703:$J$805,("="&amp;A604),$K$703:$K$805))</f>
        <v>0</v>
      </c>
      <c r="F604" s="2439">
        <f>IF('S. Setup'!$J$59&lt;&gt;"yes",0,SUMIF($L$703:$L$805,("="&amp;#REF!),$M$703:$M$805))</f>
        <v>0</v>
      </c>
      <c r="G604" s="917">
        <f>IF('S. Setup'!$J$59&lt;&gt;"yes",0,SUMIF($B$811:$B$913,("="&amp;A604),$C$811:$C$913))</f>
        <v>0</v>
      </c>
      <c r="H604" s="2602">
        <f>IF('S. Setup'!$J$59&lt;&gt;"yes",0,SUMIF($D$811:$D$913,("="&amp;B604),$E$811:$E$913))</f>
        <v>0</v>
      </c>
      <c r="I604" s="2645">
        <f>IF('S. Setup'!$J$59&lt;&gt;"yes",0,SUMIF($H$811:$H$913,("="&amp;A604),$I$811:$I$913))</f>
        <v>0</v>
      </c>
      <c r="J604" s="2646">
        <f>IF('S. Setup'!$J$59&lt;&gt;"yes",0,SUMIF($L$811:$L$913,("="&amp;B604),$M$811:$M$913))</f>
        <v>0</v>
      </c>
      <c r="K604" s="2353"/>
      <c r="L604" s="2412">
        <f t="shared" ref="L604:L639" si="94">C604+E604+G604+I604</f>
        <v>0</v>
      </c>
      <c r="M604" s="2189">
        <f t="shared" ref="M604:M639" si="95">D604+F604+H604+J604</f>
        <v>0</v>
      </c>
    </row>
    <row r="605" spans="1:13" x14ac:dyDescent="0.25">
      <c r="A605" s="2594">
        <f t="shared" ref="A605:A639" si="96">A604+1</f>
        <v>62</v>
      </c>
      <c r="B605" s="884">
        <f t="shared" ref="B605:B639" si="97">B604+1</f>
        <v>57</v>
      </c>
      <c r="C605" s="2436">
        <f>IF('S. Setup'!$J$59&lt;&gt;"yes",0,SUMIF($D$703:$D$805,("="&amp;A605),$E$703:$E$805))</f>
        <v>0</v>
      </c>
      <c r="D605" s="2635">
        <f>IF('S. Setup'!$J$59&lt;&gt;"yes",0,SUMIF($H$703:$H$805,("="&amp;B605),$I$703:$I$805))</f>
        <v>0</v>
      </c>
      <c r="E605" s="2436">
        <f>IF('S. Setup'!$J$59&lt;&gt;"yes",0,SUMIF($J$703:$J$805,("="&amp;A605),$K$703:$K$805))</f>
        <v>0</v>
      </c>
      <c r="F605" s="2439">
        <f>IF('S. Setup'!$J$59&lt;&gt;"yes",0,SUMIF($L$703:$L$805,("="&amp;#REF!),$M$703:$M$805))</f>
        <v>0</v>
      </c>
      <c r="G605" s="917">
        <f>IF('S. Setup'!$J$59&lt;&gt;"yes",0,SUMIF($B$811:$B$913,("="&amp;A605),$C$811:$C$913))</f>
        <v>0</v>
      </c>
      <c r="H605" s="2602">
        <f>IF('S. Setup'!$J$59&lt;&gt;"yes",0,SUMIF($D$811:$D$913,("="&amp;B605),$E$811:$E$913))</f>
        <v>0</v>
      </c>
      <c r="I605" s="2645">
        <f>IF('S. Setup'!$J$59&lt;&gt;"yes",0,SUMIF($H$811:$H$913,("="&amp;A605),$I$811:$I$913))</f>
        <v>0</v>
      </c>
      <c r="J605" s="2646">
        <f>IF('S. Setup'!$J$59&lt;&gt;"yes",0,SUMIF($L$811:$L$913,("="&amp;B605),$M$811:$M$913))</f>
        <v>0</v>
      </c>
      <c r="K605" s="2353"/>
      <c r="L605" s="2412">
        <f t="shared" si="94"/>
        <v>0</v>
      </c>
      <c r="M605" s="2189">
        <f t="shared" si="95"/>
        <v>0</v>
      </c>
    </row>
    <row r="606" spans="1:13" x14ac:dyDescent="0.25">
      <c r="A606" s="2594">
        <f t="shared" si="96"/>
        <v>63</v>
      </c>
      <c r="B606" s="884">
        <f t="shared" si="97"/>
        <v>58</v>
      </c>
      <c r="C606" s="2436">
        <f>IF('S. Setup'!$J$59&lt;&gt;"yes",0,SUMIF($D$703:$D$805,("="&amp;A606),$E$703:$E$805))</f>
        <v>0</v>
      </c>
      <c r="D606" s="2635">
        <f>IF('S. Setup'!$J$59&lt;&gt;"yes",0,SUMIF($H$703:$H$805,("="&amp;B606),$I$703:$I$805))</f>
        <v>0</v>
      </c>
      <c r="E606" s="2436">
        <f>IF('S. Setup'!$J$59&lt;&gt;"yes",0,SUMIF($J$703:$J$805,("="&amp;A606),$K$703:$K$805))</f>
        <v>0</v>
      </c>
      <c r="F606" s="2439">
        <f>IF('S. Setup'!$J$59&lt;&gt;"yes",0,SUMIF($L$703:$L$805,("="&amp;#REF!),$M$703:$M$805))</f>
        <v>0</v>
      </c>
      <c r="G606" s="917">
        <f>IF('S. Setup'!$J$59&lt;&gt;"yes",0,SUMIF($B$811:$B$913,("="&amp;A606),$C$811:$C$913))</f>
        <v>0</v>
      </c>
      <c r="H606" s="2602">
        <f>IF('S. Setup'!$J$59&lt;&gt;"yes",0,SUMIF($D$811:$D$913,("="&amp;B606),$E$811:$E$913))</f>
        <v>0</v>
      </c>
      <c r="I606" s="2645">
        <f>IF('S. Setup'!$J$59&lt;&gt;"yes",0,SUMIF($H$811:$H$913,("="&amp;A606),$I$811:$I$913))</f>
        <v>0</v>
      </c>
      <c r="J606" s="2646">
        <f>IF('S. Setup'!$J$59&lt;&gt;"yes",0,SUMIF($L$811:$L$913,("="&amp;B606),$M$811:$M$913))</f>
        <v>0</v>
      </c>
      <c r="K606" s="2353"/>
      <c r="L606" s="2412">
        <f t="shared" si="94"/>
        <v>0</v>
      </c>
      <c r="M606" s="2189">
        <f t="shared" si="95"/>
        <v>0</v>
      </c>
    </row>
    <row r="607" spans="1:13" x14ac:dyDescent="0.25">
      <c r="A607" s="2594">
        <f t="shared" si="96"/>
        <v>64</v>
      </c>
      <c r="B607" s="884">
        <f t="shared" si="97"/>
        <v>59</v>
      </c>
      <c r="C607" s="2436">
        <f>IF('S. Setup'!$J$59&lt;&gt;"yes",0,SUMIF($D$703:$D$805,("="&amp;A607),$E$703:$E$805))</f>
        <v>0</v>
      </c>
      <c r="D607" s="2635">
        <f>IF('S. Setup'!$J$59&lt;&gt;"yes",0,SUMIF($H$703:$H$805,("="&amp;B607),$I$703:$I$805))</f>
        <v>0</v>
      </c>
      <c r="E607" s="2436">
        <f>IF('S. Setup'!$J$59&lt;&gt;"yes",0,SUMIF($J$703:$J$805,("="&amp;A607),$K$703:$K$805))</f>
        <v>0</v>
      </c>
      <c r="F607" s="2439">
        <f>IF('S. Setup'!$J$59&lt;&gt;"yes",0,SUMIF($L$703:$L$805,("="&amp;#REF!),$M$703:$M$805))</f>
        <v>0</v>
      </c>
      <c r="G607" s="917">
        <f>IF('S. Setup'!$J$59&lt;&gt;"yes",0,SUMIF($B$811:$B$913,("="&amp;A607),$C$811:$C$913))</f>
        <v>0</v>
      </c>
      <c r="H607" s="2602">
        <f>IF('S. Setup'!$J$59&lt;&gt;"yes",0,SUMIF($D$811:$D$913,("="&amp;B607),$E$811:$E$913))</f>
        <v>0</v>
      </c>
      <c r="I607" s="2645">
        <f>IF('S. Setup'!$J$59&lt;&gt;"yes",0,SUMIF($H$811:$H$913,("="&amp;A607),$I$811:$I$913))</f>
        <v>0</v>
      </c>
      <c r="J607" s="2646">
        <f>IF('S. Setup'!$J$59&lt;&gt;"yes",0,SUMIF($L$811:$L$913,("="&amp;B607),$M$811:$M$913))</f>
        <v>0</v>
      </c>
      <c r="K607" s="2353"/>
      <c r="L607" s="2412">
        <f t="shared" si="94"/>
        <v>0</v>
      </c>
      <c r="M607" s="2189">
        <f t="shared" si="95"/>
        <v>0</v>
      </c>
    </row>
    <row r="608" spans="1:13" x14ac:dyDescent="0.25">
      <c r="A608" s="2594">
        <f t="shared" si="96"/>
        <v>65</v>
      </c>
      <c r="B608" s="884">
        <f t="shared" si="97"/>
        <v>60</v>
      </c>
      <c r="C608" s="2436">
        <f>IF('S. Setup'!$J$59&lt;&gt;"yes",0,SUMIF($D$703:$D$805,("="&amp;A608),$E$703:$E$805))</f>
        <v>0</v>
      </c>
      <c r="D608" s="2635">
        <f>IF('S. Setup'!$J$59&lt;&gt;"yes",0,SUMIF($H$703:$H$805,("="&amp;B608),$I$703:$I$805))</f>
        <v>0</v>
      </c>
      <c r="E608" s="2436">
        <f>IF('S. Setup'!$J$59&lt;&gt;"yes",0,SUMIF($J$703:$J$805,("="&amp;A608),$K$703:$K$805))</f>
        <v>0</v>
      </c>
      <c r="F608" s="2439">
        <f>IF('S. Setup'!$J$59&lt;&gt;"yes",0,SUMIF($L$703:$L$805,("="&amp;#REF!),$M$703:$M$805))</f>
        <v>0</v>
      </c>
      <c r="G608" s="917">
        <f>IF('S. Setup'!$J$59&lt;&gt;"yes",0,SUMIF($B$811:$B$913,("="&amp;A608),$C$811:$C$913))</f>
        <v>0</v>
      </c>
      <c r="H608" s="2602">
        <f>IF('S. Setup'!$J$59&lt;&gt;"yes",0,SUMIF($D$811:$D$913,("="&amp;B608),$E$811:$E$913))</f>
        <v>0</v>
      </c>
      <c r="I608" s="2645">
        <f>IF('S. Setup'!$J$59&lt;&gt;"yes",0,SUMIF($H$811:$H$913,("="&amp;A608),$I$811:$I$913))</f>
        <v>0</v>
      </c>
      <c r="J608" s="2646">
        <f>IF('S. Setup'!$J$59&lt;&gt;"yes",0,SUMIF($L$811:$L$913,("="&amp;B608),$M$811:$M$913))</f>
        <v>0</v>
      </c>
      <c r="K608" s="2353"/>
      <c r="L608" s="2412">
        <f t="shared" si="94"/>
        <v>0</v>
      </c>
      <c r="M608" s="2189">
        <f t="shared" si="95"/>
        <v>0</v>
      </c>
    </row>
    <row r="609" spans="1:13" x14ac:dyDescent="0.25">
      <c r="A609" s="2594">
        <f t="shared" si="96"/>
        <v>66</v>
      </c>
      <c r="B609" s="884">
        <f t="shared" si="97"/>
        <v>61</v>
      </c>
      <c r="C609" s="2436">
        <f>IF('S. Setup'!$J$59&lt;&gt;"yes",0,SUMIF($D$703:$D$805,("="&amp;A609),$E$703:$E$805))</f>
        <v>0</v>
      </c>
      <c r="D609" s="2635">
        <f>IF('S. Setup'!$J$59&lt;&gt;"yes",0,SUMIF($H$703:$H$805,("="&amp;B609),$I$703:$I$805))</f>
        <v>0</v>
      </c>
      <c r="E609" s="2436">
        <f>IF('S. Setup'!$J$59&lt;&gt;"yes",0,SUMIF($J$703:$J$805,("="&amp;A609),$K$703:$K$805))</f>
        <v>0</v>
      </c>
      <c r="F609" s="2439">
        <f>IF('S. Setup'!$J$59&lt;&gt;"yes",0,SUMIF($L$703:$L$805,("="&amp;#REF!),$M$703:$M$805))</f>
        <v>0</v>
      </c>
      <c r="G609" s="917">
        <f>IF('S. Setup'!$J$59&lt;&gt;"yes",0,SUMIF($B$811:$B$913,("="&amp;A609),$C$811:$C$913))</f>
        <v>0</v>
      </c>
      <c r="H609" s="2602">
        <f>IF('S. Setup'!$J$59&lt;&gt;"yes",0,SUMIF($D$811:$D$913,("="&amp;B609),$E$811:$E$913))</f>
        <v>0</v>
      </c>
      <c r="I609" s="2645">
        <f>IF('S. Setup'!$J$59&lt;&gt;"yes",0,SUMIF($H$811:$H$913,("="&amp;A609),$I$811:$I$913))</f>
        <v>0</v>
      </c>
      <c r="J609" s="2646">
        <f>IF('S. Setup'!$J$59&lt;&gt;"yes",0,SUMIF($L$811:$L$913,("="&amp;B609),$M$811:$M$913))</f>
        <v>0</v>
      </c>
      <c r="K609" s="2353"/>
      <c r="L609" s="2412">
        <f t="shared" si="94"/>
        <v>0</v>
      </c>
      <c r="M609" s="2189">
        <f t="shared" si="95"/>
        <v>0</v>
      </c>
    </row>
    <row r="610" spans="1:13" x14ac:dyDescent="0.25">
      <c r="A610" s="2594">
        <f t="shared" si="96"/>
        <v>67</v>
      </c>
      <c r="B610" s="884">
        <f t="shared" si="97"/>
        <v>62</v>
      </c>
      <c r="C610" s="2436">
        <f>IF('S. Setup'!$J$59&lt;&gt;"yes",0,SUMIF($D$703:$D$805,("="&amp;A610),$E$703:$E$805))</f>
        <v>0</v>
      </c>
      <c r="D610" s="2635">
        <f>IF('S. Setup'!$J$59&lt;&gt;"yes",0,SUMIF($H$703:$H$805,("="&amp;B610),$I$703:$I$805))</f>
        <v>0</v>
      </c>
      <c r="E610" s="2436">
        <f>IF('S. Setup'!$J$59&lt;&gt;"yes",0,SUMIF($J$703:$J$805,("="&amp;A610),$K$703:$K$805))</f>
        <v>0</v>
      </c>
      <c r="F610" s="2439">
        <f>IF('S. Setup'!$J$59&lt;&gt;"yes",0,SUMIF($L$703:$L$805,("="&amp;#REF!),$M$703:$M$805))</f>
        <v>0</v>
      </c>
      <c r="G610" s="917">
        <f>IF('S. Setup'!$J$59&lt;&gt;"yes",0,SUMIF($B$811:$B$913,("="&amp;A610),$C$811:$C$913))</f>
        <v>0</v>
      </c>
      <c r="H610" s="2602">
        <f>IF('S. Setup'!$J$59&lt;&gt;"yes",0,SUMIF($D$811:$D$913,("="&amp;B610),$E$811:$E$913))</f>
        <v>0</v>
      </c>
      <c r="I610" s="2645">
        <f>IF('S. Setup'!$J$59&lt;&gt;"yes",0,SUMIF($H$811:$H$913,("="&amp;A610),$I$811:$I$913))</f>
        <v>0</v>
      </c>
      <c r="J610" s="2646">
        <f>IF('S. Setup'!$J$59&lt;&gt;"yes",0,SUMIF($L$811:$L$913,("="&amp;B610),$M$811:$M$913))</f>
        <v>0</v>
      </c>
      <c r="K610" s="2353"/>
      <c r="L610" s="2412">
        <f t="shared" si="94"/>
        <v>0</v>
      </c>
      <c r="M610" s="2189">
        <f t="shared" si="95"/>
        <v>0</v>
      </c>
    </row>
    <row r="611" spans="1:13" x14ac:dyDescent="0.25">
      <c r="A611" s="2594">
        <f t="shared" si="96"/>
        <v>68</v>
      </c>
      <c r="B611" s="884">
        <f t="shared" si="97"/>
        <v>63</v>
      </c>
      <c r="C611" s="2436">
        <f>IF('S. Setup'!$J$59&lt;&gt;"yes",0,SUMIF($D$703:$D$805,("="&amp;A611),$E$703:$E$805))</f>
        <v>0</v>
      </c>
      <c r="D611" s="2635">
        <f>IF('S. Setup'!$J$59&lt;&gt;"yes",0,SUMIF($H$703:$H$805,("="&amp;B611),$I$703:$I$805))</f>
        <v>0</v>
      </c>
      <c r="E611" s="2436">
        <f>IF('S. Setup'!$J$59&lt;&gt;"yes",0,SUMIF($J$703:$J$805,("="&amp;A611),$K$703:$K$805))</f>
        <v>0</v>
      </c>
      <c r="F611" s="2439">
        <f>IF('S. Setup'!$J$59&lt;&gt;"yes",0,SUMIF($L$703:$L$805,("="&amp;#REF!),$M$703:$M$805))</f>
        <v>0</v>
      </c>
      <c r="G611" s="917">
        <f>IF('S. Setup'!$J$59&lt;&gt;"yes",0,SUMIF($B$811:$B$913,("="&amp;A611),$C$811:$C$913))</f>
        <v>0</v>
      </c>
      <c r="H611" s="2602">
        <f>IF('S. Setup'!$J$59&lt;&gt;"yes",0,SUMIF($D$811:$D$913,("="&amp;B611),$E$811:$E$913))</f>
        <v>0</v>
      </c>
      <c r="I611" s="2645">
        <f>IF('S. Setup'!$J$59&lt;&gt;"yes",0,SUMIF($H$811:$H$913,("="&amp;A611),$I$811:$I$913))</f>
        <v>0</v>
      </c>
      <c r="J611" s="2646">
        <f>IF('S. Setup'!$J$59&lt;&gt;"yes",0,SUMIF($L$811:$L$913,("="&amp;B611),$M$811:$M$913))</f>
        <v>0</v>
      </c>
      <c r="K611" s="2353"/>
      <c r="L611" s="2412">
        <f t="shared" si="94"/>
        <v>0</v>
      </c>
      <c r="M611" s="2189">
        <f t="shared" si="95"/>
        <v>0</v>
      </c>
    </row>
    <row r="612" spans="1:13" x14ac:dyDescent="0.25">
      <c r="A612" s="2594">
        <f t="shared" si="96"/>
        <v>69</v>
      </c>
      <c r="B612" s="884">
        <f t="shared" si="97"/>
        <v>64</v>
      </c>
      <c r="C612" s="2436">
        <f>IF('S. Setup'!$J$59&lt;&gt;"yes",0,SUMIF($D$703:$D$805,("="&amp;A612),$E$703:$E$805))</f>
        <v>0</v>
      </c>
      <c r="D612" s="2635">
        <f>IF('S. Setup'!$J$59&lt;&gt;"yes",0,SUMIF($H$703:$H$805,("="&amp;B612),$I$703:$I$805))</f>
        <v>1673.1295960712353</v>
      </c>
      <c r="E612" s="2436">
        <f>IF('S. Setup'!$J$59&lt;&gt;"yes",0,SUMIF($J$703:$J$805,("="&amp;A612),$K$703:$K$805))</f>
        <v>0</v>
      </c>
      <c r="F612" s="2439">
        <f>IF('S. Setup'!$J$59&lt;&gt;"yes",0,SUMIF($L$703:$L$805,("="&amp;#REF!),$M$703:$M$805))</f>
        <v>0</v>
      </c>
      <c r="G612" s="917">
        <f>IF('S. Setup'!$J$59&lt;&gt;"yes",0,SUMIF($B$811:$B$913,("="&amp;A612),$C$811:$C$913))</f>
        <v>0</v>
      </c>
      <c r="H612" s="2602">
        <f>IF('S. Setup'!$J$59&lt;&gt;"yes",0,SUMIF($D$811:$D$913,("="&amp;B612),$E$811:$E$913))</f>
        <v>0</v>
      </c>
      <c r="I612" s="2645">
        <f>IF('S. Setup'!$J$59&lt;&gt;"yes",0,SUMIF($H$811:$H$913,("="&amp;A612),$I$811:$I$913))</f>
        <v>0</v>
      </c>
      <c r="J612" s="2646">
        <f>IF('S. Setup'!$J$59&lt;&gt;"yes",0,SUMIF($L$811:$L$913,("="&amp;B612),$M$811:$M$913))</f>
        <v>0</v>
      </c>
      <c r="K612" s="2353"/>
      <c r="L612" s="2412">
        <f t="shared" si="94"/>
        <v>0</v>
      </c>
      <c r="M612" s="2189">
        <f t="shared" si="95"/>
        <v>1673.1295960712353</v>
      </c>
    </row>
    <row r="613" spans="1:13" x14ac:dyDescent="0.25">
      <c r="A613" s="2594">
        <f t="shared" si="96"/>
        <v>70</v>
      </c>
      <c r="B613" s="884">
        <f t="shared" si="97"/>
        <v>65</v>
      </c>
      <c r="C613" s="2436">
        <f>IF('S. Setup'!$J$59&lt;&gt;"yes",0,SUMIF($D$703:$D$805,("="&amp;A613),$E$703:$E$805))</f>
        <v>1462.7933039937086</v>
      </c>
      <c r="D613" s="2635">
        <f>IF('S. Setup'!$J$59&lt;&gt;"yes",0,SUMIF($H$703:$H$805,("="&amp;B613),$I$703:$I$805))</f>
        <v>0</v>
      </c>
      <c r="E613" s="2436">
        <f>IF('S. Setup'!$J$59&lt;&gt;"yes",0,SUMIF($J$703:$J$805,("="&amp;A613),$K$703:$K$805))</f>
        <v>0</v>
      </c>
      <c r="F613" s="2439">
        <f>IF('S. Setup'!$J$59&lt;&gt;"yes",0,SUMIF($L$703:$L$805,("="&amp;#REF!),$M$703:$M$805))</f>
        <v>0</v>
      </c>
      <c r="G613" s="917">
        <f>IF('S. Setup'!$J$59&lt;&gt;"yes",0,SUMIF($B$811:$B$913,("="&amp;A613),$C$811:$C$913))</f>
        <v>0</v>
      </c>
      <c r="H613" s="2602">
        <f>IF('S. Setup'!$J$59&lt;&gt;"yes",0,SUMIF($D$811:$D$913,("="&amp;B613),$E$811:$E$913))</f>
        <v>0</v>
      </c>
      <c r="I613" s="2645">
        <f>IF('S. Setup'!$J$59&lt;&gt;"yes",0,SUMIF($H$811:$H$913,("="&amp;A613),$I$811:$I$913))</f>
        <v>0</v>
      </c>
      <c r="J613" s="2646">
        <f>IF('S. Setup'!$J$59&lt;&gt;"yes",0,SUMIF($L$811:$L$913,("="&amp;B613),$M$811:$M$913))</f>
        <v>0</v>
      </c>
      <c r="K613" s="2353"/>
      <c r="L613" s="2412">
        <f t="shared" si="94"/>
        <v>1462.7933039937086</v>
      </c>
      <c r="M613" s="2189">
        <f t="shared" si="95"/>
        <v>0</v>
      </c>
    </row>
    <row r="614" spans="1:13" x14ac:dyDescent="0.25">
      <c r="A614" s="2594">
        <f t="shared" si="96"/>
        <v>71</v>
      </c>
      <c r="B614" s="884">
        <f t="shared" si="97"/>
        <v>66</v>
      </c>
      <c r="C614" s="2436">
        <f>IF('S. Setup'!$J$59&lt;&gt;"yes",0,SUMIF($D$703:$D$805,("="&amp;A614),$E$703:$E$805))</f>
        <v>2113.7363242709084</v>
      </c>
      <c r="D614" s="2635">
        <f>IF('S. Setup'!$J$59&lt;&gt;"yes",0,SUMIF($H$703:$H$805,("="&amp;B614),$I$703:$I$805))</f>
        <v>2113.7363242709084</v>
      </c>
      <c r="E614" s="2436">
        <f>IF('S. Setup'!$J$59&lt;&gt;"yes",0,SUMIF($J$703:$J$805,("="&amp;A614),$K$703:$K$805))</f>
        <v>0</v>
      </c>
      <c r="F614" s="2439">
        <f>IF('S. Setup'!$J$59&lt;&gt;"yes",0,SUMIF($L$703:$L$805,("="&amp;#REF!),$M$703:$M$805))</f>
        <v>0</v>
      </c>
      <c r="G614" s="917">
        <f>IF('S. Setup'!$J$59&lt;&gt;"yes",0,SUMIF($B$811:$B$913,("="&amp;A614),$C$811:$C$913))</f>
        <v>0</v>
      </c>
      <c r="H614" s="2602">
        <f>IF('S. Setup'!$J$59&lt;&gt;"yes",0,SUMIF($D$811:$D$913,("="&amp;B614),$E$811:$E$913))</f>
        <v>0</v>
      </c>
      <c r="I614" s="2645">
        <f>IF('S. Setup'!$J$59&lt;&gt;"yes",0,SUMIF($H$811:$H$913,("="&amp;A614),$I$811:$I$913))</f>
        <v>0</v>
      </c>
      <c r="J614" s="2646">
        <f>IF('S. Setup'!$J$59&lt;&gt;"yes",0,SUMIF($L$811:$L$913,("="&amp;B614),$M$811:$M$913))</f>
        <v>0</v>
      </c>
      <c r="K614" s="2353"/>
      <c r="L614" s="2412">
        <f t="shared" si="94"/>
        <v>2113.7363242709084</v>
      </c>
      <c r="M614" s="2189">
        <f t="shared" si="95"/>
        <v>2113.7363242709084</v>
      </c>
    </row>
    <row r="615" spans="1:13" x14ac:dyDescent="0.25">
      <c r="A615" s="2594">
        <f t="shared" si="96"/>
        <v>72</v>
      </c>
      <c r="B615" s="884">
        <f t="shared" si="97"/>
        <v>67</v>
      </c>
      <c r="C615" s="2436">
        <f>IF('S. Setup'!$J$59&lt;&gt;"yes",0,SUMIF($D$703:$D$805,("="&amp;A615),$E$703:$E$805))</f>
        <v>0</v>
      </c>
      <c r="D615" s="2635">
        <f>IF('S. Setup'!$J$59&lt;&gt;"yes",0,SUMIF($H$703:$H$805,("="&amp;B615),$I$703:$I$805))</f>
        <v>0</v>
      </c>
      <c r="E615" s="2436">
        <f>IF('S. Setup'!$J$59&lt;&gt;"yes",0,SUMIF($J$703:$J$805,("="&amp;A615),$K$703:$K$805))</f>
        <v>0</v>
      </c>
      <c r="F615" s="2439">
        <f>IF('S. Setup'!$J$59&lt;&gt;"yes",0,SUMIF($L$703:$L$805,("="&amp;#REF!),$M$703:$M$805))</f>
        <v>0</v>
      </c>
      <c r="G615" s="917">
        <f>IF('S. Setup'!$J$59&lt;&gt;"yes",0,SUMIF($B$811:$B$913,("="&amp;A615),$C$811:$C$913))</f>
        <v>0</v>
      </c>
      <c r="H615" s="2602">
        <f>IF('S. Setup'!$J$59&lt;&gt;"yes",0,SUMIF($D$811:$D$913,("="&amp;B615),$E$811:$E$913))</f>
        <v>0</v>
      </c>
      <c r="I615" s="2645">
        <f>IF('S. Setup'!$J$59&lt;&gt;"yes",0,SUMIF($H$811:$H$913,("="&amp;A615),$I$811:$I$913))</f>
        <v>0</v>
      </c>
      <c r="J615" s="2646">
        <f>IF('S. Setup'!$J$59&lt;&gt;"yes",0,SUMIF($L$811:$L$913,("="&amp;B615),$M$811:$M$913))</f>
        <v>0</v>
      </c>
      <c r="K615" s="2353"/>
      <c r="L615" s="2412">
        <f t="shared" si="94"/>
        <v>0</v>
      </c>
      <c r="M615" s="2189">
        <f t="shared" si="95"/>
        <v>0</v>
      </c>
    </row>
    <row r="616" spans="1:13" x14ac:dyDescent="0.25">
      <c r="A616" s="2594">
        <f t="shared" si="96"/>
        <v>73</v>
      </c>
      <c r="B616" s="884">
        <f t="shared" si="97"/>
        <v>68</v>
      </c>
      <c r="C616" s="2436">
        <f>IF('S. Setup'!$J$59&lt;&gt;"yes",0,SUMIF($D$703:$D$805,("="&amp;A616),$E$703:$E$805))</f>
        <v>0</v>
      </c>
      <c r="D616" s="2635">
        <f>IF('S. Setup'!$J$59&lt;&gt;"yes",0,SUMIF($H$703:$H$805,("="&amp;B616),$I$703:$I$805))</f>
        <v>0</v>
      </c>
      <c r="E616" s="2436">
        <f>IF('S. Setup'!$J$59&lt;&gt;"yes",0,SUMIF($J$703:$J$805,("="&amp;A616),$K$703:$K$805))</f>
        <v>0</v>
      </c>
      <c r="F616" s="2439">
        <f>IF('S. Setup'!$J$59&lt;&gt;"yes",0,SUMIF($L$703:$L$805,("="&amp;#REF!),$M$703:$M$805))</f>
        <v>0</v>
      </c>
      <c r="G616" s="917">
        <f>IF('S. Setup'!$J$59&lt;&gt;"yes",0,SUMIF($B$811:$B$913,("="&amp;A616),$C$811:$C$913))</f>
        <v>0</v>
      </c>
      <c r="H616" s="2602">
        <f>IF('S. Setup'!$J$59&lt;&gt;"yes",0,SUMIF($D$811:$D$913,("="&amp;B616),$E$811:$E$913))</f>
        <v>0</v>
      </c>
      <c r="I616" s="2645">
        <f>IF('S. Setup'!$J$59&lt;&gt;"yes",0,SUMIF($H$811:$H$913,("="&amp;A616),$I$811:$I$913))</f>
        <v>0</v>
      </c>
      <c r="J616" s="2646">
        <f>IF('S. Setup'!$J$59&lt;&gt;"yes",0,SUMIF($L$811:$L$913,("="&amp;B616),$M$811:$M$913))</f>
        <v>0</v>
      </c>
      <c r="K616" s="2353"/>
      <c r="L616" s="2412">
        <f t="shared" si="94"/>
        <v>0</v>
      </c>
      <c r="M616" s="2189">
        <f t="shared" si="95"/>
        <v>0</v>
      </c>
    </row>
    <row r="617" spans="1:13" x14ac:dyDescent="0.25">
      <c r="A617" s="2594">
        <f t="shared" si="96"/>
        <v>74</v>
      </c>
      <c r="B617" s="884">
        <f t="shared" si="97"/>
        <v>69</v>
      </c>
      <c r="C617" s="2436">
        <f>IF('S. Setup'!$J$59&lt;&gt;"yes",0,SUMIF($D$703:$D$805,("="&amp;A617),$E$703:$E$805))</f>
        <v>0</v>
      </c>
      <c r="D617" s="2635">
        <f>IF('S. Setup'!$J$59&lt;&gt;"yes",0,SUMIF($H$703:$H$805,("="&amp;B617),$I$703:$I$805))</f>
        <v>0</v>
      </c>
      <c r="E617" s="2436">
        <f>IF('S. Setup'!$J$59&lt;&gt;"yes",0,SUMIF($J$703:$J$805,("="&amp;A617),$K$703:$K$805))</f>
        <v>0</v>
      </c>
      <c r="F617" s="2439">
        <f>IF('S. Setup'!$J$59&lt;&gt;"yes",0,SUMIF($L$703:$L$805,("="&amp;#REF!),$M$703:$M$805))</f>
        <v>0</v>
      </c>
      <c r="G617" s="917">
        <f>IF('S. Setup'!$J$59&lt;&gt;"yes",0,SUMIF($B$811:$B$913,("="&amp;A617),$C$811:$C$913))</f>
        <v>0</v>
      </c>
      <c r="H617" s="2602">
        <f>IF('S. Setup'!$J$59&lt;&gt;"yes",0,SUMIF($D$811:$D$913,("="&amp;B617),$E$811:$E$913))</f>
        <v>0</v>
      </c>
      <c r="I617" s="2645">
        <f>IF('S. Setup'!$J$59&lt;&gt;"yes",0,SUMIF($H$811:$H$913,("="&amp;A617),$I$811:$I$913))</f>
        <v>0</v>
      </c>
      <c r="J617" s="2646">
        <f>IF('S. Setup'!$J$59&lt;&gt;"yes",0,SUMIF($L$811:$L$913,("="&amp;B617),$M$811:$M$913))</f>
        <v>0</v>
      </c>
      <c r="K617" s="2353"/>
      <c r="L617" s="2412">
        <f t="shared" si="94"/>
        <v>0</v>
      </c>
      <c r="M617" s="2189">
        <f t="shared" si="95"/>
        <v>0</v>
      </c>
    </row>
    <row r="618" spans="1:13" x14ac:dyDescent="0.25">
      <c r="A618" s="2594">
        <f t="shared" si="96"/>
        <v>75</v>
      </c>
      <c r="B618" s="884">
        <f t="shared" si="97"/>
        <v>70</v>
      </c>
      <c r="C618" s="2436">
        <f>IF('S. Setup'!$J$59&lt;&gt;"yes",0,SUMIF($D$703:$D$805,("="&amp;A618),$E$703:$E$805))</f>
        <v>5114.2996856316913</v>
      </c>
      <c r="D618" s="2635">
        <f>IF('S. Setup'!$J$59&lt;&gt;"yes",0,SUMIF($H$703:$H$805,("="&amp;B618),$I$703:$I$805))</f>
        <v>4374.0720995534202</v>
      </c>
      <c r="E618" s="2436">
        <f>IF('S. Setup'!$J$59&lt;&gt;"yes",0,SUMIF($J$703:$J$805,("="&amp;A618),$K$703:$K$805))</f>
        <v>0</v>
      </c>
      <c r="F618" s="2439">
        <f>IF('S. Setup'!$J$59&lt;&gt;"yes",0,SUMIF($L$703:$L$805,("="&amp;#REF!),$M$703:$M$805))</f>
        <v>0</v>
      </c>
      <c r="G618" s="917">
        <f>IF('S. Setup'!$J$59&lt;&gt;"yes",0,SUMIF($B$811:$B$913,("="&amp;A618),$C$811:$C$913))</f>
        <v>0</v>
      </c>
      <c r="H618" s="2602">
        <f>IF('S. Setup'!$J$59&lt;&gt;"yes",0,SUMIF($D$811:$D$913,("="&amp;B618),$E$811:$E$913))</f>
        <v>0</v>
      </c>
      <c r="I618" s="2645">
        <f>IF('S. Setup'!$J$59&lt;&gt;"yes",0,SUMIF($H$811:$H$913,("="&amp;A618),$I$811:$I$913))</f>
        <v>0</v>
      </c>
      <c r="J618" s="2646">
        <f>IF('S. Setup'!$J$59&lt;&gt;"yes",0,SUMIF($L$811:$L$913,("="&amp;B618),$M$811:$M$913))</f>
        <v>0</v>
      </c>
      <c r="K618" s="2353"/>
      <c r="L618" s="2412">
        <f t="shared" si="94"/>
        <v>5114.2996856316913</v>
      </c>
      <c r="M618" s="2189">
        <f t="shared" si="95"/>
        <v>4374.0720995534202</v>
      </c>
    </row>
    <row r="619" spans="1:13" x14ac:dyDescent="0.25">
      <c r="A619" s="2594">
        <f t="shared" si="96"/>
        <v>76</v>
      </c>
      <c r="B619" s="884">
        <f t="shared" si="97"/>
        <v>71</v>
      </c>
      <c r="C619" s="2436">
        <f>IF('S. Setup'!$J$59&lt;&gt;"yes",0,SUMIF($D$703:$D$805,("="&amp;A619),$E$703:$E$805))</f>
        <v>0</v>
      </c>
      <c r="D619" s="2635">
        <f>IF('S. Setup'!$J$59&lt;&gt;"yes",0,SUMIF($H$703:$H$805,("="&amp;B619),$I$703:$I$805))</f>
        <v>0</v>
      </c>
      <c r="E619" s="2436">
        <f>IF('S. Setup'!$J$59&lt;&gt;"yes",0,SUMIF($J$703:$J$805,("="&amp;A619),$K$703:$K$805))</f>
        <v>0</v>
      </c>
      <c r="F619" s="2439">
        <f>IF('S. Setup'!$J$59&lt;&gt;"yes",0,SUMIF($L$703:$L$805,("="&amp;#REF!),$M$703:$M$805))</f>
        <v>0</v>
      </c>
      <c r="G619" s="917">
        <f>IF('S. Setup'!$J$59&lt;&gt;"yes",0,SUMIF($B$811:$B$913,("="&amp;A619),$C$811:$C$913))</f>
        <v>0</v>
      </c>
      <c r="H619" s="2602">
        <f>IF('S. Setup'!$J$59&lt;&gt;"yes",0,SUMIF($D$811:$D$913,("="&amp;B619),$E$811:$E$913))</f>
        <v>0</v>
      </c>
      <c r="I619" s="2645">
        <f>IF('S. Setup'!$J$59&lt;&gt;"yes",0,SUMIF($H$811:$H$913,("="&amp;A619),$I$811:$I$913))</f>
        <v>0</v>
      </c>
      <c r="J619" s="2646">
        <f>IF('S. Setup'!$J$59&lt;&gt;"yes",0,SUMIF($L$811:$L$913,("="&amp;B619),$M$811:$M$913))</f>
        <v>0</v>
      </c>
      <c r="K619" s="2353"/>
      <c r="L619" s="2412">
        <f t="shared" si="94"/>
        <v>0</v>
      </c>
      <c r="M619" s="2189">
        <f t="shared" si="95"/>
        <v>0</v>
      </c>
    </row>
    <row r="620" spans="1:13" x14ac:dyDescent="0.25">
      <c r="A620" s="2594">
        <f t="shared" si="96"/>
        <v>77</v>
      </c>
      <c r="B620" s="884">
        <f t="shared" si="97"/>
        <v>72</v>
      </c>
      <c r="C620" s="2436">
        <f>IF('S. Setup'!$J$59&lt;&gt;"yes",0,SUMIF($D$703:$D$805,("="&amp;A620),$E$703:$E$805))</f>
        <v>0</v>
      </c>
      <c r="D620" s="2635">
        <f>IF('S. Setup'!$J$59&lt;&gt;"yes",0,SUMIF($H$703:$H$805,("="&amp;B620),$I$703:$I$805))</f>
        <v>0</v>
      </c>
      <c r="E620" s="2436">
        <f>IF('S. Setup'!$J$59&lt;&gt;"yes",0,SUMIF($J$703:$J$805,("="&amp;A620),$K$703:$K$805))</f>
        <v>0</v>
      </c>
      <c r="F620" s="2439">
        <f>IF('S. Setup'!$J$59&lt;&gt;"yes",0,SUMIF($L$703:$L$805,("="&amp;#REF!),$M$703:$M$805))</f>
        <v>0</v>
      </c>
      <c r="G620" s="917">
        <f>IF('S. Setup'!$J$59&lt;&gt;"yes",0,SUMIF($B$811:$B$913,("="&amp;A620),$C$811:$C$913))</f>
        <v>0</v>
      </c>
      <c r="H620" s="2602">
        <f>IF('S. Setup'!$J$59&lt;&gt;"yes",0,SUMIF($D$811:$D$913,("="&amp;B620),$E$811:$E$913))</f>
        <v>0</v>
      </c>
      <c r="I620" s="2645">
        <f>IF('S. Setup'!$J$59&lt;&gt;"yes",0,SUMIF($H$811:$H$913,("="&amp;A620),$I$811:$I$913))</f>
        <v>0</v>
      </c>
      <c r="J620" s="2646">
        <f>IF('S. Setup'!$J$59&lt;&gt;"yes",0,SUMIF($L$811:$L$913,("="&amp;B620),$M$811:$M$913))</f>
        <v>0</v>
      </c>
      <c r="K620" s="2353"/>
      <c r="L620" s="2412">
        <f t="shared" si="94"/>
        <v>0</v>
      </c>
      <c r="M620" s="2189">
        <f t="shared" si="95"/>
        <v>0</v>
      </c>
    </row>
    <row r="621" spans="1:13" x14ac:dyDescent="0.25">
      <c r="A621" s="2594">
        <f t="shared" si="96"/>
        <v>78</v>
      </c>
      <c r="B621" s="884">
        <f t="shared" si="97"/>
        <v>73</v>
      </c>
      <c r="C621" s="2436">
        <f>IF('S. Setup'!$J$59&lt;&gt;"yes",0,SUMIF($D$703:$D$805,("="&amp;A621),$E$703:$E$805))</f>
        <v>0</v>
      </c>
      <c r="D621" s="2635">
        <f>IF('S. Setup'!$J$59&lt;&gt;"yes",0,SUMIF($H$703:$H$805,("="&amp;B621),$I$703:$I$805))</f>
        <v>0</v>
      </c>
      <c r="E621" s="2436">
        <f>IF('S. Setup'!$J$59&lt;&gt;"yes",0,SUMIF($J$703:$J$805,("="&amp;A621),$K$703:$K$805))</f>
        <v>0</v>
      </c>
      <c r="F621" s="2439">
        <f>IF('S. Setup'!$J$59&lt;&gt;"yes",0,SUMIF($L$703:$L$805,("="&amp;#REF!),$M$703:$M$805))</f>
        <v>0</v>
      </c>
      <c r="G621" s="917">
        <f>IF('S. Setup'!$J$59&lt;&gt;"yes",0,SUMIF($B$811:$B$913,("="&amp;A621),$C$811:$C$913))</f>
        <v>0</v>
      </c>
      <c r="H621" s="2602">
        <f>IF('S. Setup'!$J$59&lt;&gt;"yes",0,SUMIF($D$811:$D$913,("="&amp;B621),$E$811:$E$913))</f>
        <v>0</v>
      </c>
      <c r="I621" s="2645">
        <f>IF('S. Setup'!$J$59&lt;&gt;"yes",0,SUMIF($H$811:$H$913,("="&amp;A621),$I$811:$I$913))</f>
        <v>0</v>
      </c>
      <c r="J621" s="2646">
        <f>IF('S. Setup'!$J$59&lt;&gt;"yes",0,SUMIF($L$811:$L$913,("="&amp;B621),$M$811:$M$913))</f>
        <v>0</v>
      </c>
      <c r="K621" s="2353"/>
      <c r="L621" s="2412">
        <f t="shared" si="94"/>
        <v>0</v>
      </c>
      <c r="M621" s="2189">
        <f t="shared" si="95"/>
        <v>0</v>
      </c>
    </row>
    <row r="622" spans="1:13" x14ac:dyDescent="0.25">
      <c r="A622" s="2594">
        <f t="shared" si="96"/>
        <v>79</v>
      </c>
      <c r="B622" s="884">
        <f t="shared" si="97"/>
        <v>74</v>
      </c>
      <c r="C622" s="2436">
        <f>IF('S. Setup'!$J$59&lt;&gt;"yes",0,SUMIF($D$703:$D$805,("="&amp;A622),$E$703:$E$805))</f>
        <v>0</v>
      </c>
      <c r="D622" s="2635">
        <f>IF('S. Setup'!$J$59&lt;&gt;"yes",0,SUMIF($H$703:$H$805,("="&amp;B622),$I$703:$I$805))</f>
        <v>0</v>
      </c>
      <c r="E622" s="2436">
        <f>IF('S. Setup'!$J$59&lt;&gt;"yes",0,SUMIF($J$703:$J$805,("="&amp;A622),$K$703:$K$805))</f>
        <v>0</v>
      </c>
      <c r="F622" s="2439">
        <f>IF('S. Setup'!$J$59&lt;&gt;"yes",0,SUMIF($L$703:$L$805,("="&amp;B78),$M$703:$M$805))</f>
        <v>0</v>
      </c>
      <c r="G622" s="917">
        <f>IF('S. Setup'!$J$59&lt;&gt;"yes",0,SUMIF($B$811:$B$913,("="&amp;A622),$C$811:$C$913))</f>
        <v>0</v>
      </c>
      <c r="H622" s="2602">
        <f>IF('S. Setup'!$J$59&lt;&gt;"yes",0,SUMIF($D$811:$D$913,("="&amp;B622),$E$811:$E$913))</f>
        <v>0</v>
      </c>
      <c r="I622" s="2645">
        <f>IF('S. Setup'!$J$59&lt;&gt;"yes",0,SUMIF($H$811:$H$913,("="&amp;A622),$I$811:$I$913))</f>
        <v>0</v>
      </c>
      <c r="J622" s="2646">
        <f>IF('S. Setup'!$J$59&lt;&gt;"yes",0,SUMIF($L$811:$L$913,("="&amp;B622),$M$811:$M$913))</f>
        <v>0</v>
      </c>
      <c r="K622" s="2353"/>
      <c r="L622" s="2412">
        <f t="shared" si="94"/>
        <v>0</v>
      </c>
      <c r="M622" s="2189">
        <f t="shared" si="95"/>
        <v>0</v>
      </c>
    </row>
    <row r="623" spans="1:13" x14ac:dyDescent="0.25">
      <c r="A623" s="2594">
        <f t="shared" si="96"/>
        <v>80</v>
      </c>
      <c r="B623" s="884">
        <f t="shared" si="97"/>
        <v>75</v>
      </c>
      <c r="C623" s="2436">
        <f>IF('S. Setup'!$J$59&lt;&gt;"yes",0,SUMIF($D$703:$D$805,("="&amp;A623),$E$703:$E$805))</f>
        <v>0</v>
      </c>
      <c r="D623" s="2635">
        <f>IF('S. Setup'!$J$59&lt;&gt;"yes",0,SUMIF($H$703:$H$805,("="&amp;B623),$I$703:$I$805))</f>
        <v>0</v>
      </c>
      <c r="E623" s="2436">
        <f>IF('S. Setup'!$J$59&lt;&gt;"yes",0,SUMIF($J$703:$J$805,("="&amp;A623),$K$703:$K$805))</f>
        <v>0</v>
      </c>
      <c r="F623" s="2439">
        <f>IF('S. Setup'!$J$59&lt;&gt;"yes",0,SUMIF($L$703:$L$805,("="&amp;B79),$M$703:$M$805))</f>
        <v>0</v>
      </c>
      <c r="G623" s="917">
        <f>IF('S. Setup'!$J$59&lt;&gt;"yes",0,SUMIF($B$811:$B$913,("="&amp;A623),$C$811:$C$913))</f>
        <v>0</v>
      </c>
      <c r="H623" s="2602">
        <f>IF('S. Setup'!$J$59&lt;&gt;"yes",0,SUMIF($D$811:$D$913,("="&amp;B623),$E$811:$E$913))</f>
        <v>0</v>
      </c>
      <c r="I623" s="2645">
        <f>IF('S. Setup'!$J$59&lt;&gt;"yes",0,SUMIF($H$811:$H$913,("="&amp;A623),$I$811:$I$913))</f>
        <v>0</v>
      </c>
      <c r="J623" s="2646">
        <f>IF('S. Setup'!$J$59&lt;&gt;"yes",0,SUMIF($L$811:$L$913,("="&amp;B623),$M$811:$M$913))</f>
        <v>0</v>
      </c>
      <c r="K623" s="2353"/>
      <c r="L623" s="2412">
        <f t="shared" si="94"/>
        <v>0</v>
      </c>
      <c r="M623" s="2189">
        <f t="shared" si="95"/>
        <v>0</v>
      </c>
    </row>
    <row r="624" spans="1:13" x14ac:dyDescent="0.25">
      <c r="A624" s="2594">
        <f t="shared" si="96"/>
        <v>81</v>
      </c>
      <c r="B624" s="884">
        <f t="shared" si="97"/>
        <v>76</v>
      </c>
      <c r="C624" s="2436">
        <f>IF('S. Setup'!$J$59&lt;&gt;"yes",0,SUMIF($D$703:$D$805,("="&amp;A624),$E$703:$E$805))</f>
        <v>0</v>
      </c>
      <c r="D624" s="2635">
        <f>IF('S. Setup'!$J$59&lt;&gt;"yes",0,SUMIF($H$703:$H$805,("="&amp;B624),$I$703:$I$805))</f>
        <v>0</v>
      </c>
      <c r="E624" s="2436">
        <f>IF('S. Setup'!$J$59&lt;&gt;"yes",0,SUMIF($J$703:$J$805,("="&amp;A624),$K$703:$K$805))</f>
        <v>0</v>
      </c>
      <c r="F624" s="2439">
        <f>IF('S. Setup'!$J$59&lt;&gt;"yes",0,SUMIF($L$703:$L$805,("="&amp;#REF!),$M$703:$M$805))</f>
        <v>0</v>
      </c>
      <c r="G624" s="917">
        <f>IF('S. Setup'!$J$59&lt;&gt;"yes",0,SUMIF($B$811:$B$913,("="&amp;A624),$C$811:$C$913))</f>
        <v>0</v>
      </c>
      <c r="H624" s="2602">
        <f>IF('S. Setup'!$J$59&lt;&gt;"yes",0,SUMIF($D$811:$D$913,("="&amp;B624),$E$811:$E$913))</f>
        <v>0</v>
      </c>
      <c r="I624" s="2645">
        <f>IF('S. Setup'!$J$59&lt;&gt;"yes",0,SUMIF($H$811:$H$913,("="&amp;A624),$I$811:$I$913))</f>
        <v>0</v>
      </c>
      <c r="J624" s="2646">
        <f>IF('S. Setup'!$J$59&lt;&gt;"yes",0,SUMIF($L$811:$L$913,("="&amp;B624),$M$811:$M$913))</f>
        <v>0</v>
      </c>
      <c r="K624" s="2353"/>
      <c r="L624" s="2412">
        <f t="shared" si="94"/>
        <v>0</v>
      </c>
      <c r="M624" s="2189">
        <f t="shared" si="95"/>
        <v>0</v>
      </c>
    </row>
    <row r="625" spans="1:13" x14ac:dyDescent="0.25">
      <c r="A625" s="2594">
        <f t="shared" si="96"/>
        <v>82</v>
      </c>
      <c r="B625" s="884">
        <f t="shared" si="97"/>
        <v>77</v>
      </c>
      <c r="C625" s="2436">
        <f>IF('S. Setup'!$J$59&lt;&gt;"yes",0,SUMIF($D$703:$D$805,("="&amp;A625),$E$703:$E$805))</f>
        <v>0</v>
      </c>
      <c r="D625" s="2635">
        <f>IF('S. Setup'!$J$59&lt;&gt;"yes",0,SUMIF($H$703:$H$805,("="&amp;B625),$I$703:$I$805))</f>
        <v>0</v>
      </c>
      <c r="E625" s="2436">
        <f>IF('S. Setup'!$J$59&lt;&gt;"yes",0,SUMIF($J$703:$J$805,("="&amp;A625),$K$703:$K$805))</f>
        <v>0</v>
      </c>
      <c r="F625" s="2439">
        <f>IF('S. Setup'!$J$59&lt;&gt;"yes",0,SUMIF($L$703:$L$805,("="&amp;B80),$M$703:$M$805))</f>
        <v>0</v>
      </c>
      <c r="G625" s="917">
        <f>IF('S. Setup'!$J$59&lt;&gt;"yes",0,SUMIF($B$811:$B$913,("="&amp;A625),$C$811:$C$913))</f>
        <v>0</v>
      </c>
      <c r="H625" s="2602">
        <f>IF('S. Setup'!$J$59&lt;&gt;"yes",0,SUMIF($D$811:$D$913,("="&amp;B625),$E$811:$E$913))</f>
        <v>0</v>
      </c>
      <c r="I625" s="2645">
        <f>IF('S. Setup'!$J$59&lt;&gt;"yes",0,SUMIF($H$811:$H$913,("="&amp;A625),$I$811:$I$913))</f>
        <v>0</v>
      </c>
      <c r="J625" s="2646">
        <f>IF('S. Setup'!$J$59&lt;&gt;"yes",0,SUMIF($L$811:$L$913,("="&amp;B625),$M$811:$M$913))</f>
        <v>0</v>
      </c>
      <c r="K625" s="2353"/>
      <c r="L625" s="2412">
        <f t="shared" si="94"/>
        <v>0</v>
      </c>
      <c r="M625" s="2189">
        <f t="shared" si="95"/>
        <v>0</v>
      </c>
    </row>
    <row r="626" spans="1:13" x14ac:dyDescent="0.25">
      <c r="A626" s="2594">
        <f t="shared" si="96"/>
        <v>83</v>
      </c>
      <c r="B626" s="884">
        <f t="shared" si="97"/>
        <v>78</v>
      </c>
      <c r="C626" s="2436">
        <f>IF('S. Setup'!$J$59&lt;&gt;"yes",0,SUMIF($D$703:$D$805,("="&amp;A626),$E$703:$E$805))</f>
        <v>0</v>
      </c>
      <c r="D626" s="2635">
        <f>IF('S. Setup'!$J$59&lt;&gt;"yes",0,SUMIF($H$703:$H$805,("="&amp;B626),$I$703:$I$805))</f>
        <v>0</v>
      </c>
      <c r="E626" s="2436">
        <f>IF('S. Setup'!$J$59&lt;&gt;"yes",0,SUMIF($J$703:$J$805,("="&amp;A626),$K$703:$K$805))</f>
        <v>0</v>
      </c>
      <c r="F626" s="2439">
        <f>IF('S. Setup'!$J$59&lt;&gt;"yes",0,SUMIF($L$703:$L$805,("="&amp;#REF!),$M$703:$M$805))</f>
        <v>0</v>
      </c>
      <c r="G626" s="917">
        <f>IF('S. Setup'!$J$59&lt;&gt;"yes",0,SUMIF($B$811:$B$913,("="&amp;A626),$C$811:$C$913))</f>
        <v>0</v>
      </c>
      <c r="H626" s="2602">
        <f>IF('S. Setup'!$J$59&lt;&gt;"yes",0,SUMIF($D$811:$D$913,("="&amp;B626),$E$811:$E$913))</f>
        <v>0</v>
      </c>
      <c r="I626" s="2645">
        <f>IF('S. Setup'!$J$59&lt;&gt;"yes",0,SUMIF($H$811:$H$913,("="&amp;A626),$I$811:$I$913))</f>
        <v>0</v>
      </c>
      <c r="J626" s="2646">
        <f>IF('S. Setup'!$J$59&lt;&gt;"yes",0,SUMIF($L$811:$L$913,("="&amp;B626),$M$811:$M$913))</f>
        <v>0</v>
      </c>
      <c r="K626" s="2353"/>
      <c r="L626" s="2412">
        <f t="shared" si="94"/>
        <v>0</v>
      </c>
      <c r="M626" s="2189">
        <f t="shared" si="95"/>
        <v>0</v>
      </c>
    </row>
    <row r="627" spans="1:13" x14ac:dyDescent="0.25">
      <c r="A627" s="2594">
        <f t="shared" si="96"/>
        <v>84</v>
      </c>
      <c r="B627" s="884">
        <f t="shared" si="97"/>
        <v>79</v>
      </c>
      <c r="C627" s="2436">
        <f>IF('S. Setup'!$J$59&lt;&gt;"yes",0,SUMIF($D$703:$D$805,("="&amp;A627),$E$703:$E$805))</f>
        <v>0</v>
      </c>
      <c r="D627" s="2635">
        <f>IF('S. Setup'!$J$59&lt;&gt;"yes",0,SUMIF($H$703:$H$805,("="&amp;B627),$I$703:$I$805))</f>
        <v>0</v>
      </c>
      <c r="E627" s="2436">
        <f>IF('S. Setup'!$J$59&lt;&gt;"yes",0,SUMIF($J$703:$J$805,("="&amp;A627),$K$703:$K$805))</f>
        <v>0</v>
      </c>
      <c r="F627" s="2439">
        <f>IF('S. Setup'!$J$59&lt;&gt;"yes",0,SUMIF($L$703:$L$805,("="&amp;#REF!),$M$703:$M$805))</f>
        <v>0</v>
      </c>
      <c r="G627" s="917">
        <f>IF('S. Setup'!$J$59&lt;&gt;"yes",0,SUMIF($B$811:$B$913,("="&amp;A627),$C$811:$C$913))</f>
        <v>0</v>
      </c>
      <c r="H627" s="2602">
        <f>IF('S. Setup'!$J$59&lt;&gt;"yes",0,SUMIF($D$811:$D$913,("="&amp;B627),$E$811:$E$913))</f>
        <v>0</v>
      </c>
      <c r="I627" s="2645">
        <f>IF('S. Setup'!$J$59&lt;&gt;"yes",0,SUMIF($H$811:$H$913,("="&amp;A627),$I$811:$I$913))</f>
        <v>0</v>
      </c>
      <c r="J627" s="2646">
        <f>IF('S. Setup'!$J$59&lt;&gt;"yes",0,SUMIF($L$811:$L$913,("="&amp;B627),$M$811:$M$913))</f>
        <v>0</v>
      </c>
      <c r="K627" s="2353"/>
      <c r="L627" s="2412">
        <f t="shared" si="94"/>
        <v>0</v>
      </c>
      <c r="M627" s="2189">
        <f t="shared" si="95"/>
        <v>0</v>
      </c>
    </row>
    <row r="628" spans="1:13" x14ac:dyDescent="0.25">
      <c r="A628" s="2594">
        <f t="shared" si="96"/>
        <v>85</v>
      </c>
      <c r="B628" s="884">
        <f t="shared" si="97"/>
        <v>80</v>
      </c>
      <c r="C628" s="2436">
        <f>IF('S. Setup'!$J$59&lt;&gt;"yes",0,SUMIF($D$703:$D$805,("="&amp;A628),$E$703:$E$805))</f>
        <v>0</v>
      </c>
      <c r="D628" s="2635">
        <f>IF('S. Setup'!$J$59&lt;&gt;"yes",0,SUMIF($H$703:$H$805,("="&amp;B628),$I$703:$I$805))</f>
        <v>0</v>
      </c>
      <c r="E628" s="2436">
        <f>IF('S. Setup'!$J$59&lt;&gt;"yes",0,SUMIF($J$703:$J$805,("="&amp;A628),$K$703:$K$805))</f>
        <v>0</v>
      </c>
      <c r="F628" s="2439">
        <f>IF('S. Setup'!$J$59&lt;&gt;"yes",0,SUMIF($L$703:$L$805,("="&amp;B81),$M$703:$M$805))</f>
        <v>0</v>
      </c>
      <c r="G628" s="917">
        <f>IF('S. Setup'!$J$59&lt;&gt;"yes",0,SUMIF($B$811:$B$913,("="&amp;A628),$C$811:$C$913))</f>
        <v>0</v>
      </c>
      <c r="H628" s="2602">
        <f>IF('S. Setup'!$J$59&lt;&gt;"yes",0,SUMIF($D$811:$D$913,("="&amp;B628),$E$811:$E$913))</f>
        <v>0</v>
      </c>
      <c r="I628" s="2645">
        <f>IF('S. Setup'!$J$59&lt;&gt;"yes",0,SUMIF($H$811:$H$913,("="&amp;A628),$I$811:$I$913))</f>
        <v>0</v>
      </c>
      <c r="J628" s="2646">
        <f>IF('S. Setup'!$J$59&lt;&gt;"yes",0,SUMIF($L$811:$L$913,("="&amp;B628),$M$811:$M$913))</f>
        <v>0</v>
      </c>
      <c r="K628" s="2353"/>
      <c r="L628" s="2412">
        <f t="shared" si="94"/>
        <v>0</v>
      </c>
      <c r="M628" s="2189">
        <f t="shared" si="95"/>
        <v>0</v>
      </c>
    </row>
    <row r="629" spans="1:13" x14ac:dyDescent="0.25">
      <c r="A629" s="2594">
        <f t="shared" si="96"/>
        <v>86</v>
      </c>
      <c r="B629" s="884">
        <f t="shared" si="97"/>
        <v>81</v>
      </c>
      <c r="C629" s="2436">
        <f>IF('S. Setup'!$J$59&lt;&gt;"yes",0,SUMIF($D$703:$D$805,("="&amp;A629),$E$703:$E$805))</f>
        <v>0</v>
      </c>
      <c r="D629" s="2635">
        <f>IF('S. Setup'!$J$59&lt;&gt;"yes",0,SUMIF($H$703:$H$805,("="&amp;B629),$I$703:$I$805))</f>
        <v>0</v>
      </c>
      <c r="E629" s="2436">
        <f>IF('S. Setup'!$J$59&lt;&gt;"yes",0,SUMIF($J$703:$J$805,("="&amp;A629),$K$703:$K$805))</f>
        <v>0</v>
      </c>
      <c r="F629" s="2439">
        <f>IF('S. Setup'!$J$59&lt;&gt;"yes",0,SUMIF($L$703:$L$805,("="&amp;B82),$M$703:$M$805))</f>
        <v>0</v>
      </c>
      <c r="G629" s="917">
        <f>IF('S. Setup'!$J$59&lt;&gt;"yes",0,SUMIF($B$811:$B$913,("="&amp;A629),$C$811:$C$913))</f>
        <v>0</v>
      </c>
      <c r="H629" s="2602">
        <f>IF('S. Setup'!$J$59&lt;&gt;"yes",0,SUMIF($D$811:$D$913,("="&amp;B629),$E$811:$E$913))</f>
        <v>0</v>
      </c>
      <c r="I629" s="2645">
        <f>IF('S. Setup'!$J$59&lt;&gt;"yes",0,SUMIF($H$811:$H$913,("="&amp;A629),$I$811:$I$913))</f>
        <v>0</v>
      </c>
      <c r="J629" s="2646">
        <f>IF('S. Setup'!$J$59&lt;&gt;"yes",0,SUMIF($L$811:$L$913,("="&amp;B629),$M$811:$M$913))</f>
        <v>0</v>
      </c>
      <c r="K629" s="2353"/>
      <c r="L629" s="2412">
        <f t="shared" si="94"/>
        <v>0</v>
      </c>
      <c r="M629" s="2189">
        <f t="shared" si="95"/>
        <v>0</v>
      </c>
    </row>
    <row r="630" spans="1:13" x14ac:dyDescent="0.25">
      <c r="A630" s="2594">
        <f t="shared" si="96"/>
        <v>87</v>
      </c>
      <c r="B630" s="884">
        <f t="shared" si="97"/>
        <v>82</v>
      </c>
      <c r="C630" s="2436">
        <f>IF('S. Setup'!$J$59&lt;&gt;"yes",0,SUMIF($D$703:$D$805,("="&amp;A630),$E$703:$E$805))</f>
        <v>0</v>
      </c>
      <c r="D630" s="2635">
        <f>IF('S. Setup'!$J$59&lt;&gt;"yes",0,SUMIF($H$703:$H$805,("="&amp;B630),$I$703:$I$805))</f>
        <v>0</v>
      </c>
      <c r="E630" s="2436">
        <f>IF('S. Setup'!$J$59&lt;&gt;"yes",0,SUMIF($J$703:$J$805,("="&amp;A630),$K$703:$K$805))</f>
        <v>0</v>
      </c>
      <c r="F630" s="2439">
        <f>IF('S. Setup'!$J$59&lt;&gt;"yes",0,SUMIF($L$703:$L$805,("="&amp;B83),$M$703:$M$805))</f>
        <v>0</v>
      </c>
      <c r="G630" s="917">
        <f>IF('S. Setup'!$J$59&lt;&gt;"yes",0,SUMIF($B$811:$B$913,("="&amp;A630),$C$811:$C$913))</f>
        <v>0</v>
      </c>
      <c r="H630" s="2602">
        <f>IF('S. Setup'!$J$59&lt;&gt;"yes",0,SUMIF($D$811:$D$913,("="&amp;B630),$E$811:$E$913))</f>
        <v>0</v>
      </c>
      <c r="I630" s="2645">
        <f>IF('S. Setup'!$J$59&lt;&gt;"yes",0,SUMIF($H$811:$H$913,("="&amp;A630),$I$811:$I$913))</f>
        <v>0</v>
      </c>
      <c r="J630" s="2646">
        <f>IF('S. Setup'!$J$59&lt;&gt;"yes",0,SUMIF($L$811:$L$913,("="&amp;B630),$M$811:$M$913))</f>
        <v>0</v>
      </c>
      <c r="K630" s="2353"/>
      <c r="L630" s="2412">
        <f t="shared" si="94"/>
        <v>0</v>
      </c>
      <c r="M630" s="2189">
        <f t="shared" si="95"/>
        <v>0</v>
      </c>
    </row>
    <row r="631" spans="1:13" x14ac:dyDescent="0.25">
      <c r="A631" s="2594">
        <f t="shared" si="96"/>
        <v>88</v>
      </c>
      <c r="B631" s="884">
        <f t="shared" si="97"/>
        <v>83</v>
      </c>
      <c r="C631" s="2436">
        <f>IF('S. Setup'!$J$59&lt;&gt;"yes",0,SUMIF($D$703:$D$805,("="&amp;A631),$E$703:$E$805))</f>
        <v>0</v>
      </c>
      <c r="D631" s="2635">
        <f>IF('S. Setup'!$J$59&lt;&gt;"yes",0,SUMIF($H$703:$H$805,("="&amp;B631),$I$703:$I$805))</f>
        <v>0</v>
      </c>
      <c r="E631" s="2436">
        <f>IF('S. Setup'!$J$59&lt;&gt;"yes",0,SUMIF($J$703:$J$805,("="&amp;A631),$K$703:$K$805))</f>
        <v>0</v>
      </c>
      <c r="F631" s="2439">
        <f>IF('S. Setup'!$J$59&lt;&gt;"yes",0,SUMIF($L$703:$L$805,("="&amp;B84),$M$703:$M$805))</f>
        <v>0</v>
      </c>
      <c r="G631" s="917">
        <f>IF('S. Setup'!$J$59&lt;&gt;"yes",0,SUMIF($B$811:$B$913,("="&amp;A631),$C$811:$C$913))</f>
        <v>0</v>
      </c>
      <c r="H631" s="2602">
        <f>IF('S. Setup'!$J$59&lt;&gt;"yes",0,SUMIF($D$811:$D$913,("="&amp;B631),$E$811:$E$913))</f>
        <v>0</v>
      </c>
      <c r="I631" s="2645">
        <f>IF('S. Setup'!$J$59&lt;&gt;"yes",0,SUMIF($H$811:$H$913,("="&amp;A631),$I$811:$I$913))</f>
        <v>0</v>
      </c>
      <c r="J631" s="2646">
        <f>IF('S. Setup'!$J$59&lt;&gt;"yes",0,SUMIF($L$811:$L$913,("="&amp;B631),$M$811:$M$913))</f>
        <v>0</v>
      </c>
      <c r="K631" s="2353"/>
      <c r="L631" s="2412">
        <f t="shared" si="94"/>
        <v>0</v>
      </c>
      <c r="M631" s="2189">
        <f t="shared" si="95"/>
        <v>0</v>
      </c>
    </row>
    <row r="632" spans="1:13" x14ac:dyDescent="0.25">
      <c r="A632" s="2594">
        <f t="shared" si="96"/>
        <v>89</v>
      </c>
      <c r="B632" s="884">
        <f t="shared" si="97"/>
        <v>84</v>
      </c>
      <c r="C632" s="2436">
        <f>IF('S. Setup'!$J$59&lt;&gt;"yes",0,SUMIF($D$703:$D$805,("="&amp;A632),$E$703:$E$805))</f>
        <v>0</v>
      </c>
      <c r="D632" s="2635">
        <f>IF('S. Setup'!$J$59&lt;&gt;"yes",0,SUMIF($H$703:$H$805,("="&amp;B632),$I$703:$I$805))</f>
        <v>0</v>
      </c>
      <c r="E632" s="2436">
        <f>IF('S. Setup'!$J$59&lt;&gt;"yes",0,SUMIF($J$703:$J$805,("="&amp;A632),$K$703:$K$805))</f>
        <v>0</v>
      </c>
      <c r="F632" s="2439">
        <f>IF('S. Setup'!$J$59&lt;&gt;"yes",0,SUMIF($L$703:$L$805,("="&amp;#REF!),$M$703:$M$805))</f>
        <v>0</v>
      </c>
      <c r="G632" s="917">
        <f>IF('S. Setup'!$J$59&lt;&gt;"yes",0,SUMIF($B$811:$B$913,("="&amp;A632),$C$811:$C$913))</f>
        <v>0</v>
      </c>
      <c r="H632" s="2602">
        <f>IF('S. Setup'!$J$59&lt;&gt;"yes",0,SUMIF($D$811:$D$913,("="&amp;B632),$E$811:$E$913))</f>
        <v>0</v>
      </c>
      <c r="I632" s="2645">
        <f>IF('S. Setup'!$J$59&lt;&gt;"yes",0,SUMIF($H$811:$H$913,("="&amp;A632),$I$811:$I$913))</f>
        <v>0</v>
      </c>
      <c r="J632" s="2646">
        <f>IF('S. Setup'!$J$59&lt;&gt;"yes",0,SUMIF($L$811:$L$913,("="&amp;B632),$M$811:$M$913))</f>
        <v>0</v>
      </c>
      <c r="K632" s="2353"/>
      <c r="L632" s="2412">
        <f t="shared" si="94"/>
        <v>0</v>
      </c>
      <c r="M632" s="2189">
        <f t="shared" si="95"/>
        <v>0</v>
      </c>
    </row>
    <row r="633" spans="1:13" x14ac:dyDescent="0.25">
      <c r="A633" s="2594">
        <f t="shared" si="96"/>
        <v>90</v>
      </c>
      <c r="B633" s="884">
        <f t="shared" si="97"/>
        <v>85</v>
      </c>
      <c r="C633" s="2436">
        <f>IF('S. Setup'!$J$59&lt;&gt;"yes",0,SUMIF($D$703:$D$805,("="&amp;A633),$E$703:$E$805))</f>
        <v>0</v>
      </c>
      <c r="D633" s="2635">
        <f>IF('S. Setup'!$J$59&lt;&gt;"yes",0,SUMIF($H$703:$H$805,("="&amp;B633),$I$703:$I$805))</f>
        <v>0</v>
      </c>
      <c r="E633" s="2436">
        <f>IF('S. Setup'!$J$59&lt;&gt;"yes",0,SUMIF($J$703:$J$805,("="&amp;A633),$K$703:$K$805))</f>
        <v>0</v>
      </c>
      <c r="F633" s="2439">
        <f>IF('S. Setup'!$J$59&lt;&gt;"yes",0,SUMIF($L$703:$L$805,("="&amp;B86),$M$703:$M$805))</f>
        <v>0</v>
      </c>
      <c r="G633" s="917">
        <f>IF('S. Setup'!$J$59&lt;&gt;"yes",0,SUMIF($B$811:$B$913,("="&amp;A633),$C$811:$C$913))</f>
        <v>0</v>
      </c>
      <c r="H633" s="2602">
        <f>IF('S. Setup'!$J$59&lt;&gt;"yes",0,SUMIF($D$811:$D$913,("="&amp;B633),$E$811:$E$913))</f>
        <v>0</v>
      </c>
      <c r="I633" s="2645">
        <f>IF('S. Setup'!$J$59&lt;&gt;"yes",0,SUMIF($H$811:$H$913,("="&amp;A633),$I$811:$I$913))</f>
        <v>0</v>
      </c>
      <c r="J633" s="2646">
        <f>IF('S. Setup'!$J$59&lt;&gt;"yes",0,SUMIF($L$811:$L$913,("="&amp;B633),$M$811:$M$913))</f>
        <v>0</v>
      </c>
      <c r="K633" s="2353"/>
      <c r="L633" s="2412">
        <f t="shared" si="94"/>
        <v>0</v>
      </c>
      <c r="M633" s="2189">
        <f t="shared" si="95"/>
        <v>0</v>
      </c>
    </row>
    <row r="634" spans="1:13" x14ac:dyDescent="0.25">
      <c r="A634" s="2594">
        <f t="shared" si="96"/>
        <v>91</v>
      </c>
      <c r="B634" s="884">
        <f t="shared" si="97"/>
        <v>86</v>
      </c>
      <c r="C634" s="2436">
        <f>IF('S. Setup'!$J$59&lt;&gt;"yes",0,SUMIF($D$703:$D$805,("="&amp;A634),$E$703:$E$805))</f>
        <v>0</v>
      </c>
      <c r="D634" s="2635">
        <f>IF('S. Setup'!$J$59&lt;&gt;"yes",0,SUMIF($H$703:$H$805,("="&amp;B634),$I$703:$I$805))</f>
        <v>0</v>
      </c>
      <c r="E634" s="2436">
        <f>IF('S. Setup'!$J$59&lt;&gt;"yes",0,SUMIF($J$703:$J$805,("="&amp;A634),$K$703:$K$805))</f>
        <v>0</v>
      </c>
      <c r="F634" s="2439">
        <f>IF('S. Setup'!$J$59&lt;&gt;"yes",0,SUMIF($L$703:$L$805,("="&amp;B87),$M$703:$M$805))</f>
        <v>0</v>
      </c>
      <c r="G634" s="917">
        <f>IF('S. Setup'!$J$59&lt;&gt;"yes",0,SUMIF($B$811:$B$913,("="&amp;A634),$C$811:$C$913))</f>
        <v>0</v>
      </c>
      <c r="H634" s="2602">
        <f>IF('S. Setup'!$J$59&lt;&gt;"yes",0,SUMIF($D$811:$D$913,("="&amp;B634),$E$811:$E$913))</f>
        <v>0</v>
      </c>
      <c r="I634" s="2645">
        <f>IF('S. Setup'!$J$59&lt;&gt;"yes",0,SUMIF($H$811:$H$913,("="&amp;A634),$I$811:$I$913))</f>
        <v>0</v>
      </c>
      <c r="J634" s="2646">
        <f>IF('S. Setup'!$J$59&lt;&gt;"yes",0,SUMIF($L$811:$L$913,("="&amp;B634),$M$811:$M$913))</f>
        <v>0</v>
      </c>
      <c r="K634" s="2353"/>
      <c r="L634" s="2412">
        <f t="shared" si="94"/>
        <v>0</v>
      </c>
      <c r="M634" s="2189">
        <f t="shared" si="95"/>
        <v>0</v>
      </c>
    </row>
    <row r="635" spans="1:13" x14ac:dyDescent="0.25">
      <c r="A635" s="2594">
        <f t="shared" si="96"/>
        <v>92</v>
      </c>
      <c r="B635" s="884">
        <f t="shared" si="97"/>
        <v>87</v>
      </c>
      <c r="C635" s="2436">
        <f>IF('S. Setup'!$J$59&lt;&gt;"yes",0,SUMIF($D$703:$D$805,("="&amp;A635),$E$703:$E$805))</f>
        <v>0</v>
      </c>
      <c r="D635" s="2635">
        <f>IF('S. Setup'!$J$59&lt;&gt;"yes",0,SUMIF($H$703:$H$805,("="&amp;B635),$I$703:$I$805))</f>
        <v>0</v>
      </c>
      <c r="E635" s="2436">
        <f>IF('S. Setup'!$J$59&lt;&gt;"yes",0,SUMIF($J$703:$J$805,("="&amp;A635),$K$703:$K$805))</f>
        <v>0</v>
      </c>
      <c r="F635" s="2439">
        <f>IF('S. Setup'!$J$59&lt;&gt;"yes",0,SUMIF($L$703:$L$805,("="&amp;B88),$M$703:$M$805))</f>
        <v>0</v>
      </c>
      <c r="G635" s="917">
        <f>IF('S. Setup'!$J$59&lt;&gt;"yes",0,SUMIF($B$811:$B$913,("="&amp;A635),$C$811:$C$913))</f>
        <v>0</v>
      </c>
      <c r="H635" s="2602">
        <f>IF('S. Setup'!$J$59&lt;&gt;"yes",0,SUMIF($D$811:$D$913,("="&amp;B635),$E$811:$E$913))</f>
        <v>0</v>
      </c>
      <c r="I635" s="2645">
        <f>IF('S. Setup'!$J$59&lt;&gt;"yes",0,SUMIF($H$811:$H$913,("="&amp;A635),$I$811:$I$913))</f>
        <v>0</v>
      </c>
      <c r="J635" s="2646">
        <f>IF('S. Setup'!$J$59&lt;&gt;"yes",0,SUMIF($L$811:$L$913,("="&amp;B635),$M$811:$M$913))</f>
        <v>0</v>
      </c>
      <c r="K635" s="2353"/>
      <c r="L635" s="2412">
        <f t="shared" si="94"/>
        <v>0</v>
      </c>
      <c r="M635" s="2189">
        <f t="shared" si="95"/>
        <v>0</v>
      </c>
    </row>
    <row r="636" spans="1:13" x14ac:dyDescent="0.25">
      <c r="A636" s="2594">
        <f t="shared" si="96"/>
        <v>93</v>
      </c>
      <c r="B636" s="884">
        <f t="shared" si="97"/>
        <v>88</v>
      </c>
      <c r="C636" s="2436">
        <f>IF('S. Setup'!$J$59&lt;&gt;"yes",0,SUMIF($D$703:$D$805,("="&amp;A636),$E$703:$E$805))</f>
        <v>0</v>
      </c>
      <c r="D636" s="2635">
        <f>IF('S. Setup'!$J$59&lt;&gt;"yes",0,SUMIF($H$703:$H$805,("="&amp;B636),$I$703:$I$805))</f>
        <v>0</v>
      </c>
      <c r="E636" s="2436">
        <f>IF('S. Setup'!$J$59&lt;&gt;"yes",0,SUMIF($J$703:$J$805,("="&amp;A636),$K$703:$K$805))</f>
        <v>0</v>
      </c>
      <c r="F636" s="2439">
        <f>IF('S. Setup'!$J$59&lt;&gt;"yes",0,SUMIF($L$703:$L$805,("="&amp;B89),$M$703:$M$805))</f>
        <v>0</v>
      </c>
      <c r="G636" s="917">
        <f>IF('S. Setup'!$J$59&lt;&gt;"yes",0,SUMIF($B$811:$B$913,("="&amp;A636),$C$811:$C$913))</f>
        <v>0</v>
      </c>
      <c r="H636" s="2602">
        <f>IF('S. Setup'!$J$59&lt;&gt;"yes",0,SUMIF($D$811:$D$913,("="&amp;B636),$E$811:$E$913))</f>
        <v>0</v>
      </c>
      <c r="I636" s="2645">
        <f>IF('S. Setup'!$J$59&lt;&gt;"yes",0,SUMIF($H$811:$H$913,("="&amp;A636),$I$811:$I$913))</f>
        <v>0</v>
      </c>
      <c r="J636" s="2646">
        <f>IF('S. Setup'!$J$59&lt;&gt;"yes",0,SUMIF($L$811:$L$913,("="&amp;B636),$M$811:$M$913))</f>
        <v>0</v>
      </c>
      <c r="K636" s="2353"/>
      <c r="L636" s="2412">
        <f t="shared" si="94"/>
        <v>0</v>
      </c>
      <c r="M636" s="2189">
        <f t="shared" si="95"/>
        <v>0</v>
      </c>
    </row>
    <row r="637" spans="1:13" x14ac:dyDescent="0.25">
      <c r="A637" s="2594">
        <f t="shared" si="96"/>
        <v>94</v>
      </c>
      <c r="B637" s="884">
        <f t="shared" si="97"/>
        <v>89</v>
      </c>
      <c r="C637" s="2436">
        <f>IF('S. Setup'!$J$59&lt;&gt;"yes",0,SUMIF($D$703:$D$805,("="&amp;A637),$E$703:$E$805))</f>
        <v>0</v>
      </c>
      <c r="D637" s="2635">
        <f>IF('S. Setup'!$J$59&lt;&gt;"yes",0,SUMIF($H$703:$H$805,("="&amp;B637),$I$703:$I$805))</f>
        <v>0</v>
      </c>
      <c r="E637" s="2436">
        <f>IF('S. Setup'!$J$59&lt;&gt;"yes",0,SUMIF($J$703:$J$805,("="&amp;A637),$K$703:$K$805))</f>
        <v>0</v>
      </c>
      <c r="F637" s="2439">
        <f>IF('S. Setup'!$J$59&lt;&gt;"yes",0,SUMIF($L$703:$L$805,("="&amp;B90),$M$703:$M$805))</f>
        <v>0</v>
      </c>
      <c r="G637" s="917">
        <f>IF('S. Setup'!$J$59&lt;&gt;"yes",0,SUMIF($B$811:$B$913,("="&amp;A637),$C$811:$C$913))</f>
        <v>0</v>
      </c>
      <c r="H637" s="2602">
        <f>IF('S. Setup'!$J$59&lt;&gt;"yes",0,SUMIF($D$811:$D$913,("="&amp;B637),$E$811:$E$913))</f>
        <v>0</v>
      </c>
      <c r="I637" s="2645">
        <f>IF('S. Setup'!$J$59&lt;&gt;"yes",0,SUMIF($H$811:$H$913,("="&amp;A637),$I$811:$I$913))</f>
        <v>0</v>
      </c>
      <c r="J637" s="2646">
        <f>IF('S. Setup'!$J$59&lt;&gt;"yes",0,SUMIF($L$811:$L$913,("="&amp;B637),$M$811:$M$913))</f>
        <v>0</v>
      </c>
      <c r="K637" s="2353"/>
      <c r="L637" s="2412">
        <f t="shared" si="94"/>
        <v>0</v>
      </c>
      <c r="M637" s="2189">
        <f t="shared" si="95"/>
        <v>0</v>
      </c>
    </row>
    <row r="638" spans="1:13" x14ac:dyDescent="0.25">
      <c r="A638" s="2594">
        <f t="shared" si="96"/>
        <v>95</v>
      </c>
      <c r="B638" s="884">
        <f t="shared" si="97"/>
        <v>90</v>
      </c>
      <c r="C638" s="2436">
        <f>IF('S. Setup'!$J$59&lt;&gt;"yes",0,SUMIF($D$703:$D$805,("="&amp;A638),$E$703:$E$805))</f>
        <v>0</v>
      </c>
      <c r="D638" s="2635">
        <f>IF('S. Setup'!$J$59&lt;&gt;"yes",0,SUMIF($H$703:$H$805,("="&amp;B638),$I$703:$I$805))</f>
        <v>0</v>
      </c>
      <c r="E638" s="2436">
        <f>IF('S. Setup'!$J$59&lt;&gt;"yes",0,SUMIF($J$703:$J$805,("="&amp;A638),$K$703:$K$805))</f>
        <v>0</v>
      </c>
      <c r="F638" s="2439">
        <f>IF('S. Setup'!$J$59&lt;&gt;"yes",0,SUMIF($L$703:$L$805,("="&amp;B91),$M$703:$M$805))</f>
        <v>0</v>
      </c>
      <c r="G638" s="917">
        <f>IF('S. Setup'!$J$59&lt;&gt;"yes",0,SUMIF($B$811:$B$913,("="&amp;A638),$C$811:$C$913))</f>
        <v>0</v>
      </c>
      <c r="H638" s="2602">
        <f>IF('S. Setup'!$J$59&lt;&gt;"yes",0,SUMIF($D$811:$D$913,("="&amp;B638),$E$811:$E$913))</f>
        <v>0</v>
      </c>
      <c r="I638" s="2645">
        <f>IF('S. Setup'!$J$59&lt;&gt;"yes",0,SUMIF($H$811:$H$913,("="&amp;A638),$I$811:$I$913))</f>
        <v>0</v>
      </c>
      <c r="J638" s="2646">
        <f>IF('S. Setup'!$J$59&lt;&gt;"yes",0,SUMIF($L$811:$L$913,("="&amp;B638),$M$811:$M$913))</f>
        <v>0</v>
      </c>
      <c r="K638" s="2353"/>
      <c r="L638" s="2412">
        <f t="shared" si="94"/>
        <v>0</v>
      </c>
      <c r="M638" s="2189">
        <f t="shared" si="95"/>
        <v>0</v>
      </c>
    </row>
    <row r="639" spans="1:13" ht="15.75" thickBot="1" x14ac:dyDescent="0.3">
      <c r="A639" s="2596">
        <f t="shared" si="96"/>
        <v>96</v>
      </c>
      <c r="B639" s="2636">
        <f t="shared" si="97"/>
        <v>91</v>
      </c>
      <c r="C639" s="2437">
        <f>IF('S. Setup'!$J$59&lt;&gt;"yes",0,SUMIF($D$703:$D$805,("="&amp;A639),$E$703:$E$805))</f>
        <v>0</v>
      </c>
      <c r="D639" s="1823">
        <f>IF('S. Setup'!$J$59&lt;&gt;"yes",0,SUMIF($H$703:$H$805,("="&amp;B639),$I$703:$I$805))</f>
        <v>0</v>
      </c>
      <c r="E639" s="2437">
        <f>IF('S. Setup'!$J$59&lt;&gt;"yes",0,SUMIF($J$703:$J$805,("="&amp;A639),$K$703:$K$805))</f>
        <v>0</v>
      </c>
      <c r="F639" s="2441">
        <f>IF('S. Setup'!$J$59&lt;&gt;"yes",0,SUMIF($L$703:$L$805,("="&amp;B92),$M$703:$M$805))</f>
        <v>0</v>
      </c>
      <c r="G639" s="2603">
        <f>IF('S. Setup'!$J$59&lt;&gt;"yes",0,SUMIF($B$811:$B$913,("="&amp;A639),$C$811:$C$913))</f>
        <v>0</v>
      </c>
      <c r="H639" s="2604">
        <f>IF('S. Setup'!$J$59&lt;&gt;"yes",0,SUMIF($D$811:$D$913,("="&amp;B639),$E$811:$E$913))</f>
        <v>0</v>
      </c>
      <c r="I639" s="2647">
        <f>IF('S. Setup'!$J$59&lt;&gt;"yes",0,SUMIF($H$811:$H$913,("="&amp;A639),$I$811:$I$913))</f>
        <v>0</v>
      </c>
      <c r="J639" s="2648">
        <f>IF('S. Setup'!$J$59&lt;&gt;"yes",0,SUMIF($L$811:$L$913,("="&amp;B639),$M$811:$M$913))</f>
        <v>0</v>
      </c>
      <c r="K639" s="1948"/>
      <c r="L639" s="2413">
        <f t="shared" si="94"/>
        <v>0</v>
      </c>
      <c r="M639" s="2191">
        <f t="shared" si="95"/>
        <v>0</v>
      </c>
    </row>
    <row r="640" spans="1:13" ht="15.75" thickTop="1" x14ac:dyDescent="0.25">
      <c r="A640" s="1336"/>
      <c r="M640" s="1311"/>
    </row>
    <row r="641" spans="1:13" ht="15.75" thickBot="1" x14ac:dyDescent="0.3">
      <c r="A641" s="1336"/>
      <c r="M641" s="1315"/>
    </row>
    <row r="642" spans="1:13" ht="19.5" thickTop="1" x14ac:dyDescent="0.3">
      <c r="A642" s="1340" t="s">
        <v>2176</v>
      </c>
      <c r="B642" s="1341"/>
      <c r="C642" s="1341"/>
      <c r="D642" s="1341"/>
      <c r="E642" s="2282"/>
      <c r="F642" s="1341"/>
      <c r="G642" s="1341"/>
      <c r="H642" s="1341"/>
      <c r="I642" s="1341"/>
      <c r="J642" s="1341"/>
      <c r="K642" s="1341"/>
      <c r="L642" s="1341"/>
      <c r="M642" s="1342"/>
    </row>
    <row r="643" spans="1:13" ht="18.75" x14ac:dyDescent="0.3">
      <c r="A643" s="1416" t="s">
        <v>2177</v>
      </c>
      <c r="B643" s="6"/>
      <c r="C643" s="6"/>
      <c r="D643" s="6"/>
      <c r="E643" s="13"/>
      <c r="F643" s="6"/>
      <c r="G643" s="6"/>
      <c r="H643" s="6"/>
      <c r="I643" s="144"/>
      <c r="J643" s="6"/>
      <c r="K643" s="6"/>
      <c r="M643" s="1311"/>
    </row>
    <row r="644" spans="1:13" ht="18.75" x14ac:dyDescent="0.3">
      <c r="A644" s="1336" t="s">
        <v>2877</v>
      </c>
      <c r="C644" s="6"/>
      <c r="D644" s="6"/>
      <c r="E644" s="13"/>
      <c r="F644" s="6"/>
      <c r="G644" s="6"/>
      <c r="H644" s="6"/>
      <c r="I644" s="144"/>
      <c r="J644" s="6"/>
      <c r="K644" s="6"/>
      <c r="M644" s="1311"/>
    </row>
    <row r="645" spans="1:13" x14ac:dyDescent="0.25">
      <c r="A645" s="1336"/>
      <c r="B645" s="215" t="s">
        <v>1959</v>
      </c>
      <c r="C645" s="6"/>
      <c r="D645" s="6"/>
      <c r="E645" s="13"/>
      <c r="F645" s="6"/>
      <c r="G645" s="6"/>
      <c r="H645" s="3187"/>
      <c r="I645" s="6"/>
      <c r="J645" s="6"/>
      <c r="K645" s="6"/>
      <c r="M645" s="1311"/>
    </row>
    <row r="646" spans="1:13" ht="18.75" x14ac:dyDescent="0.3">
      <c r="A646" s="1416" t="s">
        <v>2434</v>
      </c>
      <c r="B646" s="6"/>
      <c r="C646" s="6"/>
      <c r="D646" s="1295"/>
      <c r="E646" s="1295"/>
      <c r="F646" s="1295"/>
      <c r="G646" s="33"/>
      <c r="H646" s="1295"/>
      <c r="I646" s="2318"/>
      <c r="J646" s="1295"/>
      <c r="K646" s="1295"/>
      <c r="L646" s="1295"/>
      <c r="M646" s="1311"/>
    </row>
    <row r="647" spans="1:13" x14ac:dyDescent="0.25">
      <c r="A647" s="2329" t="s">
        <v>1876</v>
      </c>
      <c r="B647" s="6"/>
      <c r="C647" s="1295"/>
      <c r="D647" s="1295"/>
      <c r="E647" s="2254"/>
      <c r="F647" s="6"/>
      <c r="G647" s="6"/>
      <c r="H647" s="6"/>
      <c r="I647" s="6"/>
      <c r="J647" s="6"/>
      <c r="K647" s="6"/>
      <c r="L647" s="6"/>
      <c r="M647" s="1311"/>
    </row>
    <row r="648" spans="1:13" x14ac:dyDescent="0.25">
      <c r="A648" s="2330" t="s">
        <v>1877</v>
      </c>
      <c r="B648" s="66"/>
      <c r="C648" s="1295"/>
      <c r="D648" s="1295"/>
      <c r="E648" s="1764"/>
      <c r="F648" s="66"/>
      <c r="G648" s="66"/>
      <c r="H648" s="66"/>
      <c r="I648" s="66"/>
      <c r="J648" s="66"/>
      <c r="K648" s="66"/>
      <c r="L648" s="66"/>
      <c r="M648" s="1344"/>
    </row>
    <row r="649" spans="1:13" x14ac:dyDescent="0.25">
      <c r="A649" s="2357" t="s">
        <v>2030</v>
      </c>
      <c r="B649" s="66"/>
      <c r="C649" s="1295"/>
      <c r="D649" s="1295"/>
      <c r="E649" s="1764"/>
      <c r="F649" s="66"/>
      <c r="G649" s="66"/>
      <c r="H649" s="66"/>
      <c r="I649" s="66"/>
      <c r="J649" s="66"/>
      <c r="K649" s="66"/>
      <c r="L649" s="66"/>
      <c r="M649" s="1344"/>
    </row>
    <row r="650" spans="1:13" x14ac:dyDescent="0.25">
      <c r="A650" s="2330" t="s">
        <v>1878</v>
      </c>
      <c r="B650" s="66"/>
      <c r="C650" s="1295"/>
      <c r="D650" s="1295"/>
      <c r="E650" s="1764"/>
      <c r="F650" s="66"/>
      <c r="G650" s="66"/>
      <c r="H650" s="66"/>
      <c r="I650" s="66"/>
      <c r="J650" s="66"/>
      <c r="K650" s="66"/>
      <c r="L650" s="66"/>
      <c r="M650" s="1344"/>
    </row>
    <row r="651" spans="1:13" x14ac:dyDescent="0.25">
      <c r="A651" s="2357" t="s">
        <v>2031</v>
      </c>
      <c r="B651" s="66"/>
      <c r="C651" s="1295"/>
      <c r="D651" s="1295"/>
      <c r="E651" s="1764"/>
      <c r="F651" s="66"/>
      <c r="G651" s="66"/>
      <c r="H651" s="66"/>
      <c r="I651" s="66"/>
      <c r="M651" s="1344"/>
    </row>
    <row r="652" spans="1:13" x14ac:dyDescent="0.25">
      <c r="A652" s="1609" t="s">
        <v>2878</v>
      </c>
      <c r="B652" s="1238"/>
      <c r="C652" s="1295"/>
      <c r="D652" s="1295"/>
      <c r="E652" s="2254"/>
      <c r="F652" s="6"/>
      <c r="G652" s="6"/>
      <c r="H652" s="66"/>
      <c r="M652" s="1311"/>
    </row>
    <row r="653" spans="1:13" ht="15.75" thickBot="1" x14ac:dyDescent="0.3">
      <c r="A653" s="1609" t="s">
        <v>2879</v>
      </c>
      <c r="B653" s="1238"/>
      <c r="C653" s="1295"/>
      <c r="D653" s="1295"/>
      <c r="E653" s="2254"/>
      <c r="F653" s="6"/>
      <c r="G653" s="2739" t="s">
        <v>1791</v>
      </c>
      <c r="H653" s="66"/>
      <c r="M653" s="1311"/>
    </row>
    <row r="654" spans="1:13" ht="62.25" thickTop="1" thickBot="1" x14ac:dyDescent="0.3">
      <c r="A654" s="2588" t="s">
        <v>142</v>
      </c>
      <c r="B654" s="2589" t="s">
        <v>143</v>
      </c>
      <c r="C654" s="512" t="s">
        <v>2880</v>
      </c>
      <c r="D654" s="512" t="s">
        <v>3495</v>
      </c>
      <c r="E654" s="453" t="s">
        <v>2178</v>
      </c>
      <c r="F654" s="453" t="s">
        <v>2179</v>
      </c>
      <c r="G654" s="431" t="s">
        <v>2180</v>
      </c>
      <c r="H654" s="431" t="s">
        <v>2181</v>
      </c>
      <c r="I654" s="2326" t="s">
        <v>2881</v>
      </c>
      <c r="J654" s="2326" t="s">
        <v>2882</v>
      </c>
      <c r="K654" s="2279" t="s">
        <v>2883</v>
      </c>
      <c r="L654" s="2449" t="s">
        <v>2884</v>
      </c>
      <c r="M654" s="1311"/>
    </row>
    <row r="655" spans="1:13" ht="16.5" thickTop="1" thickBot="1" x14ac:dyDescent="0.3">
      <c r="A655" s="3195">
        <f>A656-1</f>
        <v>59</v>
      </c>
      <c r="B655" s="3196">
        <f>B656-1</f>
        <v>54</v>
      </c>
      <c r="C655" s="3191"/>
      <c r="D655" s="3191"/>
      <c r="E655" s="3192">
        <f>E362</f>
        <v>10000</v>
      </c>
      <c r="F655" s="3193">
        <f>F362</f>
        <v>8000</v>
      </c>
      <c r="G655" s="3194">
        <f>G362</f>
        <v>6000</v>
      </c>
      <c r="H655" s="3193">
        <f>H362</f>
        <v>12000</v>
      </c>
      <c r="I655" s="3186" t="s">
        <v>2885</v>
      </c>
      <c r="J655" s="3184"/>
      <c r="K655" s="3184"/>
      <c r="L655" s="3184"/>
      <c r="M655" s="2353"/>
    </row>
    <row r="656" spans="1:13" ht="15.75" thickTop="1" x14ac:dyDescent="0.25">
      <c r="A656" s="2572">
        <f>'1. AgeData'!$D$30</f>
        <v>60</v>
      </c>
      <c r="B656" s="2573">
        <f>'1. AgeData'!$D$31</f>
        <v>55</v>
      </c>
      <c r="C656" s="2633">
        <f>IF(OR(A656&lt;='1. AgeData'!$I$30,'S. Setup'!$J$84="keep"),1,0)*IF(OR(C363&lt;=0,I656=0),0,C363/I656)</f>
        <v>0</v>
      </c>
      <c r="D656" s="2576">
        <f>IF(OR(B656&lt;='1. AgeData'!$I$31,'S. Setup'!$J$84="keep"),1,0)*IF(OR(D363&lt;=0,J656=0),0,D363/J656)</f>
        <v>0</v>
      </c>
      <c r="E656" s="3145">
        <f t="shared" ref="E656:E692" si="98">MAX(0,IF(AND((A656&gt;=$K$181),(A656-$K$181)&lt;5),(1/(6-IF((A656-$K$181)&gt;5,1000000,(A656-$K$181+1))))),0)*IF(A656=$K$181,E$362,E362)</f>
        <v>0</v>
      </c>
      <c r="F656" s="3145">
        <f t="shared" ref="F656:F692" si="99">MAX(0,IF(AND((B656&gt;=$K$187),(B656-$K$187)&lt;5),(1/(6-IF((B656-$K$187)&gt;5,1000000,(B656-$K$187+1))))),0)*IF(B656=$K$187,F$362,F362)</f>
        <v>0</v>
      </c>
      <c r="G656" s="2639">
        <f>IF(OR(A656&lt;$K$182,I656=0),0,G362/I656)</f>
        <v>0</v>
      </c>
      <c r="H656" s="2605">
        <f>IF(OR(B656&lt;$K$188,J656=0),0,H362/J656)</f>
        <v>0</v>
      </c>
      <c r="I656" s="3172">
        <f>IF(AND(A656&gt;'1. AgeData'!$I$30,'S. Setup'!I$84="remove"), 0,1)*IF(($A656&gt;=70),INDEX('12. RMDtable'!$B$43:$B$82,($A656-70+1),0),0)</f>
        <v>0</v>
      </c>
      <c r="J656" s="3172">
        <f>IF(AND(B656&gt;'1. AgeData'!$I$31,'S. Setup'!J$84="remove"), 0,1)*IF(($B656&gt;=70),INDEX('12. RMDtable'!$B$43:$B$82,($B656-70+1),0),0)</f>
        <v>0</v>
      </c>
      <c r="K656" s="2649">
        <f>IF(OR(A656&lt;='1. AgeData'!$I$30,'S. Setup'!$J$84="keep"),1,0)*IF(OR(I363&lt;=0,I656=0),0,I363/I656)</f>
        <v>0</v>
      </c>
      <c r="L656" s="2650">
        <f>IF(OR(B656&lt;='1. AgeData'!$I$31,'S. Setup'!$J$84="keep"),1,0)*IF(OR(J363&lt;=0,J656=0),0,J363/J656)</f>
        <v>0</v>
      </c>
      <c r="M656" s="1311"/>
    </row>
    <row r="657" spans="1:13" x14ac:dyDescent="0.25">
      <c r="A657" s="2281">
        <f>A656+1</f>
        <v>61</v>
      </c>
      <c r="B657" s="2287">
        <f>B656+1</f>
        <v>56</v>
      </c>
      <c r="C657" s="1570">
        <f>IF(OR(A657&lt;='1. AgeData'!$I$30,'S. Setup'!$J$84="keep"),1,0)*IF(OR(C364&lt;=0,I657=0),0,C364/I657)</f>
        <v>0</v>
      </c>
      <c r="D657" s="2577">
        <f>IF(OR(B657&lt;='1. AgeData'!$I$31,'S. Setup'!$J$84="keep"),1,0)*IF(OR(D364&lt;=0,J657=0),0,D364/J657)</f>
        <v>0</v>
      </c>
      <c r="E657" s="3145">
        <f t="shared" si="98"/>
        <v>0</v>
      </c>
      <c r="F657" s="3145">
        <f t="shared" si="99"/>
        <v>0</v>
      </c>
      <c r="G657" s="917">
        <f t="shared" ref="G657:G692" si="100">IF(OR(A657&lt;$K$182,I657=0),0,G363/I657)</f>
        <v>0</v>
      </c>
      <c r="H657" s="2602">
        <f t="shared" ref="H657:H692" si="101">IF(OR(B657&lt;$K$188,J657=0),0,H363/J657)</f>
        <v>0</v>
      </c>
      <c r="I657" s="3173">
        <f>IF(AND(A657&gt;'1. AgeData'!$I$30,'S. Setup'!I$84="remove"), 0,1)*IF(($A657&gt;=70),INDEX('12. RMDtable'!$B$43:$B$82,($A657-70+1),0),0)</f>
        <v>0</v>
      </c>
      <c r="J657" s="3173">
        <f>IF(AND(B657&gt;'1. AgeData'!$I$31,'S. Setup'!J$84="remove"), 0,1)*IF(($B657&gt;=70),INDEX('12. RMDtable'!$B$43:$B$82,($B657-70+1),0),0)</f>
        <v>0</v>
      </c>
      <c r="K657" s="2645">
        <f>IF(OR(A657&lt;='1. AgeData'!$I$30,'S. Setup'!$J$84="keep"),1,0)*IF(OR(I364&lt;=0,I657=0),0,I364/I657)</f>
        <v>0</v>
      </c>
      <c r="L657" s="2651">
        <f>IF(OR(B657&lt;='1. AgeData'!$I$31,'S. Setup'!$J$84="keep"),1,0)*IF(OR(J364&lt;=0,J657=0),0,J364/J657)</f>
        <v>0</v>
      </c>
      <c r="M657" s="1311"/>
    </row>
    <row r="658" spans="1:13" x14ac:dyDescent="0.25">
      <c r="A658" s="2281">
        <f t="shared" ref="A658:B673" si="102">A657+1</f>
        <v>62</v>
      </c>
      <c r="B658" s="2287">
        <f t="shared" si="102"/>
        <v>57</v>
      </c>
      <c r="C658" s="1570">
        <f>IF(OR(A658&lt;='1. AgeData'!$I$30,'S. Setup'!$J$84="keep"),1,0)*IF(OR(C365&lt;=0,I658=0),0,C365/I658)</f>
        <v>0</v>
      </c>
      <c r="D658" s="2577">
        <f>IF(OR(B658&lt;='1. AgeData'!$I$31,'S. Setup'!$J$84="keep"),1,0)*IF(OR(D365&lt;=0,J658=0),0,D365/J658)</f>
        <v>0</v>
      </c>
      <c r="E658" s="3145">
        <f t="shared" si="98"/>
        <v>0</v>
      </c>
      <c r="F658" s="3145">
        <f t="shared" si="99"/>
        <v>0</v>
      </c>
      <c r="G658" s="917">
        <f t="shared" si="100"/>
        <v>0</v>
      </c>
      <c r="H658" s="2602">
        <f t="shared" si="101"/>
        <v>0</v>
      </c>
      <c r="I658" s="3173">
        <f>IF(AND(A658&gt;'1. AgeData'!$I$30,'S. Setup'!I$84="remove"), 0,1)*IF(($A658&gt;=70),INDEX('12. RMDtable'!$B$43:$B$82,($A658-70+1),0),0)</f>
        <v>0</v>
      </c>
      <c r="J658" s="3173">
        <f>IF(AND(B658&gt;'1. AgeData'!$I$31,'S. Setup'!J$84="remove"), 0,1)*IF(($B658&gt;=70),INDEX('12. RMDtable'!$B$43:$B$82,($B658-70+1),0),0)</f>
        <v>0</v>
      </c>
      <c r="K658" s="2645">
        <f>IF(OR(A658&lt;='1. AgeData'!$I$30,'S. Setup'!$J$84="keep"),1,0)*IF(OR(I365&lt;=0,I658=0),0,I365/I658)</f>
        <v>0</v>
      </c>
      <c r="L658" s="2651">
        <f>IF(OR(B658&lt;='1. AgeData'!$I$31,'S. Setup'!$J$84="keep"),1,0)*IF(OR(J365&lt;=0,J658=0),0,J365/J658)</f>
        <v>0</v>
      </c>
      <c r="M658" s="1311"/>
    </row>
    <row r="659" spans="1:13" x14ac:dyDescent="0.25">
      <c r="A659" s="2281">
        <f t="shared" si="102"/>
        <v>63</v>
      </c>
      <c r="B659" s="2287">
        <f t="shared" si="102"/>
        <v>58</v>
      </c>
      <c r="C659" s="1570">
        <f>IF(OR(A659&lt;='1. AgeData'!$I$30,'S. Setup'!$J$84="keep"),1,0)*IF(OR(C366&lt;=0,I659=0),0,C366/I659)</f>
        <v>0</v>
      </c>
      <c r="D659" s="2577">
        <f>IF(OR(B659&lt;='1. AgeData'!$I$31,'S. Setup'!$J$84="keep"),1,0)*IF(OR(D366&lt;=0,J659=0),0,D366/J659)</f>
        <v>0</v>
      </c>
      <c r="E659" s="3145">
        <f t="shared" si="98"/>
        <v>0</v>
      </c>
      <c r="F659" s="3145">
        <f t="shared" si="99"/>
        <v>1600</v>
      </c>
      <c r="G659" s="917">
        <f t="shared" si="100"/>
        <v>0</v>
      </c>
      <c r="H659" s="2602">
        <f t="shared" si="101"/>
        <v>0</v>
      </c>
      <c r="I659" s="3173">
        <f>IF(AND(A659&gt;'1. AgeData'!$I$30,'S. Setup'!I$84="remove"), 0,1)*IF(($A659&gt;=70),INDEX('12. RMDtable'!$B$43:$B$82,($A659-70+1),0),0)</f>
        <v>0</v>
      </c>
      <c r="J659" s="3173">
        <f>IF(AND(B659&gt;'1. AgeData'!$I$31,'S. Setup'!J$84="remove"), 0,1)*IF(($B659&gt;=70),INDEX('12. RMDtable'!$B$43:$B$82,($B659-70+1),0),0)</f>
        <v>0</v>
      </c>
      <c r="K659" s="2645">
        <f>IF(OR(A659&lt;='1. AgeData'!$I$30,'S. Setup'!$J$84="keep"),1,0)*IF(OR(I366&lt;=0,I659=0),0,I366/I659)</f>
        <v>0</v>
      </c>
      <c r="L659" s="2651">
        <f>IF(OR(B659&lt;='1. AgeData'!$I$31,'S. Setup'!$J$84="keep"),1,0)*IF(OR(J366&lt;=0,J659=0),0,J366/J659)</f>
        <v>0</v>
      </c>
      <c r="M659" s="1311"/>
    </row>
    <row r="660" spans="1:13" x14ac:dyDescent="0.25">
      <c r="A660" s="2281">
        <f t="shared" si="102"/>
        <v>64</v>
      </c>
      <c r="B660" s="2287">
        <f t="shared" si="102"/>
        <v>59</v>
      </c>
      <c r="C660" s="1570">
        <f>IF(OR(A660&lt;='1. AgeData'!$I$30,'S. Setup'!$J$84="keep"),1,0)*IF(OR(C367&lt;=0,I660=0),0,C367/I660)</f>
        <v>0</v>
      </c>
      <c r="D660" s="2577">
        <f>IF(OR(B660&lt;='1. AgeData'!$I$31,'S. Setup'!$J$84="keep"),1,0)*IF(OR(D367&lt;=0,J660=0),0,D367/J660)</f>
        <v>0</v>
      </c>
      <c r="E660" s="3145">
        <f t="shared" si="98"/>
        <v>0</v>
      </c>
      <c r="F660" s="3145">
        <f t="shared" si="99"/>
        <v>1600</v>
      </c>
      <c r="G660" s="917">
        <f t="shared" si="100"/>
        <v>0</v>
      </c>
      <c r="H660" s="2602">
        <f t="shared" si="101"/>
        <v>0</v>
      </c>
      <c r="I660" s="3173">
        <f>IF(AND(A660&gt;'1. AgeData'!$I$30,'S. Setup'!I$84="remove"), 0,1)*IF(($A660&gt;=70),INDEX('12. RMDtable'!$B$43:$B$82,($A660-70+1),0),0)</f>
        <v>0</v>
      </c>
      <c r="J660" s="3173">
        <f>IF(AND(B660&gt;'1. AgeData'!$I$31,'S. Setup'!J$84="remove"), 0,1)*IF(($B660&gt;=70),INDEX('12. RMDtable'!$B$43:$B$82,($B660-70+1),0),0)</f>
        <v>0</v>
      </c>
      <c r="K660" s="2645">
        <f>IF(OR(A660&lt;='1. AgeData'!$I$30,'S. Setup'!$J$84="keep"),1,0)*IF(OR(I367&lt;=0,I660=0),0,I367/I660)</f>
        <v>0</v>
      </c>
      <c r="L660" s="2651">
        <f>IF(OR(B660&lt;='1. AgeData'!$I$31,'S. Setup'!$J$84="keep"),1,0)*IF(OR(J367&lt;=0,J660=0),0,J367/J660)</f>
        <v>0</v>
      </c>
      <c r="M660" s="1311"/>
    </row>
    <row r="661" spans="1:13" x14ac:dyDescent="0.25">
      <c r="A661" s="2281">
        <f t="shared" si="102"/>
        <v>65</v>
      </c>
      <c r="B661" s="2287">
        <f t="shared" si="102"/>
        <v>60</v>
      </c>
      <c r="C661" s="1570">
        <f>IF(OR(A661&lt;='1. AgeData'!$I$30,'S. Setup'!$J$84="keep"),1,0)*IF(OR(C368&lt;=0,I661=0),0,C368/I661)</f>
        <v>0</v>
      </c>
      <c r="D661" s="2577">
        <f>IF(OR(B661&lt;='1. AgeData'!$I$31,'S. Setup'!$J$84="keep"),1,0)*IF(OR(D368&lt;=0,J661=0),0,D368/J661)</f>
        <v>0</v>
      </c>
      <c r="E661" s="3145">
        <f t="shared" si="98"/>
        <v>0</v>
      </c>
      <c r="F661" s="3145">
        <f t="shared" si="99"/>
        <v>1644.8000000000002</v>
      </c>
      <c r="G661" s="917">
        <f t="shared" si="100"/>
        <v>0</v>
      </c>
      <c r="H661" s="2602">
        <f t="shared" si="101"/>
        <v>0</v>
      </c>
      <c r="I661" s="3173">
        <f>IF(AND(A661&gt;'1. AgeData'!$I$30,'S. Setup'!I$84="remove"), 0,1)*IF(($A661&gt;=70),INDEX('12. RMDtable'!$B$43:$B$82,($A661-70+1),0),0)</f>
        <v>0</v>
      </c>
      <c r="J661" s="3173">
        <f>IF(AND(B661&gt;'1. AgeData'!$I$31,'S. Setup'!J$84="remove"), 0,1)*IF(($B661&gt;=70),INDEX('12. RMDtable'!$B$43:$B$82,($B661-70+1),0),0)</f>
        <v>0</v>
      </c>
      <c r="K661" s="2645">
        <f>IF(OR(A661&lt;='1. AgeData'!$I$30,'S. Setup'!$J$84="keep"),1,0)*IF(OR(I368&lt;=0,I661=0),0,I368/I661)</f>
        <v>0</v>
      </c>
      <c r="L661" s="2651">
        <f>IF(OR(B661&lt;='1. AgeData'!$I$31,'S. Setup'!$J$84="keep"),1,0)*IF(OR(J368&lt;=0,J661=0),0,J368/J661)</f>
        <v>0</v>
      </c>
      <c r="M661" s="1311"/>
    </row>
    <row r="662" spans="1:13" x14ac:dyDescent="0.25">
      <c r="A662" s="2281">
        <f t="shared" si="102"/>
        <v>66</v>
      </c>
      <c r="B662" s="2287">
        <f t="shared" si="102"/>
        <v>61</v>
      </c>
      <c r="C662" s="1570">
        <f>IF(OR(A662&lt;='1. AgeData'!$I$30,'S. Setup'!$J$84="keep"),1,0)*IF(OR(C369&lt;=0,I662=0),0,C369/I662)</f>
        <v>0</v>
      </c>
      <c r="D662" s="2577">
        <f>IF(OR(B662&lt;='1. AgeData'!$I$31,'S. Setup'!$J$84="keep"),1,0)*IF(OR(D369&lt;=0,J662=0),0,D369/J662)</f>
        <v>0</v>
      </c>
      <c r="E662" s="3145">
        <f t="shared" si="98"/>
        <v>0</v>
      </c>
      <c r="F662" s="3145">
        <f t="shared" si="99"/>
        <v>1696.6112000000003</v>
      </c>
      <c r="G662" s="917">
        <f t="shared" si="100"/>
        <v>0</v>
      </c>
      <c r="H662" s="2602">
        <f t="shared" si="101"/>
        <v>0</v>
      </c>
      <c r="I662" s="3173">
        <f>IF(AND(A662&gt;'1. AgeData'!$I$30,'S. Setup'!I$84="remove"), 0,1)*IF(($A662&gt;=70),INDEX('12. RMDtable'!$B$43:$B$82,($A662-70+1),0),0)</f>
        <v>0</v>
      </c>
      <c r="J662" s="3173">
        <f>IF(AND(B662&gt;'1. AgeData'!$I$31,'S. Setup'!J$84="remove"), 0,1)*IF(($B662&gt;=70),INDEX('12. RMDtable'!$B$43:$B$82,($B662-70+1),0),0)</f>
        <v>0</v>
      </c>
      <c r="K662" s="2645">
        <f>IF(OR(A662&lt;='1. AgeData'!$I$30,'S. Setup'!$J$84="keep"),1,0)*IF(OR(I369&lt;=0,I662=0),0,I369/I662)</f>
        <v>0</v>
      </c>
      <c r="L662" s="2651">
        <f>IF(OR(B662&lt;='1. AgeData'!$I$31,'S. Setup'!$J$84="keep"),1,0)*IF(OR(J369&lt;=0,J662=0),0,J369/J662)</f>
        <v>0</v>
      </c>
      <c r="M662" s="1311"/>
    </row>
    <row r="663" spans="1:13" x14ac:dyDescent="0.25">
      <c r="A663" s="2281">
        <f t="shared" si="102"/>
        <v>67</v>
      </c>
      <c r="B663" s="2287">
        <f t="shared" si="102"/>
        <v>62</v>
      </c>
      <c r="C663" s="1570">
        <f>IF(OR(A663&lt;='1. AgeData'!$I$30,'S. Setup'!$J$84="keep"),1,0)*IF(OR(C370&lt;=0,I663=0),0,C370/I663)</f>
        <v>0</v>
      </c>
      <c r="D663" s="2577">
        <f>IF(OR(B663&lt;='1. AgeData'!$I$31,'S. Setup'!$J$84="keep"),1,0)*IF(OR(D370&lt;=0,J663=0),0,D370/J663)</f>
        <v>0</v>
      </c>
      <c r="E663" s="3145">
        <f t="shared" si="98"/>
        <v>0</v>
      </c>
      <c r="F663" s="3145">
        <f t="shared" si="99"/>
        <v>1767.868870400001</v>
      </c>
      <c r="G663" s="917">
        <f t="shared" si="100"/>
        <v>0</v>
      </c>
      <c r="H663" s="2602">
        <f t="shared" si="101"/>
        <v>0</v>
      </c>
      <c r="I663" s="3173">
        <f>IF(AND(A663&gt;'1. AgeData'!$I$30,'S. Setup'!I$84="remove"), 0,1)*IF(($A663&gt;=70),INDEX('12. RMDtable'!$B$43:$B$82,($A663-70+1),0),0)</f>
        <v>0</v>
      </c>
      <c r="J663" s="3173">
        <f>IF(AND(B663&gt;'1. AgeData'!$I$31,'S. Setup'!J$84="remove"), 0,1)*IF(($B663&gt;=70),INDEX('12. RMDtable'!$B$43:$B$82,($B663-70+1),0),0)</f>
        <v>0</v>
      </c>
      <c r="K663" s="2645">
        <f>IF(OR(A663&lt;='1. AgeData'!$I$30,'S. Setup'!$J$84="keep"),1,0)*IF(OR(I370&lt;=0,I663=0),0,I370/I663)</f>
        <v>0</v>
      </c>
      <c r="L663" s="2651">
        <f>IF(OR(B663&lt;='1. AgeData'!$I$31,'S. Setup'!$J$84="keep"),1,0)*IF(OR(J370&lt;=0,J663=0),0,J370/J663)</f>
        <v>0</v>
      </c>
      <c r="M663" s="1311"/>
    </row>
    <row r="664" spans="1:13" x14ac:dyDescent="0.25">
      <c r="A664" s="2281">
        <f t="shared" si="102"/>
        <v>68</v>
      </c>
      <c r="B664" s="2287">
        <f t="shared" si="102"/>
        <v>63</v>
      </c>
      <c r="C664" s="1570">
        <f>IF(OR(A664&lt;='1. AgeData'!$I$30,'S. Setup'!$J$84="keep"),1,0)*IF(OR(C371&lt;=0,I664=0),0,C371/I664)</f>
        <v>0</v>
      </c>
      <c r="D664" s="2577">
        <f>IF(OR(B664&lt;='1. AgeData'!$I$31,'S. Setup'!$J$84="keep"),1,0)*IF(OR(D371&lt;=0,J664=0),0,D371/J664)</f>
        <v>0</v>
      </c>
      <c r="E664" s="3145">
        <f t="shared" si="98"/>
        <v>0</v>
      </c>
      <c r="F664" s="3145">
        <f t="shared" si="99"/>
        <v>0</v>
      </c>
      <c r="G664" s="917">
        <f t="shared" si="100"/>
        <v>0</v>
      </c>
      <c r="H664" s="2602">
        <f t="shared" si="101"/>
        <v>0</v>
      </c>
      <c r="I664" s="3173">
        <f>IF(AND(A664&gt;'1. AgeData'!$I$30,'S. Setup'!I$84="remove"), 0,1)*IF(($A664&gt;=70),INDEX('12. RMDtable'!$B$43:$B$82,($A664-70+1),0),0)</f>
        <v>0</v>
      </c>
      <c r="J664" s="3173">
        <f>IF(AND(B664&gt;'1. AgeData'!$I$31,'S. Setup'!J$84="remove"), 0,1)*IF(($B664&gt;=70),INDEX('12. RMDtable'!$B$43:$B$82,($B664-70+1),0),0)</f>
        <v>0</v>
      </c>
      <c r="K664" s="2645">
        <f>IF(OR(A664&lt;='1. AgeData'!$I$30,'S. Setup'!$J$84="keep"),1,0)*IF(OR(I371&lt;=0,I664=0),0,I371/I664)</f>
        <v>0</v>
      </c>
      <c r="L664" s="2651">
        <f>IF(OR(B664&lt;='1. AgeData'!$I$31,'S. Setup'!$J$84="keep"),1,0)*IF(OR(J371&lt;=0,J664=0),0,J371/J664)</f>
        <v>0</v>
      </c>
      <c r="M664" s="1311"/>
    </row>
    <row r="665" spans="1:13" x14ac:dyDescent="0.25">
      <c r="A665" s="2281">
        <f t="shared" si="102"/>
        <v>69</v>
      </c>
      <c r="B665" s="2287">
        <f t="shared" si="102"/>
        <v>64</v>
      </c>
      <c r="C665" s="1570">
        <f>IF(OR(A665&lt;='1. AgeData'!$I$30,'S. Setup'!$J$84="keep"),1,0)*IF(OR(C372&lt;=0,I665=0),0,C372/I665)</f>
        <v>0</v>
      </c>
      <c r="D665" s="2577">
        <f>IF(OR(B665&lt;='1. AgeData'!$I$31,'S. Setup'!$J$84="keep"),1,0)*IF(OR(D372&lt;=0,J665=0),0,D372/J665)</f>
        <v>0</v>
      </c>
      <c r="E665" s="3145">
        <f t="shared" si="98"/>
        <v>0</v>
      </c>
      <c r="F665" s="3145">
        <f t="shared" si="99"/>
        <v>0</v>
      </c>
      <c r="G665" s="917">
        <f t="shared" si="100"/>
        <v>0</v>
      </c>
      <c r="H665" s="2602">
        <f t="shared" si="101"/>
        <v>0</v>
      </c>
      <c r="I665" s="3173">
        <f>IF(AND(A665&gt;'1. AgeData'!$I$30,'S. Setup'!I$84="remove"), 0,1)*IF(($A665&gt;=70),INDEX('12. RMDtable'!$B$43:$B$82,($A665-70+1),0),0)</f>
        <v>0</v>
      </c>
      <c r="J665" s="3173">
        <f>IF(AND(B665&gt;'1. AgeData'!$I$31,'S. Setup'!J$84="remove"), 0,1)*IF(($B665&gt;=70),INDEX('12. RMDtable'!$B$43:$B$82,($B665-70+1),0),0)</f>
        <v>0</v>
      </c>
      <c r="K665" s="2645">
        <f>IF(OR(A665&lt;='1. AgeData'!$I$30,'S. Setup'!$J$84="keep"),1,0)*IF(OR(I372&lt;=0,I665=0),0,I372/I665)</f>
        <v>0</v>
      </c>
      <c r="L665" s="2651">
        <f>IF(OR(B665&lt;='1. AgeData'!$I$31,'S. Setup'!$J$84="keep"),1,0)*IF(OR(J372&lt;=0,J665=0),0,J372/J665)</f>
        <v>0</v>
      </c>
      <c r="M665" s="1311"/>
    </row>
    <row r="666" spans="1:13" x14ac:dyDescent="0.25">
      <c r="A666" s="2281">
        <f t="shared" si="102"/>
        <v>70</v>
      </c>
      <c r="B666" s="2287">
        <f t="shared" si="102"/>
        <v>65</v>
      </c>
      <c r="C666" s="1570">
        <f>IF(OR(A666&lt;='1. AgeData'!$I$30,'S. Setup'!$J$84="keep"),1,0)*IF(OR(C373&lt;=0,I666=0),0,C373/I666)</f>
        <v>7499.1423170110838</v>
      </c>
      <c r="D666" s="2577">
        <f>IF(OR(B666&lt;='1. AgeData'!$I$31,'S. Setup'!$J$84="keep"),1,0)*IF(OR(D373&lt;=0,J666=0),0,D373/J666)</f>
        <v>0</v>
      </c>
      <c r="E666" s="3145">
        <f t="shared" si="98"/>
        <v>0</v>
      </c>
      <c r="F666" s="3145">
        <f t="shared" si="99"/>
        <v>0</v>
      </c>
      <c r="G666" s="917">
        <f t="shared" si="100"/>
        <v>0</v>
      </c>
      <c r="H666" s="2602">
        <f t="shared" si="101"/>
        <v>0</v>
      </c>
      <c r="I666" s="3173">
        <f>IF(AND(A666&gt;'1. AgeData'!$I$30,'S. Setup'!I$84="remove"), 0,1)*IF(($A666&gt;=70),INDEX('12. RMDtable'!$B$43:$B$82,($A666-70+1),0),0)</f>
        <v>27.4</v>
      </c>
      <c r="J666" s="3173">
        <f>IF(AND(B666&gt;'1. AgeData'!$I$31,'S. Setup'!J$84="remove"), 0,1)*IF(($B666&gt;=70),INDEX('12. RMDtable'!$B$43:$B$82,($B666-70+1),0),0)</f>
        <v>0</v>
      </c>
      <c r="K666" s="2645">
        <f>IF(OR(A666&lt;='1. AgeData'!$I$30,'S. Setup'!$J$84="keep"),1,0)*IF(OR(I373&lt;=0,I666=0),0,I373/I666)</f>
        <v>0</v>
      </c>
      <c r="L666" s="2651">
        <f>IF(OR(B666&lt;='1. AgeData'!$I$31,'S. Setup'!$J$84="keep"),1,0)*IF(OR(J373&lt;=0,J666=0),0,J373/J666)</f>
        <v>0</v>
      </c>
      <c r="M666" s="1311"/>
    </row>
    <row r="667" spans="1:13" x14ac:dyDescent="0.25">
      <c r="A667" s="2281">
        <f t="shared" si="102"/>
        <v>71</v>
      </c>
      <c r="B667" s="2287">
        <f t="shared" si="102"/>
        <v>66</v>
      </c>
      <c r="C667" s="1570">
        <f>IF(OR(A667&lt;='1. AgeData'!$I$30,'S. Setup'!$J$84="keep"),1,0)*IF(OR(C374&lt;=0,I667=0),0,C374/I667)</f>
        <v>7470.8436667582118</v>
      </c>
      <c r="D667" s="2577">
        <f>IF(OR(B667&lt;='1. AgeData'!$I$31,'S. Setup'!$J$84="keep"),1,0)*IF(OR(D374&lt;=0,J667=0),0,D374/J667)</f>
        <v>0</v>
      </c>
      <c r="E667" s="3145">
        <f t="shared" si="98"/>
        <v>2000</v>
      </c>
      <c r="F667" s="3145">
        <f t="shared" si="99"/>
        <v>0</v>
      </c>
      <c r="G667" s="917">
        <f t="shared" si="100"/>
        <v>0</v>
      </c>
      <c r="H667" s="2602">
        <f t="shared" si="101"/>
        <v>0</v>
      </c>
      <c r="I667" s="3173">
        <f>IF(AND(A667&gt;'1. AgeData'!$I$30,'S. Setup'!I$84="remove"), 0,1)*IF(($A667&gt;=70),INDEX('12. RMDtable'!$B$43:$B$82,($A667-70+1),0),0)</f>
        <v>26.5</v>
      </c>
      <c r="J667" s="3173">
        <f>IF(AND(B667&gt;'1. AgeData'!$I$31,'S. Setup'!J$84="remove"), 0,1)*IF(($B667&gt;=70),INDEX('12. RMDtable'!$B$43:$B$82,($B667-70+1),0),0)</f>
        <v>0</v>
      </c>
      <c r="K667" s="2645">
        <f>IF(OR(A667&lt;='1. AgeData'!$I$30,'S. Setup'!$J$84="keep"),1,0)*IF(OR(I374&lt;=0,I667=0),0,I374/I667)</f>
        <v>0</v>
      </c>
      <c r="L667" s="2651">
        <f>IF(OR(B667&lt;='1. AgeData'!$I$31,'S. Setup'!$J$84="keep"),1,0)*IF(OR(J374&lt;=0,J667=0),0,J374/J667)</f>
        <v>0</v>
      </c>
      <c r="M667" s="1311"/>
    </row>
    <row r="668" spans="1:13" x14ac:dyDescent="0.25">
      <c r="A668" s="2281">
        <f t="shared" si="102"/>
        <v>72</v>
      </c>
      <c r="B668" s="2287">
        <f t="shared" si="102"/>
        <v>67</v>
      </c>
      <c r="C668" s="1570">
        <f>IF(OR(A668&lt;='1. AgeData'!$I$30,'S. Setup'!$J$84="keep"),1,0)*IF(OR(C375&lt;=0,I668=0),0,C375/I668)</f>
        <v>7441.6606836849369</v>
      </c>
      <c r="D668" s="2577">
        <f>IF(OR(B668&lt;='1. AgeData'!$I$31,'S. Setup'!$J$84="keep"),1,0)*IF(OR(D375&lt;=0,J668=0),0,D375/J668)</f>
        <v>0</v>
      </c>
      <c r="E668" s="3145">
        <f t="shared" si="98"/>
        <v>2000</v>
      </c>
      <c r="F668" s="3145">
        <f t="shared" si="99"/>
        <v>0</v>
      </c>
      <c r="G668" s="917">
        <f t="shared" si="100"/>
        <v>0</v>
      </c>
      <c r="H668" s="2602">
        <f t="shared" si="101"/>
        <v>0</v>
      </c>
      <c r="I668" s="3173">
        <f>IF(AND(A668&gt;'1. AgeData'!$I$30,'S. Setup'!I$84="remove"), 0,1)*IF(($A668&gt;=70),INDEX('12. RMDtable'!$B$43:$B$82,($A668-70+1),0),0)</f>
        <v>25.6</v>
      </c>
      <c r="J668" s="3173">
        <f>IF(AND(B668&gt;'1. AgeData'!$I$31,'S. Setup'!J$84="remove"), 0,1)*IF(($B668&gt;=70),INDEX('12. RMDtable'!$B$43:$B$82,($B668-70+1),0),0)</f>
        <v>0</v>
      </c>
      <c r="K668" s="2645">
        <f>IF(OR(A668&lt;='1. AgeData'!$I$30,'S. Setup'!$J$84="keep"),1,0)*IF(OR(I375&lt;=0,I668=0),0,I375/I668)</f>
        <v>0</v>
      </c>
      <c r="L668" s="2651">
        <f>IF(OR(B668&lt;='1. AgeData'!$I$31,'S. Setup'!$J$84="keep"),1,0)*IF(OR(J375&lt;=0,J668=0),0,J375/J668)</f>
        <v>0</v>
      </c>
      <c r="M668" s="1311"/>
    </row>
    <row r="669" spans="1:13" x14ac:dyDescent="0.25">
      <c r="A669" s="2281">
        <f t="shared" si="102"/>
        <v>73</v>
      </c>
      <c r="B669" s="2287">
        <f t="shared" si="102"/>
        <v>68</v>
      </c>
      <c r="C669" s="1570">
        <f>IF(OR(A669&lt;='1. AgeData'!$I$30,'S. Setup'!$J$84="keep"),1,0)*IF(OR(C376&lt;=0,I669=0),0,C376/I669)</f>
        <v>7411.5325027793306</v>
      </c>
      <c r="D669" s="2577">
        <f>IF(OR(B669&lt;='1. AgeData'!$I$31,'S. Setup'!$J$84="keep"),1,0)*IF(OR(D376&lt;=0,J669=0),0,D376/J669)</f>
        <v>0</v>
      </c>
      <c r="E669" s="3145">
        <f t="shared" si="98"/>
        <v>2101.333333333333</v>
      </c>
      <c r="F669" s="3145">
        <f t="shared" si="99"/>
        <v>0</v>
      </c>
      <c r="G669" s="917">
        <f t="shared" si="100"/>
        <v>242.91497975708504</v>
      </c>
      <c r="H669" s="2602">
        <f t="shared" si="101"/>
        <v>0</v>
      </c>
      <c r="I669" s="3173">
        <f>IF(AND(A669&gt;'1. AgeData'!$I$30,'S. Setup'!I$84="remove"), 0,1)*IF(($A669&gt;=70),INDEX('12. RMDtable'!$B$43:$B$82,($A669-70+1),0),0)</f>
        <v>24.7</v>
      </c>
      <c r="J669" s="3173">
        <f>IF(AND(B669&gt;'1. AgeData'!$I$31,'S. Setup'!J$84="remove"), 0,1)*IF(($B669&gt;=70),INDEX('12. RMDtable'!$B$43:$B$82,($B669-70+1),0),0)</f>
        <v>0</v>
      </c>
      <c r="K669" s="2645">
        <f>IF(OR(A669&lt;='1. AgeData'!$I$30,'S. Setup'!$J$84="keep"),1,0)*IF(OR(I376&lt;=0,I669=0),0,I376/I669)</f>
        <v>0</v>
      </c>
      <c r="L669" s="2651">
        <f>IF(OR(B669&lt;='1. AgeData'!$I$31,'S. Setup'!$J$84="keep"),1,0)*IF(OR(J376&lt;=0,J669=0),0,J376/J669)</f>
        <v>0</v>
      </c>
      <c r="M669" s="1311"/>
    </row>
    <row r="670" spans="1:13" x14ac:dyDescent="0.25">
      <c r="A670" s="2281">
        <f t="shared" si="102"/>
        <v>74</v>
      </c>
      <c r="B670" s="2287">
        <f t="shared" si="102"/>
        <v>69</v>
      </c>
      <c r="C670" s="1570">
        <f>IF(OR(A670&lt;='1. AgeData'!$I$30,'S. Setup'!$J$84="keep"),1,0)*IF(OR(C377&lt;=0,I670=0),0,C377/I670)</f>
        <v>7380.3916099105099</v>
      </c>
      <c r="D670" s="2577">
        <f>IF(OR(B670&lt;='1. AgeData'!$I$31,'S. Setup'!$J$84="keep"),1,0)*IF(OR(D377&lt;=0,J670=0),0,D377/J670)</f>
        <v>0</v>
      </c>
      <c r="E670" s="3145">
        <f t="shared" si="98"/>
        <v>2221.1093333333338</v>
      </c>
      <c r="F670" s="3145">
        <f t="shared" si="99"/>
        <v>0</v>
      </c>
      <c r="G670" s="917">
        <f t="shared" si="100"/>
        <v>249.96155547239135</v>
      </c>
      <c r="H670" s="2602">
        <f t="shared" si="101"/>
        <v>0</v>
      </c>
      <c r="I670" s="3173">
        <f>IF(AND(A670&gt;'1. AgeData'!$I$30,'S. Setup'!I$84="remove"), 0,1)*IF(($A670&gt;=70),INDEX('12. RMDtable'!$B$43:$B$82,($A670-70+1),0),0)</f>
        <v>23.8</v>
      </c>
      <c r="J670" s="3173">
        <f>IF(AND(B670&gt;'1. AgeData'!$I$31,'S. Setup'!J$84="remove"), 0,1)*IF(($B670&gt;=70),INDEX('12. RMDtable'!$B$43:$B$82,($B670-70+1),0),0)</f>
        <v>0</v>
      </c>
      <c r="K670" s="2645">
        <f>IF(OR(A670&lt;='1. AgeData'!$I$30,'S. Setup'!$J$84="keep"),1,0)*IF(OR(I377&lt;=0,I670=0),0,I377/I670)</f>
        <v>0</v>
      </c>
      <c r="L670" s="2651">
        <f>IF(OR(B670&lt;='1. AgeData'!$I$31,'S. Setup'!$J$84="keep"),1,0)*IF(OR(J377&lt;=0,J670=0),0,J377/J670)</f>
        <v>0</v>
      </c>
      <c r="M670" s="1311"/>
    </row>
    <row r="671" spans="1:13" x14ac:dyDescent="0.25">
      <c r="A671" s="2281">
        <f t="shared" si="102"/>
        <v>75</v>
      </c>
      <c r="B671" s="2287">
        <f t="shared" si="102"/>
        <v>70</v>
      </c>
      <c r="C671" s="1570">
        <f>IF(OR(A671&lt;='1. AgeData'!$I$30,'S. Setup'!$J$84="keep"),1,0)*IF(OR(C378&lt;=0,I671=0),0,C378/I671)</f>
        <v>7348.1628255877577</v>
      </c>
      <c r="D671" s="2577">
        <f>IF(OR(B671&lt;='1. AgeData'!$I$31,'S. Setup'!$J$84="keep"),1,0)*IF(OR(D378&lt;=0,J671=0),0,D378/J671)</f>
        <v>4099.2019994698076</v>
      </c>
      <c r="E671" s="3145">
        <f t="shared" si="98"/>
        <v>2389.9136426666673</v>
      </c>
      <c r="F671" s="3145">
        <f t="shared" si="99"/>
        <v>0</v>
      </c>
      <c r="G671" s="917">
        <f t="shared" si="100"/>
        <v>257.18315220167239</v>
      </c>
      <c r="H671" s="2602">
        <f t="shared" si="101"/>
        <v>547.96418455716696</v>
      </c>
      <c r="I671" s="3173">
        <f>IF(AND(A671&gt;'1. AgeData'!$I$30,'S. Setup'!I$84="remove"), 0,1)*IF(($A671&gt;=70),INDEX('12. RMDtable'!$B$43:$B$82,($A671-70+1),0),0)</f>
        <v>22.9</v>
      </c>
      <c r="J671" s="3173">
        <f>IF(AND(B671&gt;'1. AgeData'!$I$31,'S. Setup'!J$84="remove"), 0,1)*IF(($B671&gt;=70),INDEX('12. RMDtable'!$B$43:$B$82,($B671-70+1),0),0)</f>
        <v>27.4</v>
      </c>
      <c r="K671" s="2645">
        <f>IF(OR(A671&lt;='1. AgeData'!$I$30,'S. Setup'!$J$84="keep"),1,0)*IF(OR(I378&lt;=0,I671=0),0,I378/I671)</f>
        <v>0</v>
      </c>
      <c r="L671" s="2651">
        <f>IF(OR(B671&lt;='1. AgeData'!$I$31,'S. Setup'!$J$84="keep"),1,0)*IF(OR(J378&lt;=0,J671=0),0,J378/J671)</f>
        <v>0</v>
      </c>
      <c r="M671" s="1311"/>
    </row>
    <row r="672" spans="1:13" x14ac:dyDescent="0.25">
      <c r="A672" s="2281">
        <f t="shared" si="102"/>
        <v>76</v>
      </c>
      <c r="B672" s="2287">
        <f t="shared" si="102"/>
        <v>71</v>
      </c>
      <c r="C672" s="1570">
        <f>IF(OR(A672&lt;='1. AgeData'!$I$30,'S. Setup'!$J$84="keep"),1,0)*IF(OR(C379&lt;=0,I672=0),0,C379/I672)</f>
        <v>7314.7620854714487</v>
      </c>
      <c r="D672" s="2577">
        <f>IF(OR(B672&lt;='1. AgeData'!$I$31,'S. Setup'!$J$84="keep"),1,0)*IF(OR(D379&lt;=0,J672=0),0,D379/J672)</f>
        <v>4083.7333126793551</v>
      </c>
      <c r="E672" s="3145">
        <f t="shared" si="98"/>
        <v>0</v>
      </c>
      <c r="F672" s="3145">
        <f t="shared" si="99"/>
        <v>0</v>
      </c>
      <c r="G672" s="917">
        <f t="shared" si="100"/>
        <v>264.58067487045497</v>
      </c>
      <c r="H672" s="2602">
        <f t="shared" si="101"/>
        <v>564.87663386091447</v>
      </c>
      <c r="I672" s="3173">
        <f>IF(AND(A672&gt;'1. AgeData'!$I$30,'S. Setup'!I$84="remove"), 0,1)*IF(($A672&gt;=70),INDEX('12. RMDtable'!$B$43:$B$82,($A672-70+1),0),0)</f>
        <v>22</v>
      </c>
      <c r="J672" s="3173">
        <f>IF(AND(B672&gt;'1. AgeData'!$I$31,'S. Setup'!J$84="remove"), 0,1)*IF(($B672&gt;=70),INDEX('12. RMDtable'!$B$43:$B$82,($B672-70+1),0),0)</f>
        <v>26.5</v>
      </c>
      <c r="K672" s="2645">
        <f>IF(OR(A672&lt;='1. AgeData'!$I$30,'S. Setup'!$J$84="keep"),1,0)*IF(OR(I379&lt;=0,I672=0),0,I379/I672)</f>
        <v>0</v>
      </c>
      <c r="L672" s="2651">
        <f>IF(OR(B672&lt;='1. AgeData'!$I$31,'S. Setup'!$J$84="keep"),1,0)*IF(OR(J379&lt;=0,J672=0),0,J379/J672)</f>
        <v>0</v>
      </c>
      <c r="M672" s="1311"/>
    </row>
    <row r="673" spans="1:13" x14ac:dyDescent="0.25">
      <c r="A673" s="2281">
        <f t="shared" si="102"/>
        <v>77</v>
      </c>
      <c r="B673" s="2287">
        <f t="shared" si="102"/>
        <v>72</v>
      </c>
      <c r="C673" s="1570">
        <f>IF(OR(A673&lt;='1. AgeData'!$I$30,'S. Setup'!$J$84="keep"),1,0)*IF(OR(C380&lt;=0,I673=0),0,C380/I673)</f>
        <v>7245.7548959858696</v>
      </c>
      <c r="D673" s="2577">
        <f>IF(OR(B673&lt;='1. AgeData'!$I$31,'S. Setup'!$J$84="keep"),1,0)*IF(OR(D380&lt;=0,J673=0),0,D380/J673)</f>
        <v>4067.7812294267014</v>
      </c>
      <c r="E673" s="3145">
        <f t="shared" si="98"/>
        <v>0</v>
      </c>
      <c r="F673" s="3145">
        <f t="shared" si="99"/>
        <v>0</v>
      </c>
      <c r="G673" s="917">
        <f t="shared" si="100"/>
        <v>270.87070600888467</v>
      </c>
      <c r="H673" s="2602">
        <f t="shared" si="101"/>
        <v>582.25872637356815</v>
      </c>
      <c r="I673" s="3173">
        <f>IF(AND(A673&gt;'1. AgeData'!$I$30,'S. Setup'!I$84="remove"), 0,1)*IF(($A673&gt;=70),INDEX('12. RMDtable'!$B$43:$B$82,($A673-70+1),0),0)</f>
        <v>21.2</v>
      </c>
      <c r="J673" s="3173">
        <f>IF(AND(B673&gt;'1. AgeData'!$I$31,'S. Setup'!J$84="remove"), 0,1)*IF(($B673&gt;=70),INDEX('12. RMDtable'!$B$43:$B$82,($B673-70+1),0),0)</f>
        <v>25.6</v>
      </c>
      <c r="K673" s="2645">
        <f>IF(OR(A673&lt;='1. AgeData'!$I$30,'S. Setup'!$J$84="keep"),1,0)*IF(OR(I380&lt;=0,I673=0),0,I380/I673)</f>
        <v>0</v>
      </c>
      <c r="L673" s="2651">
        <f>IF(OR(B673&lt;='1. AgeData'!$I$31,'S. Setup'!$J$84="keep"),1,0)*IF(OR(J380&lt;=0,J673=0),0,J380/J673)</f>
        <v>0</v>
      </c>
      <c r="M673" s="1311"/>
    </row>
    <row r="674" spans="1:13" x14ac:dyDescent="0.25">
      <c r="A674" s="2281">
        <f t="shared" ref="A674:B689" si="103">A673+1</f>
        <v>78</v>
      </c>
      <c r="B674" s="2287">
        <f t="shared" si="103"/>
        <v>73</v>
      </c>
      <c r="C674" s="1570">
        <f>IF(OR(A674&lt;='1. AgeData'!$I$30,'S. Setup'!$J$84="keep"),1,0)*IF(OR(C381&lt;=0,I674=0),0,C381/I674)</f>
        <v>7210.061522114017</v>
      </c>
      <c r="D674" s="2577">
        <f>IF(OR(B674&lt;='1. AgeData'!$I$31,'S. Setup'!$J$84="keep"),1,0)*IF(OR(D381&lt;=0,J674=0),0,D381/J674)</f>
        <v>4051.3124795099943</v>
      </c>
      <c r="E674" s="3145">
        <f t="shared" si="98"/>
        <v>0</v>
      </c>
      <c r="F674" s="3145">
        <f t="shared" si="99"/>
        <v>0</v>
      </c>
      <c r="G674" s="917">
        <f t="shared" si="100"/>
        <v>278.58851962245802</v>
      </c>
      <c r="H674" s="2602">
        <f t="shared" si="101"/>
        <v>600.1178037460628</v>
      </c>
      <c r="I674" s="3173">
        <f>IF(AND(A674&gt;'1. AgeData'!$I$30,'S. Setup'!I$84="remove"), 0,1)*IF(($A674&gt;=70),INDEX('12. RMDtable'!$B$43:$B$82,($A674-70+1),0),0)</f>
        <v>20.3</v>
      </c>
      <c r="J674" s="3173">
        <f>IF(AND(B674&gt;'1. AgeData'!$I$31,'S. Setup'!J$84="remove"), 0,1)*IF(($B674&gt;=70),INDEX('12. RMDtable'!$B$43:$B$82,($B674-70+1),0),0)</f>
        <v>24.7</v>
      </c>
      <c r="K674" s="2645">
        <f>IF(OR(A674&lt;='1. AgeData'!$I$30,'S. Setup'!$J$84="keep"),1,0)*IF(OR(I381&lt;=0,I674=0),0,I381/I674)</f>
        <v>0</v>
      </c>
      <c r="L674" s="2651">
        <f>IF(OR(B674&lt;='1. AgeData'!$I$31,'S. Setup'!$J$84="keep"),1,0)*IF(OR(J381&lt;=0,J674=0),0,J381/J674)</f>
        <v>0</v>
      </c>
      <c r="M674" s="1311"/>
    </row>
    <row r="675" spans="1:13" x14ac:dyDescent="0.25">
      <c r="A675" s="2281">
        <f t="shared" si="103"/>
        <v>79</v>
      </c>
      <c r="B675" s="2287">
        <f t="shared" si="103"/>
        <v>74</v>
      </c>
      <c r="C675" s="1570">
        <f>IF(OR(A675&lt;='1. AgeData'!$I$30,'S. Setup'!$J$84="keep"),1,0)*IF(OR(C382&lt;=0,I675=0),0,C382/I675)</f>
        <v>7136.1121731692592</v>
      </c>
      <c r="D675" s="2577">
        <f>IF(OR(B675&lt;='1. AgeData'!$I$31,'S. Setup'!$J$84="keep"),1,0)*IF(OR(D382&lt;=0,J675=0),0,D382/J675)</f>
        <v>4034.2901581675146</v>
      </c>
      <c r="E675" s="3145">
        <f t="shared" si="98"/>
        <v>0</v>
      </c>
      <c r="F675" s="3145">
        <f t="shared" si="99"/>
        <v>0</v>
      </c>
      <c r="G675" s="917">
        <f t="shared" si="100"/>
        <v>285.01177082359942</v>
      </c>
      <c r="H675" s="2602">
        <f t="shared" si="101"/>
        <v>618.46048006266255</v>
      </c>
      <c r="I675" s="3173">
        <f>IF(AND(A675&gt;'1. AgeData'!$I$30,'S. Setup'!I$84="remove"), 0,1)*IF(($A675&gt;=70),INDEX('12. RMDtable'!$B$43:$B$82,($A675-70+1),0),0)</f>
        <v>19.5</v>
      </c>
      <c r="J675" s="3173">
        <f>IF(AND(B675&gt;'1. AgeData'!$I$31,'S. Setup'!J$84="remove"), 0,1)*IF(($B675&gt;=70),INDEX('12. RMDtable'!$B$43:$B$82,($B675-70+1),0),0)</f>
        <v>23.8</v>
      </c>
      <c r="K675" s="2645">
        <f>IF(OR(A675&lt;='1. AgeData'!$I$30,'S. Setup'!$J$84="keep"),1,0)*IF(OR(I382&lt;=0,I675=0),0,I382/I675)</f>
        <v>0</v>
      </c>
      <c r="L675" s="2651">
        <f>IF(OR(B675&lt;='1. AgeData'!$I$31,'S. Setup'!$J$84="keep"),1,0)*IF(OR(J382&lt;=0,J675=0),0,J382/J675)</f>
        <v>0</v>
      </c>
      <c r="M675" s="1311"/>
    </row>
    <row r="676" spans="1:13" x14ac:dyDescent="0.25">
      <c r="A676" s="2281">
        <f t="shared" si="103"/>
        <v>80</v>
      </c>
      <c r="B676" s="2287">
        <f t="shared" si="103"/>
        <v>75</v>
      </c>
      <c r="C676" s="1570">
        <f>IF(OR(A676&lt;='1. AgeData'!$I$30,'S. Setup'!$J$84="keep"),1,0)*IF(OR(C383&lt;=0,I676=0),0,C383/I676)</f>
        <v>7059.7901178412449</v>
      </c>
      <c r="D676" s="2577">
        <f>IF(OR(B676&lt;='1. AgeData'!$I$31,'S. Setup'!$J$84="keep"),1,0)*IF(OR(D383&lt;=0,J676=0),0,D383/J676)</f>
        <v>4016.673170577264</v>
      </c>
      <c r="E676" s="3145">
        <f t="shared" si="98"/>
        <v>0</v>
      </c>
      <c r="F676" s="3145">
        <f t="shared" si="99"/>
        <v>0</v>
      </c>
      <c r="G676" s="917">
        <f t="shared" si="100"/>
        <v>291.47406979842333</v>
      </c>
      <c r="H676" s="2602">
        <f t="shared" si="101"/>
        <v>637.29246664553148</v>
      </c>
      <c r="I676" s="3173">
        <f>IF(AND(A676&gt;'1. AgeData'!$I$30,'S. Setup'!I$84="remove"), 0,1)*IF(($A676&gt;=70),INDEX('12. RMDtable'!$B$43:$B$82,($A676-70+1),0),0)</f>
        <v>18.7</v>
      </c>
      <c r="J676" s="3173">
        <f>IF(AND(B676&gt;'1. AgeData'!$I$31,'S. Setup'!J$84="remove"), 0,1)*IF(($B676&gt;=70),INDEX('12. RMDtable'!$B$43:$B$82,($B676-70+1),0),0)</f>
        <v>22.9</v>
      </c>
      <c r="K676" s="2645">
        <f>IF(OR(A676&lt;='1. AgeData'!$I$30,'S. Setup'!$J$84="keep"),1,0)*IF(OR(I383&lt;=0,I676=0),0,I383/I676)</f>
        <v>0</v>
      </c>
      <c r="L676" s="2651">
        <f>IF(OR(B676&lt;='1. AgeData'!$I$31,'S. Setup'!$J$84="keep"),1,0)*IF(OR(J383&lt;=0,J676=0),0,J383/J676)</f>
        <v>0</v>
      </c>
      <c r="M676" s="1311"/>
    </row>
    <row r="677" spans="1:13" x14ac:dyDescent="0.25">
      <c r="A677" s="2281">
        <f t="shared" si="103"/>
        <v>81</v>
      </c>
      <c r="B677" s="2287">
        <f t="shared" si="103"/>
        <v>76</v>
      </c>
      <c r="C677" s="1570">
        <f>IF(OR(A677&lt;='1. AgeData'!$I$30,'S. Setup'!$J$84="keep"),1,0)*IF(OR(C384&lt;=0,I677=0),0,C384/I677)</f>
        <v>6980.9097813290527</v>
      </c>
      <c r="D677" s="2577">
        <f>IF(OR(B677&lt;='1. AgeData'!$I$31,'S. Setup'!$J$84="keep"),1,0)*IF(OR(D384&lt;=0,J677=0),0,D384/J677)</f>
        <v>3998.4155652564582</v>
      </c>
      <c r="E677" s="3145">
        <f t="shared" si="98"/>
        <v>0</v>
      </c>
      <c r="F677" s="3145">
        <f t="shared" si="99"/>
        <v>0</v>
      </c>
      <c r="G677" s="917">
        <f t="shared" si="100"/>
        <v>297.96140328488656</v>
      </c>
      <c r="H677" s="2602">
        <f t="shared" si="101"/>
        <v>656.61836069655726</v>
      </c>
      <c r="I677" s="3173">
        <f>IF(AND(A677&gt;'1. AgeData'!$I$30,'S. Setup'!I$84="remove"), 0,1)*IF(($A677&gt;=70),INDEX('12. RMDtable'!$B$43:$B$82,($A677-70+1),0),0)</f>
        <v>17.899999999999999</v>
      </c>
      <c r="J677" s="3173">
        <f>IF(AND(B677&gt;'1. AgeData'!$I$31,'S. Setup'!J$84="remove"), 0,1)*IF(($B677&gt;=70),INDEX('12. RMDtable'!$B$43:$B$82,($B677-70+1),0),0)</f>
        <v>22</v>
      </c>
      <c r="K677" s="2645">
        <f>IF(OR(A677&lt;='1. AgeData'!$I$30,'S. Setup'!$J$84="keep"),1,0)*IF(OR(I384&lt;=0,I677=0),0,I384/I677)</f>
        <v>0</v>
      </c>
      <c r="L677" s="2651">
        <f>IF(OR(B677&lt;='1. AgeData'!$I$31,'S. Setup'!$J$84="keep"),1,0)*IF(OR(J384&lt;=0,J677=0),0,J384/J677)</f>
        <v>0</v>
      </c>
      <c r="M677" s="1311"/>
    </row>
    <row r="678" spans="1:13" x14ac:dyDescent="0.25">
      <c r="A678" s="2281">
        <f t="shared" si="103"/>
        <v>82</v>
      </c>
      <c r="B678" s="2287">
        <f t="shared" si="103"/>
        <v>77</v>
      </c>
      <c r="C678" s="1570">
        <f>IF(OR(A678&lt;='1. AgeData'!$I$30,'S. Setup'!$J$84="keep"),1,0)*IF(OR(C385&lt;=0,I678=0),0,C385/I678)</f>
        <v>6899.2617137111674</v>
      </c>
      <c r="D678" s="2577">
        <f>IF(OR(B678&lt;='1. AgeData'!$I$31,'S. Setup'!$J$84="keep"),1,0)*IF(OR(D385&lt;=0,J678=0),0,D385/J678)</f>
        <v>3960.6946636974353</v>
      </c>
      <c r="E678" s="3145">
        <f t="shared" si="98"/>
        <v>0</v>
      </c>
      <c r="F678" s="3145">
        <f t="shared" si="99"/>
        <v>0</v>
      </c>
      <c r="G678" s="917">
        <f t="shared" si="100"/>
        <v>304.45731036936633</v>
      </c>
      <c r="H678" s="2602">
        <f t="shared" si="101"/>
        <v>673.25062766325789</v>
      </c>
      <c r="I678" s="3173">
        <f>IF(AND(A678&gt;'1. AgeData'!$I$30,'S. Setup'!I$84="remove"), 0,1)*IF(($A678&gt;=70),INDEX('12. RMDtable'!$B$43:$B$82,($A678-70+1),0),0)</f>
        <v>17.100000000000001</v>
      </c>
      <c r="J678" s="3173">
        <f>IF(AND(B678&gt;'1. AgeData'!$I$31,'S. Setup'!J$84="remove"), 0,1)*IF(($B678&gt;=70),INDEX('12. RMDtable'!$B$43:$B$82,($B678-70+1),0),0)</f>
        <v>21.2</v>
      </c>
      <c r="K678" s="2645">
        <f>IF(OR(A678&lt;='1. AgeData'!$I$30,'S. Setup'!$J$84="keep"),1,0)*IF(OR(I385&lt;=0,I678=0),0,I385/I678)</f>
        <v>0</v>
      </c>
      <c r="L678" s="2651">
        <f>IF(OR(B678&lt;='1. AgeData'!$I$31,'S. Setup'!$J$84="keep"),1,0)*IF(OR(J385&lt;=0,J678=0),0,J385/J678)</f>
        <v>0</v>
      </c>
      <c r="M678" s="1311"/>
    </row>
    <row r="679" spans="1:13" x14ac:dyDescent="0.25">
      <c r="A679" s="2281">
        <f t="shared" si="103"/>
        <v>83</v>
      </c>
      <c r="B679" s="2287">
        <f t="shared" si="103"/>
        <v>78</v>
      </c>
      <c r="C679" s="1570">
        <f>IF(OR(A679&lt;='1. AgeData'!$I$30,'S. Setup'!$J$84="keep"),1,0)*IF(OR(C386&lt;=0,I679=0),0,C386/I679)</f>
        <v>6814.6081957515216</v>
      </c>
      <c r="D679" s="2577">
        <f>IF(OR(B679&lt;='1. AgeData'!$I$31,'S. Setup'!$J$84="keep"),1,0)*IF(OR(D386&lt;=0,J679=0),0,D386/J679)</f>
        <v>3941.1838525462163</v>
      </c>
      <c r="E679" s="3145">
        <f t="shared" si="98"/>
        <v>0</v>
      </c>
      <c r="F679" s="3145">
        <f t="shared" si="99"/>
        <v>0</v>
      </c>
      <c r="G679" s="917">
        <f t="shared" si="100"/>
        <v>310.94243786385988</v>
      </c>
      <c r="H679" s="2602">
        <f t="shared" si="101"/>
        <v>693.48794455981556</v>
      </c>
      <c r="I679" s="3173">
        <f>IF(AND(A679&gt;'1. AgeData'!$I$30,'S. Setup'!I$84="remove"), 0,1)*IF(($A679&gt;=70),INDEX('12. RMDtable'!$B$43:$B$82,($A679-70+1),0),0)</f>
        <v>16.3</v>
      </c>
      <c r="J679" s="3173">
        <f>IF(AND(B679&gt;'1. AgeData'!$I$31,'S. Setup'!J$84="remove"), 0,1)*IF(($B679&gt;=70),INDEX('12. RMDtable'!$B$43:$B$82,($B679-70+1),0),0)</f>
        <v>20.3</v>
      </c>
      <c r="K679" s="2645">
        <f>IF(OR(A679&lt;='1. AgeData'!$I$30,'S. Setup'!$J$84="keep"),1,0)*IF(OR(I386&lt;=0,I679=0),0,I386/I679)</f>
        <v>0</v>
      </c>
      <c r="L679" s="2651">
        <f>IF(OR(B679&lt;='1. AgeData'!$I$31,'S. Setup'!$J$84="keep"),1,0)*IF(OR(J386&lt;=0,J679=0),0,J386/J679)</f>
        <v>0</v>
      </c>
      <c r="M679" s="1311"/>
    </row>
    <row r="680" spans="1:13" x14ac:dyDescent="0.25">
      <c r="A680" s="2281">
        <f t="shared" si="103"/>
        <v>84</v>
      </c>
      <c r="B680" s="2287">
        <f t="shared" si="103"/>
        <v>79</v>
      </c>
      <c r="C680" s="1570">
        <f>IF(OR(A680&lt;='1. AgeData'!$I$30,'S. Setup'!$J$84="keep"),1,0)*IF(OR(C387&lt;=0,I680=0),0,C387/I680)</f>
        <v>6726.6777674192444</v>
      </c>
      <c r="D680" s="2577">
        <f>IF(OR(B680&lt;='1. AgeData'!$I$31,'S. Setup'!$J$84="keep"),1,0)*IF(OR(D387&lt;=0,J680=0),0,D387/J680)</f>
        <v>3900.7614540585628</v>
      </c>
      <c r="E680" s="3145">
        <f t="shared" si="98"/>
        <v>0</v>
      </c>
      <c r="F680" s="3145">
        <f t="shared" si="99"/>
        <v>0</v>
      </c>
      <c r="G680" s="917">
        <f t="shared" si="100"/>
        <v>317.39399192947388</v>
      </c>
      <c r="H680" s="2602">
        <f t="shared" si="101"/>
        <v>710.56019521550479</v>
      </c>
      <c r="I680" s="3173">
        <f>IF(AND(A680&gt;'1. AgeData'!$I$30,'S. Setup'!I$84="remove"), 0,1)*IF(($A680&gt;=70),INDEX('12. RMDtable'!$B$43:$B$82,($A680-70+1),0),0)</f>
        <v>15.5</v>
      </c>
      <c r="J680" s="3173">
        <f>IF(AND(B680&gt;'1. AgeData'!$I$31,'S. Setup'!J$84="remove"), 0,1)*IF(($B680&gt;=70),INDEX('12. RMDtable'!$B$43:$B$82,($B680-70+1),0),0)</f>
        <v>19.5</v>
      </c>
      <c r="K680" s="2645">
        <f>IF(OR(A680&lt;='1. AgeData'!$I$30,'S. Setup'!$J$84="keep"),1,0)*IF(OR(I387&lt;=0,I680=0),0,I387/I680)</f>
        <v>0</v>
      </c>
      <c r="L680" s="2651">
        <f>IF(OR(B680&lt;='1. AgeData'!$I$31,'S. Setup'!$J$84="keep"),1,0)*IF(OR(J387&lt;=0,J680=0),0,J387/J680)</f>
        <v>0</v>
      </c>
      <c r="M680" s="1311"/>
    </row>
    <row r="681" spans="1:13" x14ac:dyDescent="0.25">
      <c r="A681" s="2281">
        <f t="shared" si="103"/>
        <v>85</v>
      </c>
      <c r="B681" s="2287">
        <f t="shared" si="103"/>
        <v>80</v>
      </c>
      <c r="C681" s="1570">
        <f>IF(OR(A681&lt;='1. AgeData'!$I$30,'S. Setup'!$J$84="keep"),1,0)*IF(OR(C388&lt;=0,I681=0),0,C388/I681)</f>
        <v>6590.326191052638</v>
      </c>
      <c r="D681" s="2577">
        <f>IF(OR(B681&lt;='1. AgeData'!$I$31,'S. Setup'!$J$84="keep"),1,0)*IF(OR(D388&lt;=0,J681=0),0,D388/J681)</f>
        <v>3859.0420802183639</v>
      </c>
      <c r="E681" s="3145">
        <f t="shared" si="98"/>
        <v>0</v>
      </c>
      <c r="F681" s="3145">
        <f t="shared" si="99"/>
        <v>0</v>
      </c>
      <c r="G681" s="917">
        <f t="shared" si="100"/>
        <v>321.59731776853994</v>
      </c>
      <c r="H681" s="2602">
        <f t="shared" si="101"/>
        <v>727.78273042841545</v>
      </c>
      <c r="I681" s="3173">
        <f>IF(AND(A681&gt;'1. AgeData'!$I$30,'S. Setup'!I$84="remove"), 0,1)*IF(($A681&gt;=70),INDEX('12. RMDtable'!$B$43:$B$82,($A681-70+1),0),0)</f>
        <v>14.8</v>
      </c>
      <c r="J681" s="3173">
        <f>IF(AND(B681&gt;'1. AgeData'!$I$31,'S. Setup'!J$84="remove"), 0,1)*IF(($B681&gt;=70),INDEX('12. RMDtable'!$B$43:$B$82,($B681-70+1),0),0)</f>
        <v>18.7</v>
      </c>
      <c r="K681" s="2645">
        <f>IF(OR(A681&lt;='1. AgeData'!$I$30,'S. Setup'!$J$84="keep"),1,0)*IF(OR(I388&lt;=0,I681=0),0,I388/I681)</f>
        <v>0</v>
      </c>
      <c r="L681" s="2651">
        <f>IF(OR(B681&lt;='1. AgeData'!$I$31,'S. Setup'!$J$84="keep"),1,0)*IF(OR(J388&lt;=0,J681=0),0,J388/J681)</f>
        <v>0</v>
      </c>
      <c r="M681" s="1311"/>
    </row>
    <row r="682" spans="1:13" x14ac:dyDescent="0.25">
      <c r="A682" s="2281">
        <f t="shared" si="103"/>
        <v>86</v>
      </c>
      <c r="B682" s="2287">
        <f t="shared" si="103"/>
        <v>81</v>
      </c>
      <c r="C682" s="1570">
        <f>IF(OR(A682&lt;='1. AgeData'!$I$30,'S. Setup'!$J$84="keep"),1,0)*IF(OR(C389&lt;=0,I682=0),0,C389/I682)</f>
        <v>6450.106484860029</v>
      </c>
      <c r="D682" s="2577">
        <f>IF(OR(B682&lt;='1. AgeData'!$I$31,'S. Setup'!$J$84="keep"),1,0)*IF(OR(D389&lt;=0,J682=0),0,D389/J682)</f>
        <v>3815.9242916125722</v>
      </c>
      <c r="E682" s="3145">
        <f t="shared" si="98"/>
        <v>0</v>
      </c>
      <c r="F682" s="3145">
        <f t="shared" si="99"/>
        <v>0</v>
      </c>
      <c r="G682" s="917">
        <f t="shared" si="100"/>
        <v>325.55684219156257</v>
      </c>
      <c r="H682" s="2602">
        <f t="shared" si="101"/>
        <v>745.12144246144339</v>
      </c>
      <c r="I682" s="3173">
        <f>IF(AND(A682&gt;'1. AgeData'!$I$30,'S. Setup'!I$84="remove"), 0,1)*IF(($A682&gt;=70),INDEX('12. RMDtable'!$B$43:$B$82,($A682-70+1),0),0)</f>
        <v>14.1</v>
      </c>
      <c r="J682" s="3173">
        <f>IF(AND(B682&gt;'1. AgeData'!$I$31,'S. Setup'!J$84="remove"), 0,1)*IF(($B682&gt;=70),INDEX('12. RMDtable'!$B$43:$B$82,($B682-70+1),0),0)</f>
        <v>17.899999999999999</v>
      </c>
      <c r="K682" s="2645">
        <f>IF(OR(A682&lt;='1. AgeData'!$I$30,'S. Setup'!$J$84="keep"),1,0)*IF(OR(I389&lt;=0,I682=0),0,I389/I682)</f>
        <v>0</v>
      </c>
      <c r="L682" s="2651">
        <f>IF(OR(B682&lt;='1. AgeData'!$I$31,'S. Setup'!$J$84="keep"),1,0)*IF(OR(J389&lt;=0,J682=0),0,J389/J682)</f>
        <v>0</v>
      </c>
      <c r="M682" s="1311"/>
    </row>
    <row r="683" spans="1:13" x14ac:dyDescent="0.25">
      <c r="A683" s="2281">
        <f t="shared" si="103"/>
        <v>87</v>
      </c>
      <c r="B683" s="2287">
        <f t="shared" si="103"/>
        <v>82</v>
      </c>
      <c r="C683" s="1570">
        <f>IF(OR(A683&lt;='1. AgeData'!$I$30,'S. Setup'!$J$84="keep"),1,0)*IF(OR(C390&lt;=0,I683=0),0,C390/I683)</f>
        <v>6305.7011157959987</v>
      </c>
      <c r="D683" s="2577">
        <f>IF(OR(B683&lt;='1. AgeData'!$I$31,'S. Setup'!$J$84="keep"),1,0)*IF(OR(D390&lt;=0,J683=0),0,D390/J683)</f>
        <v>3771.2935981434189</v>
      </c>
      <c r="E683" s="3145">
        <f t="shared" si="98"/>
        <v>0</v>
      </c>
      <c r="F683" s="3145">
        <f t="shared" si="99"/>
        <v>0</v>
      </c>
      <c r="G683" s="917">
        <f t="shared" si="100"/>
        <v>329.23028954524648</v>
      </c>
      <c r="H683" s="2602">
        <f t="shared" si="101"/>
        <v>762.53593278189453</v>
      </c>
      <c r="I683" s="3173">
        <f>IF(AND(A683&gt;'1. AgeData'!$I$30,'S. Setup'!I$84="remove"), 0,1)*IF(($A683&gt;=70),INDEX('12. RMDtable'!$B$43:$B$82,($A683-70+1),0),0)</f>
        <v>13.4</v>
      </c>
      <c r="J683" s="3173">
        <f>IF(AND(B683&gt;'1. AgeData'!$I$31,'S. Setup'!J$84="remove"), 0,1)*IF(($B683&gt;=70),INDEX('12. RMDtable'!$B$43:$B$82,($B683-70+1),0),0)</f>
        <v>17.100000000000001</v>
      </c>
      <c r="K683" s="2645">
        <f>IF(OR(A683&lt;='1. AgeData'!$I$30,'S. Setup'!$J$84="keep"),1,0)*IF(OR(I390&lt;=0,I683=0),0,I390/I683)</f>
        <v>0</v>
      </c>
      <c r="L683" s="2651">
        <f>IF(OR(B683&lt;='1. AgeData'!$I$31,'S. Setup'!$J$84="keep"),1,0)*IF(OR(J390&lt;=0,J683=0),0,J390/J683)</f>
        <v>0</v>
      </c>
      <c r="M683" s="1311"/>
    </row>
    <row r="684" spans="1:13" x14ac:dyDescent="0.25">
      <c r="A684" s="2281">
        <f t="shared" si="103"/>
        <v>88</v>
      </c>
      <c r="B684" s="2287">
        <f t="shared" si="103"/>
        <v>83</v>
      </c>
      <c r="C684" s="1570">
        <f>IF(OR(A684&lt;='1. AgeData'!$I$30,'S. Setup'!$J$84="keep"),1,0)*IF(OR(C391&lt;=0,I684=0),0,C391/I684)</f>
        <v>6156.7475461315271</v>
      </c>
      <c r="D684" s="2577">
        <f>IF(OR(B684&lt;='1. AgeData'!$I$31,'S. Setup'!$J$84="keep"),1,0)*IF(OR(D391&lt;=0,J684=0),0,D391/J684)</f>
        <v>3725.0200570619045</v>
      </c>
      <c r="E684" s="3145">
        <f t="shared" si="98"/>
        <v>0</v>
      </c>
      <c r="F684" s="3145">
        <f t="shared" si="99"/>
        <v>0</v>
      </c>
      <c r="G684" s="917">
        <f t="shared" si="100"/>
        <v>332.56925500142194</v>
      </c>
      <c r="H684" s="2602">
        <f t="shared" si="101"/>
        <v>779.97835747746092</v>
      </c>
      <c r="I684" s="3173">
        <f>IF(AND(A684&gt;'1. AgeData'!$I$30,'S. Setup'!I$84="remove"), 0,1)*IF(($A684&gt;=70),INDEX('12. RMDtable'!$B$43:$B$82,($A684-70+1),0),0)</f>
        <v>12.7</v>
      </c>
      <c r="J684" s="3173">
        <f>IF(AND(B684&gt;'1. AgeData'!$I$31,'S. Setup'!J$84="remove"), 0,1)*IF(($B684&gt;=70),INDEX('12. RMDtable'!$B$43:$B$82,($B684-70+1),0),0)</f>
        <v>16.3</v>
      </c>
      <c r="K684" s="2645">
        <f>IF(OR(A684&lt;='1. AgeData'!$I$30,'S. Setup'!$J$84="keep"),1,0)*IF(OR(I391&lt;=0,I684=0),0,I391/I684)</f>
        <v>0</v>
      </c>
      <c r="L684" s="2651">
        <f>IF(OR(B684&lt;='1. AgeData'!$I$31,'S. Setup'!$J$84="keep"),1,0)*IF(OR(J391&lt;=0,J684=0),0,J391/J684)</f>
        <v>0</v>
      </c>
      <c r="M684" s="1311"/>
    </row>
    <row r="685" spans="1:13" x14ac:dyDescent="0.25">
      <c r="A685" s="2281">
        <f t="shared" si="103"/>
        <v>89</v>
      </c>
      <c r="B685" s="2287">
        <f t="shared" si="103"/>
        <v>84</v>
      </c>
      <c r="C685" s="1570">
        <f>IF(OR(A685&lt;='1. AgeData'!$I$30,'S. Setup'!$J$84="keep"),1,0)*IF(OR(C392&lt;=0,I685=0),0,C392/I685)</f>
        <v>6002.8288574782382</v>
      </c>
      <c r="D685" s="2577">
        <f>IF(OR(B685&lt;='1. AgeData'!$I$31,'S. Setup'!$J$84="keep"),1,0)*IF(OR(D392&lt;=0,J685=0),0,D392/J685)</f>
        <v>3676.9552821320735</v>
      </c>
      <c r="E685" s="3145">
        <f t="shared" si="98"/>
        <v>0</v>
      </c>
      <c r="F685" s="3145">
        <f t="shared" si="99"/>
        <v>0</v>
      </c>
      <c r="G685" s="917">
        <f t="shared" si="100"/>
        <v>335.5180357291012</v>
      </c>
      <c r="H685" s="2602">
        <f t="shared" si="101"/>
        <v>797.39200332294979</v>
      </c>
      <c r="I685" s="3173">
        <f>IF(AND(A685&gt;'1. AgeData'!$I$30,'S. Setup'!I$84="remove"), 0,1)*IF(($A685&gt;=70),INDEX('12. RMDtable'!$B$43:$B$82,($A685-70+1),0),0)</f>
        <v>12</v>
      </c>
      <c r="J685" s="3173">
        <f>IF(AND(B685&gt;'1. AgeData'!$I$31,'S. Setup'!J$84="remove"), 0,1)*IF(($B685&gt;=70),INDEX('12. RMDtable'!$B$43:$B$82,($B685-70+1),0),0)</f>
        <v>15.5</v>
      </c>
      <c r="K685" s="2645">
        <f>IF(OR(A685&lt;='1. AgeData'!$I$30,'S. Setup'!$J$84="keep"),1,0)*IF(OR(I392&lt;=0,I685=0),0,I392/I685)</f>
        <v>0</v>
      </c>
      <c r="L685" s="2651">
        <f>IF(OR(B685&lt;='1. AgeData'!$I$31,'S. Setup'!$J$84="keep"),1,0)*IF(OR(J392&lt;=0,J685=0),0,J392/J685)</f>
        <v>0</v>
      </c>
      <c r="M685" s="1311"/>
    </row>
    <row r="686" spans="1:13" x14ac:dyDescent="0.25">
      <c r="A686" s="2281">
        <f t="shared" si="103"/>
        <v>90</v>
      </c>
      <c r="B686" s="2287">
        <f t="shared" si="103"/>
        <v>85</v>
      </c>
      <c r="C686" s="1570">
        <f>IF(OR(A686&lt;='1. AgeData'!$I$30,'S. Setup'!$J$84="keep"),1,0)*IF(OR(C393&lt;=0,I686=0),0,C393/I686)</f>
        <v>5792.2032835316331</v>
      </c>
      <c r="D686" s="2577">
        <f>IF(OR(B686&lt;='1. AgeData'!$I$31,'S. Setup'!$J$84="keep"),1,0)*IF(OR(D393&lt;=0,J686=0),0,D393/J686)</f>
        <v>3602.4224047915582</v>
      </c>
      <c r="E686" s="3145">
        <f t="shared" si="98"/>
        <v>0</v>
      </c>
      <c r="F686" s="3145">
        <f t="shared" si="99"/>
        <v>0</v>
      </c>
      <c r="G686" s="917">
        <f t="shared" si="100"/>
        <v>335.04713322281475</v>
      </c>
      <c r="H686" s="2602">
        <f t="shared" si="101"/>
        <v>809.20471931812256</v>
      </c>
      <c r="I686" s="3173">
        <f>IF(AND(A686&gt;'1. AgeData'!$I$30,'S. Setup'!I$84="remove"), 0,1)*IF(($A686&gt;=70),INDEX('12. RMDtable'!$B$43:$B$82,($A686-70+1),0),0)</f>
        <v>11.4</v>
      </c>
      <c r="J686" s="3173">
        <f>IF(AND(B686&gt;'1. AgeData'!$I$31,'S. Setup'!J$84="remove"), 0,1)*IF(($B686&gt;=70),INDEX('12. RMDtable'!$B$43:$B$82,($B686-70+1),0),0)</f>
        <v>14.8</v>
      </c>
      <c r="K686" s="2645">
        <f>IF(OR(A686&lt;='1. AgeData'!$I$30,'S. Setup'!$J$84="keep"),1,0)*IF(OR(I393&lt;=0,I686=0),0,I393/I686)</f>
        <v>0</v>
      </c>
      <c r="L686" s="2651">
        <f>IF(OR(B686&lt;='1. AgeData'!$I$31,'S. Setup'!$J$84="keep"),1,0)*IF(OR(J393&lt;=0,J686=0),0,J393/J686)</f>
        <v>0</v>
      </c>
      <c r="M686" s="1311"/>
    </row>
    <row r="687" spans="1:13" x14ac:dyDescent="0.25">
      <c r="A687" s="2281">
        <f t="shared" si="103"/>
        <v>91</v>
      </c>
      <c r="B687" s="2287">
        <f t="shared" si="103"/>
        <v>86</v>
      </c>
      <c r="C687" s="1570">
        <f>IF(OR(A687&lt;='1. AgeData'!$I$30,'S. Setup'!$J$84="keep"),1,0)*IF(OR(C394&lt;=0,I687=0),0,C394/I687)</f>
        <v>5577.6772359934248</v>
      </c>
      <c r="D687" s="2577">
        <f>IF(OR(B687&lt;='1. AgeData'!$I$31,'S. Setup'!$J$84="keep"),1,0)*IF(OR(D394&lt;=0,J687=0),0,D394/J687)</f>
        <v>3525.7751195832279</v>
      </c>
      <c r="E687" s="3145">
        <f t="shared" si="98"/>
        <v>0</v>
      </c>
      <c r="F687" s="3145">
        <f t="shared" si="99"/>
        <v>0</v>
      </c>
      <c r="G687" s="917">
        <f t="shared" si="100"/>
        <v>333.95512775156999</v>
      </c>
      <c r="H687" s="2602">
        <f t="shared" si="101"/>
        <v>820.44176073957578</v>
      </c>
      <c r="I687" s="3173">
        <f>IF(AND(A687&gt;'1. AgeData'!$I$30,'S. Setup'!I$84="remove"), 0,1)*IF(($A687&gt;=70),INDEX('12. RMDtable'!$B$43:$B$82,($A687-70+1),0),0)</f>
        <v>10.8</v>
      </c>
      <c r="J687" s="3173">
        <f>IF(AND(B687&gt;'1. AgeData'!$I$31,'S. Setup'!J$84="remove"), 0,1)*IF(($B687&gt;=70),INDEX('12. RMDtable'!$B$43:$B$82,($B687-70+1),0),0)</f>
        <v>14.1</v>
      </c>
      <c r="K687" s="2645">
        <f>IF(OR(A687&lt;='1. AgeData'!$I$30,'S. Setup'!$J$84="keep"),1,0)*IF(OR(I394&lt;=0,I687=0),0,I394/I687)</f>
        <v>0</v>
      </c>
      <c r="L687" s="2651">
        <f>IF(OR(B687&lt;='1. AgeData'!$I$31,'S. Setup'!$J$84="keep"),1,0)*IF(OR(J394&lt;=0,J687=0),0,J394/J687)</f>
        <v>0</v>
      </c>
      <c r="M687" s="1311"/>
    </row>
    <row r="688" spans="1:13" x14ac:dyDescent="0.25">
      <c r="A688" s="2281">
        <f t="shared" si="103"/>
        <v>92</v>
      </c>
      <c r="B688" s="2287">
        <f t="shared" si="103"/>
        <v>87</v>
      </c>
      <c r="C688" s="1570">
        <f>IF(OR(A688&lt;='1. AgeData'!$I$30,'S. Setup'!$J$84="keep"),1,0)*IF(OR(C395&lt;=0,I688=0),0,C395/I688)</f>
        <v>5358.944795366232</v>
      </c>
      <c r="D688" s="2577">
        <f>IF(OR(B688&lt;='1. AgeData'!$I$31,'S. Setup'!$J$84="keep"),1,0)*IF(OR(D395&lt;=0,J688=0),0,D395/J688)</f>
        <v>3446.8398557119617</v>
      </c>
      <c r="E688" s="3145">
        <f t="shared" si="98"/>
        <v>0</v>
      </c>
      <c r="F688" s="3145">
        <f t="shared" si="99"/>
        <v>0</v>
      </c>
      <c r="G688" s="917">
        <f t="shared" si="100"/>
        <v>332.17403373689501</v>
      </c>
      <c r="H688" s="2602">
        <f t="shared" si="101"/>
        <v>830.99423368461066</v>
      </c>
      <c r="I688" s="3173">
        <f>IF(AND(A688&gt;'1. AgeData'!$I$30,'S. Setup'!I$84="remove"), 0,1)*IF(($A688&gt;=70),INDEX('12. RMDtable'!$B$43:$B$82,($A688-70+1),0),0)</f>
        <v>10.199999999999999</v>
      </c>
      <c r="J688" s="3173">
        <f>IF(AND(B688&gt;'1. AgeData'!$I$31,'S. Setup'!J$84="remove"), 0,1)*IF(($B688&gt;=70),INDEX('12. RMDtable'!$B$43:$B$82,($B688-70+1),0),0)</f>
        <v>13.4</v>
      </c>
      <c r="K688" s="2645">
        <f>IF(OR(A688&lt;='1. AgeData'!$I$30,'S. Setup'!$J$84="keep"),1,0)*IF(OR(I395&lt;=0,I688=0),0,I395/I688)</f>
        <v>0</v>
      </c>
      <c r="L688" s="2651">
        <f>IF(OR(B688&lt;='1. AgeData'!$I$31,'S. Setup'!$J$84="keep"),1,0)*IF(OR(J395&lt;=0,J688=0),0,J395/J688)</f>
        <v>0</v>
      </c>
      <c r="M688" s="1311"/>
    </row>
    <row r="689" spans="1:13" x14ac:dyDescent="0.25">
      <c r="A689" s="2281">
        <f t="shared" si="103"/>
        <v>93</v>
      </c>
      <c r="B689" s="2287">
        <f t="shared" si="103"/>
        <v>88</v>
      </c>
      <c r="C689" s="1570">
        <f>IF(OR(A689&lt;='1. AgeData'!$I$30,'S. Setup'!$J$84="keep"),1,0)*IF(OR(C396&lt;=0,I689=0),0,C396/I689)</f>
        <v>5135.6554288926391</v>
      </c>
      <c r="D689" s="2577">
        <f>IF(OR(B689&lt;='1. AgeData'!$I$31,'S. Setup'!$J$84="keep"),1,0)*IF(OR(D396&lt;=0,J689=0),0,D396/J689)</f>
        <v>3365.4184417975057</v>
      </c>
      <c r="E689" s="3145">
        <f t="shared" si="98"/>
        <v>0</v>
      </c>
      <c r="F689" s="3145">
        <f t="shared" si="99"/>
        <v>0</v>
      </c>
      <c r="G689" s="917">
        <f t="shared" si="100"/>
        <v>329.62736614491212</v>
      </c>
      <c r="H689" s="2602">
        <f t="shared" si="101"/>
        <v>840.73715032993664</v>
      </c>
      <c r="I689" s="3173">
        <f>IF(AND(A689&gt;'1. AgeData'!$I$30,'S. Setup'!I$84="remove"), 0,1)*IF(($A689&gt;=70),INDEX('12. RMDtable'!$B$43:$B$82,($A689-70+1),0),0)</f>
        <v>9.6</v>
      </c>
      <c r="J689" s="3173">
        <f>IF(AND(B689&gt;'1. AgeData'!$I$31,'S. Setup'!J$84="remove"), 0,1)*IF(($B689&gt;=70),INDEX('12. RMDtable'!$B$43:$B$82,($B689-70+1),0),0)</f>
        <v>12.7</v>
      </c>
      <c r="K689" s="2645">
        <f>IF(OR(A689&lt;='1. AgeData'!$I$30,'S. Setup'!$J$84="keep"),1,0)*IF(OR(I396&lt;=0,I689=0),0,I396/I689)</f>
        <v>0</v>
      </c>
      <c r="L689" s="2651">
        <f>IF(OR(B689&lt;='1. AgeData'!$I$31,'S. Setup'!$J$84="keep"),1,0)*IF(OR(J396&lt;=0,J689=0),0,J396/J689)</f>
        <v>0</v>
      </c>
      <c r="M689" s="1311"/>
    </row>
    <row r="690" spans="1:13" x14ac:dyDescent="0.25">
      <c r="A690" s="2281">
        <f t="shared" ref="A690:B692" si="104">A689+1</f>
        <v>94</v>
      </c>
      <c r="B690" s="2287">
        <f t="shared" si="104"/>
        <v>89</v>
      </c>
      <c r="C690" s="1570">
        <f>IF(OR(A690&lt;='1. AgeData'!$I$30,'S. Setup'!$J$84="keep"),1,0)*IF(OR(C397&lt;=0,I690=0),0,C397/I690)</f>
        <v>4853.476559173263</v>
      </c>
      <c r="D690" s="2577">
        <f>IF(OR(B690&lt;='1. AgeData'!$I$31,'S. Setup'!$J$84="keep"),1,0)*IF(OR(D397&lt;=0,J690=0),0,D397/J690)</f>
        <v>3281.2829807525682</v>
      </c>
      <c r="E690" s="3145">
        <f t="shared" si="98"/>
        <v>0</v>
      </c>
      <c r="F690" s="3145">
        <f t="shared" si="99"/>
        <v>0</v>
      </c>
      <c r="G690" s="917">
        <f t="shared" si="100"/>
        <v>322.64361271713858</v>
      </c>
      <c r="H690" s="2602">
        <f t="shared" si="101"/>
        <v>849.52635662234434</v>
      </c>
      <c r="I690" s="3173">
        <f>IF(AND(A690&gt;'1. AgeData'!$I$30,'S. Setup'!I$84="remove"), 0,1)*IF(($A690&gt;=70),INDEX('12. RMDtable'!$B$43:$B$82,($A690-70+1),0),0)</f>
        <v>9.1</v>
      </c>
      <c r="J690" s="3173">
        <f>IF(AND(B690&gt;'1. AgeData'!$I$31,'S. Setup'!J$84="remove"), 0,1)*IF(($B690&gt;=70),INDEX('12. RMDtable'!$B$43:$B$82,($B690-70+1),0),0)</f>
        <v>12</v>
      </c>
      <c r="K690" s="2645">
        <f>IF(OR(A690&lt;='1. AgeData'!$I$30,'S. Setup'!$J$84="keep"),1,0)*IF(OR(I397&lt;=0,I690=0),0,I397/I690)</f>
        <v>0</v>
      </c>
      <c r="L690" s="2651">
        <f>IF(OR(B690&lt;='1. AgeData'!$I$31,'S. Setup'!$J$84="keep"),1,0)*IF(OR(J397&lt;=0,J690=0),0,J397/J690)</f>
        <v>0</v>
      </c>
      <c r="M690" s="1311"/>
    </row>
    <row r="691" spans="1:13" x14ac:dyDescent="0.25">
      <c r="A691" s="2281">
        <f t="shared" si="104"/>
        <v>95</v>
      </c>
      <c r="B691" s="2287">
        <f t="shared" si="104"/>
        <v>90</v>
      </c>
      <c r="C691" s="1570">
        <f>IF(OR(A691&lt;='1. AgeData'!$I$30,'S. Setup'!$J$84="keep"),1,0)*IF(OR(C398&lt;=0,I691=0),0,C398/I691)</f>
        <v>4571.297689453887</v>
      </c>
      <c r="D691" s="2577">
        <f>IF(OR(B691&lt;='1. AgeData'!$I$31,'S. Setup'!$J$84="keep"),1,0)*IF(OR(D398&lt;=0,J691=0),0,D398/J691)</f>
        <v>3166.1502445858109</v>
      </c>
      <c r="E691" s="3145">
        <f t="shared" si="98"/>
        <v>0</v>
      </c>
      <c r="F691" s="3145">
        <f t="shared" si="99"/>
        <v>0</v>
      </c>
      <c r="G691" s="917">
        <f t="shared" si="100"/>
        <v>314.81012593395974</v>
      </c>
      <c r="H691" s="2602">
        <f t="shared" si="101"/>
        <v>849.6753963340326</v>
      </c>
      <c r="I691" s="3173">
        <f>IF(AND(A691&gt;'1. AgeData'!$I$30,'S. Setup'!I$84="remove"), 0,1)*IF(($A691&gt;=70),INDEX('12. RMDtable'!$B$43:$B$82,($A691-70+1),0),0)</f>
        <v>8.6</v>
      </c>
      <c r="J691" s="3173">
        <f>IF(AND(B691&gt;'1. AgeData'!$I$31,'S. Setup'!J$84="remove"), 0,1)*IF(($B691&gt;=70),INDEX('12. RMDtable'!$B$43:$B$82,($B691-70+1),0),0)</f>
        <v>11.4</v>
      </c>
      <c r="K691" s="2645">
        <f>IF(OR(A691&lt;='1. AgeData'!$I$30,'S. Setup'!$J$84="keep"),1,0)*IF(OR(I398&lt;=0,I691=0),0,I398/I691)</f>
        <v>0</v>
      </c>
      <c r="L691" s="2651">
        <f>IF(OR(B691&lt;='1. AgeData'!$I$31,'S. Setup'!$J$84="keep"),1,0)*IF(OR(J398&lt;=0,J691=0),0,J398/J691)</f>
        <v>0</v>
      </c>
      <c r="M691" s="1311"/>
    </row>
    <row r="692" spans="1:13" ht="15.75" thickBot="1" x14ac:dyDescent="0.3">
      <c r="A692" s="2285">
        <f t="shared" si="104"/>
        <v>96</v>
      </c>
      <c r="B692" s="2288">
        <f t="shared" si="104"/>
        <v>91</v>
      </c>
      <c r="C692" s="2598">
        <f>IF(OR(A692&lt;='1. AgeData'!$I$30,'S. Setup'!$J$84="keep"),1,0)*IF(OR(C399&lt;=0,I692=0),0,C399/I692)</f>
        <v>4289.1188197345109</v>
      </c>
      <c r="D692" s="2579">
        <f>IF(OR(B692&lt;='1. AgeData'!$I$31,'S. Setup'!$J$84="keep"),1,0)*IF(OR(D399&lt;=0,J692=0),0,D399/J692)</f>
        <v>3048.8854207122622</v>
      </c>
      <c r="E692" s="3190">
        <f t="shared" si="98"/>
        <v>0</v>
      </c>
      <c r="F692" s="2480">
        <f t="shared" si="99"/>
        <v>0</v>
      </c>
      <c r="G692" s="919">
        <f t="shared" si="100"/>
        <v>306.07317330310121</v>
      </c>
      <c r="H692" s="3201">
        <f t="shared" si="101"/>
        <v>848.2514033086951</v>
      </c>
      <c r="I692" s="3174">
        <f>IF(AND(A692&gt;'1. AgeData'!$I$30,'S. Setup'!I$84="remove"), 0,1)*IF(($A692&gt;=70),INDEX('12. RMDtable'!$B$43:$B$82,($A692-70+1),0),0)</f>
        <v>8.1</v>
      </c>
      <c r="J692" s="3174">
        <f>IF(AND(B692&gt;'1. AgeData'!$I$31,'S. Setup'!J$84="remove"), 0,1)*IF(($B692&gt;=70),INDEX('12. RMDtable'!$B$43:$B$82,($B692-70+1),0),0)</f>
        <v>10.8</v>
      </c>
      <c r="K692" s="2647">
        <f>IF(OR(A692&lt;='1. AgeData'!$I$30,'S. Setup'!$J$84="keep"),1,0)*IF(OR(I399&lt;=0,I692=0),0,I399/I692)</f>
        <v>0</v>
      </c>
      <c r="L692" s="2652">
        <f>IF(OR(B692&lt;='1. AgeData'!$I$31,'S. Setup'!$J$84="keep"),1,0)*IF(OR(J399&lt;=0,J692=0),0,J399/J692)</f>
        <v>0</v>
      </c>
      <c r="M692" s="1315"/>
    </row>
    <row r="693" spans="1:13" ht="15.75" thickTop="1" x14ac:dyDescent="0.25"/>
    <row r="694" spans="1:13" ht="15.75" thickBot="1" x14ac:dyDescent="0.3">
      <c r="A694" s="133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</row>
    <row r="695" spans="1:13" ht="19.5" thickTop="1" x14ac:dyDescent="0.3">
      <c r="A695" s="1340" t="s">
        <v>2182</v>
      </c>
      <c r="B695" s="1341"/>
      <c r="C695" s="1341"/>
      <c r="D695" s="1341"/>
      <c r="E695" s="1341"/>
      <c r="F695" s="1341"/>
      <c r="G695" s="1341"/>
      <c r="H695" s="1341"/>
      <c r="I695" s="1341"/>
      <c r="J695" s="1341"/>
      <c r="K695" s="1341"/>
      <c r="L695" s="1341"/>
      <c r="M695" s="1342"/>
    </row>
    <row r="696" spans="1:13" ht="18.75" x14ac:dyDescent="0.3">
      <c r="A696" s="1438" t="s">
        <v>2185</v>
      </c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1311"/>
    </row>
    <row r="697" spans="1:13" x14ac:dyDescent="0.25">
      <c r="A697" s="1416" t="s">
        <v>2886</v>
      </c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1311"/>
    </row>
    <row r="698" spans="1:13" x14ac:dyDescent="0.25">
      <c r="A698" s="1416" t="s">
        <v>2184</v>
      </c>
      <c r="B698" s="6"/>
      <c r="C698" s="6"/>
      <c r="D698" s="6"/>
      <c r="E698" s="6"/>
      <c r="F698" s="6"/>
      <c r="G698" s="6"/>
      <c r="J698" s="6"/>
      <c r="K698" s="6"/>
      <c r="L698" s="6"/>
      <c r="M698" s="1311"/>
    </row>
    <row r="699" spans="1:13" ht="15.75" thickBot="1" x14ac:dyDescent="0.3">
      <c r="A699" s="141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1311"/>
    </row>
    <row r="700" spans="1:13" ht="19.5" thickTop="1" x14ac:dyDescent="0.3">
      <c r="A700" s="2606"/>
      <c r="B700" s="2415" t="s">
        <v>2183</v>
      </c>
      <c r="C700" s="1341"/>
      <c r="D700" s="1341"/>
      <c r="E700" s="1341"/>
      <c r="F700" s="1341"/>
      <c r="G700" s="1341"/>
      <c r="H700" s="1341"/>
      <c r="I700" s="1342"/>
      <c r="J700" s="2415" t="s">
        <v>2214</v>
      </c>
      <c r="K700" s="1341"/>
      <c r="L700" s="1341"/>
      <c r="M700" s="1342"/>
    </row>
    <row r="701" spans="1:13" ht="19.5" thickBot="1" x14ac:dyDescent="0.35">
      <c r="A701" s="2425"/>
      <c r="B701" s="2417"/>
      <c r="C701" s="2422"/>
      <c r="D701" s="2422"/>
      <c r="E701" s="2422"/>
      <c r="F701" s="2422"/>
      <c r="G701" s="2422"/>
      <c r="H701" s="2422"/>
      <c r="I701" s="2423"/>
      <c r="J701" s="2417" t="s">
        <v>2056</v>
      </c>
      <c r="K701" s="1314"/>
      <c r="L701" s="1314"/>
      <c r="M701" s="1315"/>
    </row>
    <row r="702" spans="1:13" ht="62.25" thickTop="1" thickBot="1" x14ac:dyDescent="0.3">
      <c r="A702" s="1907" t="s">
        <v>218</v>
      </c>
      <c r="B702" s="664" t="s">
        <v>2186</v>
      </c>
      <c r="C702" s="2384" t="s">
        <v>2193</v>
      </c>
      <c r="D702" s="2383" t="s">
        <v>2187</v>
      </c>
      <c r="E702" s="2385" t="s">
        <v>2188</v>
      </c>
      <c r="F702" s="2383" t="s">
        <v>2189</v>
      </c>
      <c r="G702" s="2384" t="s">
        <v>2190</v>
      </c>
      <c r="H702" s="2383" t="s">
        <v>2191</v>
      </c>
      <c r="I702" s="2386" t="s">
        <v>2192</v>
      </c>
      <c r="J702" s="2387" t="s">
        <v>1930</v>
      </c>
      <c r="K702" s="2388" t="s">
        <v>1931</v>
      </c>
      <c r="L702" s="2389" t="s">
        <v>1932</v>
      </c>
      <c r="M702" s="2390" t="s">
        <v>1933</v>
      </c>
    </row>
    <row r="703" spans="1:13" ht="15.75" thickTop="1" x14ac:dyDescent="0.25">
      <c r="A703" s="2607">
        <v>1</v>
      </c>
      <c r="B703" s="2610">
        <f t="shared" ref="B703:B734" si="105">IF(AND($C235="IRA",OR($B235="C",$B235="FC")),$D235,0)</f>
        <v>0</v>
      </c>
      <c r="C703" s="1447">
        <f t="shared" ref="C703:C734" si="106">IF(AND($C235="IRA",OR($B235="C",$B235="FC")),$G235,0)</f>
        <v>0</v>
      </c>
      <c r="D703" s="2618">
        <f t="shared" ref="D703:D734" si="107">IF(AND($C235="IRA",OR($B235="W",$B235="FW")),$D235,0)</f>
        <v>0</v>
      </c>
      <c r="E703" s="2438">
        <f t="shared" ref="E703:E734" si="108">IF(AND($C235="IRA",OR($B235="W",$B235="FW")),$G235,0)</f>
        <v>0</v>
      </c>
      <c r="F703" s="2609">
        <f t="shared" ref="F703:F734" si="109">IF(AND($I235="IRA",OR($H235="C",$H235="FC")),$J235,0)</f>
        <v>0</v>
      </c>
      <c r="G703" s="1447">
        <f t="shared" ref="G703:G734" si="110">IF(AND($I235="IRA",OR($H235="C",$H235="FC")),$M235,0)</f>
        <v>0</v>
      </c>
      <c r="H703" s="2609">
        <f t="shared" ref="H703:H734" si="111">IF(AND($I235="IRA",OR($H235="W",$H235="FW")),$J235,0)</f>
        <v>64</v>
      </c>
      <c r="I703" s="2580">
        <f t="shared" ref="I703:I734" si="112">IF(AND($I235="IRA",OR($H235="W",$H235="FW")),$M235,0)</f>
        <v>1673.1295960712353</v>
      </c>
      <c r="J703" s="2610">
        <f t="shared" ref="J703:J734" si="113">IF(AND($C235="inher-5Yr",OR($B235="W",$B235="FW")),$D235,0)</f>
        <v>0</v>
      </c>
      <c r="K703" s="2438">
        <f t="shared" ref="K703:K734" si="114">IF(AND($C235="inher-5Yr",OR($B235="W",$B235="FW")),$G235,0)</f>
        <v>0</v>
      </c>
      <c r="L703" s="2609">
        <f t="shared" ref="L703:L734" si="115">IF(AND($I235="inher-5Yr",OR($H235="W",$H235="FW")),$J235,0)</f>
        <v>0</v>
      </c>
      <c r="M703" s="2580">
        <f t="shared" ref="M703:M734" si="116">IF(AND($I235="inher-5Yr",OR($H235="W",$H235="FW")),$M235,0)</f>
        <v>0</v>
      </c>
    </row>
    <row r="704" spans="1:13" x14ac:dyDescent="0.25">
      <c r="A704" s="2611">
        <v>2</v>
      </c>
      <c r="B704" s="2613">
        <f t="shared" si="105"/>
        <v>0</v>
      </c>
      <c r="C704" s="408">
        <f t="shared" si="106"/>
        <v>0</v>
      </c>
      <c r="D704" s="2608">
        <f t="shared" si="107"/>
        <v>60</v>
      </c>
      <c r="E704" s="2439">
        <f t="shared" si="108"/>
        <v>1500</v>
      </c>
      <c r="F704" s="2612">
        <f t="shared" si="109"/>
        <v>0</v>
      </c>
      <c r="G704" s="408">
        <f t="shared" si="110"/>
        <v>0</v>
      </c>
      <c r="H704" s="2612">
        <f t="shared" si="111"/>
        <v>0</v>
      </c>
      <c r="I704" s="2583">
        <f t="shared" si="112"/>
        <v>0</v>
      </c>
      <c r="J704" s="2613">
        <f t="shared" si="113"/>
        <v>0</v>
      </c>
      <c r="K704" s="2439">
        <f t="shared" si="114"/>
        <v>0</v>
      </c>
      <c r="L704" s="2612">
        <f t="shared" si="115"/>
        <v>0</v>
      </c>
      <c r="M704" s="2583">
        <f t="shared" si="116"/>
        <v>0</v>
      </c>
    </row>
    <row r="705" spans="1:13" x14ac:dyDescent="0.25">
      <c r="A705" s="2611">
        <v>3</v>
      </c>
      <c r="B705" s="2613">
        <f t="shared" si="105"/>
        <v>0</v>
      </c>
      <c r="C705" s="408">
        <f t="shared" si="106"/>
        <v>0</v>
      </c>
      <c r="D705" s="2608">
        <f t="shared" si="107"/>
        <v>71</v>
      </c>
      <c r="E705" s="2439">
        <f t="shared" si="108"/>
        <v>2113.7363242709084</v>
      </c>
      <c r="F705" s="2612">
        <f t="shared" si="109"/>
        <v>0</v>
      </c>
      <c r="G705" s="408">
        <f t="shared" si="110"/>
        <v>0</v>
      </c>
      <c r="H705" s="2612">
        <f t="shared" si="111"/>
        <v>66</v>
      </c>
      <c r="I705" s="2583">
        <f t="shared" si="112"/>
        <v>2113.7363242709084</v>
      </c>
      <c r="J705" s="2613">
        <f t="shared" si="113"/>
        <v>0</v>
      </c>
      <c r="K705" s="2439">
        <f t="shared" si="114"/>
        <v>0</v>
      </c>
      <c r="L705" s="2612">
        <f t="shared" si="115"/>
        <v>0</v>
      </c>
      <c r="M705" s="2583">
        <f t="shared" si="116"/>
        <v>0</v>
      </c>
    </row>
    <row r="706" spans="1:13" x14ac:dyDescent="0.25">
      <c r="A706" s="2611">
        <v>4</v>
      </c>
      <c r="B706" s="2613">
        <f t="shared" si="105"/>
        <v>0</v>
      </c>
      <c r="C706" s="408">
        <f t="shared" si="106"/>
        <v>0</v>
      </c>
      <c r="D706" s="2608">
        <f t="shared" si="107"/>
        <v>75</v>
      </c>
      <c r="E706" s="2439">
        <f t="shared" si="108"/>
        <v>3364.670845810323</v>
      </c>
      <c r="F706" s="2612">
        <f t="shared" si="109"/>
        <v>0</v>
      </c>
      <c r="G706" s="408">
        <f t="shared" si="110"/>
        <v>0</v>
      </c>
      <c r="H706" s="2612">
        <f t="shared" si="111"/>
        <v>70</v>
      </c>
      <c r="I706" s="2583">
        <f t="shared" si="112"/>
        <v>3364.670845810323</v>
      </c>
      <c r="J706" s="2613">
        <f t="shared" si="113"/>
        <v>0</v>
      </c>
      <c r="K706" s="2439">
        <f t="shared" si="114"/>
        <v>0</v>
      </c>
      <c r="L706" s="2612">
        <f t="shared" si="115"/>
        <v>0</v>
      </c>
      <c r="M706" s="2583">
        <f t="shared" si="116"/>
        <v>0</v>
      </c>
    </row>
    <row r="707" spans="1:13" x14ac:dyDescent="0.25">
      <c r="A707" s="2611">
        <v>5</v>
      </c>
      <c r="B707" s="2613">
        <f t="shared" si="105"/>
        <v>0</v>
      </c>
      <c r="C707" s="408">
        <f t="shared" si="106"/>
        <v>0</v>
      </c>
      <c r="D707" s="2608">
        <f t="shared" si="107"/>
        <v>70</v>
      </c>
      <c r="E707" s="2439">
        <f t="shared" si="108"/>
        <v>1462.7933039937086</v>
      </c>
      <c r="F707" s="2612">
        <f t="shared" si="109"/>
        <v>0</v>
      </c>
      <c r="G707" s="408">
        <f t="shared" si="110"/>
        <v>0</v>
      </c>
      <c r="H707" s="2612">
        <f t="shared" si="111"/>
        <v>70</v>
      </c>
      <c r="I707" s="2583">
        <f t="shared" si="112"/>
        <v>1009.401253743097</v>
      </c>
      <c r="J707" s="2613">
        <f t="shared" si="113"/>
        <v>0</v>
      </c>
      <c r="K707" s="2439">
        <f t="shared" si="114"/>
        <v>0</v>
      </c>
      <c r="L707" s="2612">
        <f t="shared" si="115"/>
        <v>0</v>
      </c>
      <c r="M707" s="2583">
        <f t="shared" si="116"/>
        <v>0</v>
      </c>
    </row>
    <row r="708" spans="1:13" x14ac:dyDescent="0.25">
      <c r="A708" s="2611">
        <v>6</v>
      </c>
      <c r="B708" s="2613">
        <f t="shared" si="105"/>
        <v>0</v>
      </c>
      <c r="C708" s="408">
        <f t="shared" si="106"/>
        <v>0</v>
      </c>
      <c r="D708" s="2608">
        <f t="shared" si="107"/>
        <v>75</v>
      </c>
      <c r="E708" s="2439">
        <f t="shared" si="108"/>
        <v>1749.628839821368</v>
      </c>
      <c r="F708" s="2612">
        <f t="shared" si="109"/>
        <v>59</v>
      </c>
      <c r="G708" s="408">
        <f t="shared" si="110"/>
        <v>1028.3105519999999</v>
      </c>
      <c r="H708" s="2612">
        <f t="shared" si="111"/>
        <v>0</v>
      </c>
      <c r="I708" s="2583">
        <f t="shared" si="112"/>
        <v>0</v>
      </c>
      <c r="J708" s="2613">
        <f t="shared" si="113"/>
        <v>0</v>
      </c>
      <c r="K708" s="2439">
        <f t="shared" si="114"/>
        <v>0</v>
      </c>
      <c r="L708" s="2612">
        <f t="shared" si="115"/>
        <v>0</v>
      </c>
      <c r="M708" s="2583">
        <f t="shared" si="116"/>
        <v>0</v>
      </c>
    </row>
    <row r="709" spans="1:13" x14ac:dyDescent="0.25">
      <c r="A709" s="2611">
        <v>7</v>
      </c>
      <c r="B709" s="2613">
        <f t="shared" si="105"/>
        <v>0</v>
      </c>
      <c r="C709" s="408">
        <f t="shared" si="106"/>
        <v>0</v>
      </c>
      <c r="D709" s="2608">
        <f t="shared" si="107"/>
        <v>60</v>
      </c>
      <c r="E709" s="2439">
        <f t="shared" si="108"/>
        <v>500</v>
      </c>
      <c r="F709" s="2612">
        <f t="shared" si="109"/>
        <v>0</v>
      </c>
      <c r="G709" s="408">
        <f t="shared" si="110"/>
        <v>0</v>
      </c>
      <c r="H709" s="2612">
        <f t="shared" si="111"/>
        <v>0</v>
      </c>
      <c r="I709" s="2583">
        <f t="shared" si="112"/>
        <v>0</v>
      </c>
      <c r="J709" s="2613">
        <f t="shared" si="113"/>
        <v>0</v>
      </c>
      <c r="K709" s="2439">
        <f t="shared" si="114"/>
        <v>0</v>
      </c>
      <c r="L709" s="2612">
        <f t="shared" si="115"/>
        <v>0</v>
      </c>
      <c r="M709" s="2583">
        <f t="shared" si="116"/>
        <v>0</v>
      </c>
    </row>
    <row r="710" spans="1:13" x14ac:dyDescent="0.25">
      <c r="A710" s="2611">
        <v>8</v>
      </c>
      <c r="B710" s="2613">
        <f t="shared" si="105"/>
        <v>63</v>
      </c>
      <c r="C710" s="408">
        <f t="shared" si="106"/>
        <v>1167.3288</v>
      </c>
      <c r="D710" s="2608">
        <f t="shared" si="107"/>
        <v>0</v>
      </c>
      <c r="E710" s="2439">
        <f t="shared" si="108"/>
        <v>0</v>
      </c>
      <c r="F710" s="2612">
        <f t="shared" si="109"/>
        <v>0</v>
      </c>
      <c r="G710" s="408">
        <f t="shared" si="110"/>
        <v>0</v>
      </c>
      <c r="H710" s="2612">
        <f t="shared" si="111"/>
        <v>0</v>
      </c>
      <c r="I710" s="2583">
        <f t="shared" si="112"/>
        <v>0</v>
      </c>
      <c r="J710" s="2613">
        <f t="shared" si="113"/>
        <v>0</v>
      </c>
      <c r="K710" s="2439">
        <f t="shared" si="114"/>
        <v>0</v>
      </c>
      <c r="L710" s="2612">
        <f t="shared" si="115"/>
        <v>0</v>
      </c>
      <c r="M710" s="2583">
        <f t="shared" si="116"/>
        <v>0</v>
      </c>
    </row>
    <row r="711" spans="1:13" x14ac:dyDescent="0.25">
      <c r="A711" s="2611">
        <v>9</v>
      </c>
      <c r="B711" s="2613">
        <f>IF(AND($C243="IRA",OR($B243="C",$B243="FC")),$D243,0)</f>
        <v>0</v>
      </c>
      <c r="C711" s="408">
        <f>IF(AND($C243="IRA",OR($B243="C",$B243="FC")),$G243,0)</f>
        <v>0</v>
      </c>
      <c r="D711" s="2608">
        <f>IF(AND($C243="IRA",OR($B243="W",$B243="FW")),$D243,0)</f>
        <v>0</v>
      </c>
      <c r="E711" s="2439">
        <f>IF(AND($C243="IRA",OR($B243="W",$B243="FW")),$G243,0)</f>
        <v>0</v>
      </c>
      <c r="F711" s="2612">
        <f t="shared" si="109"/>
        <v>0</v>
      </c>
      <c r="G711" s="408">
        <f t="shared" si="110"/>
        <v>0</v>
      </c>
      <c r="H711" s="2612">
        <f t="shared" si="111"/>
        <v>0</v>
      </c>
      <c r="I711" s="2583">
        <f t="shared" si="112"/>
        <v>0</v>
      </c>
      <c r="J711" s="2613">
        <f>IF(AND($C243="inher-5Yr",OR($B243="W",$B243="FW")),$D243,0)</f>
        <v>0</v>
      </c>
      <c r="K711" s="2439">
        <f>IF(AND($C243="inher-5Yr",OR($B243="W",$B243="FW")),$G243,0)</f>
        <v>0</v>
      </c>
      <c r="L711" s="2612">
        <f t="shared" si="115"/>
        <v>0</v>
      </c>
      <c r="M711" s="2583">
        <f t="shared" si="116"/>
        <v>0</v>
      </c>
    </row>
    <row r="712" spans="1:13" x14ac:dyDescent="0.25">
      <c r="A712" s="2611">
        <v>10</v>
      </c>
      <c r="B712" s="2613">
        <f>IF(AND($C244="IRA",OR($B244="C",$B244="FC")),$D244,0)</f>
        <v>0</v>
      </c>
      <c r="C712" s="408">
        <f>IF(AND($C244="IRA",OR($B244="C",$B244="FC")),$G244,0)</f>
        <v>0</v>
      </c>
      <c r="D712" s="2608">
        <f>IF(AND($C244="IRA",OR($B244="W",$B244="FW")),$D244,0)</f>
        <v>0</v>
      </c>
      <c r="E712" s="2439">
        <f>IF(AND($C244="IRA",OR($B244="W",$B244="FW")),$G244,0)</f>
        <v>0</v>
      </c>
      <c r="F712" s="2612">
        <f t="shared" si="109"/>
        <v>0</v>
      </c>
      <c r="G712" s="408">
        <f t="shared" si="110"/>
        <v>0</v>
      </c>
      <c r="H712" s="2612">
        <f t="shared" si="111"/>
        <v>0</v>
      </c>
      <c r="I712" s="2583">
        <f t="shared" si="112"/>
        <v>0</v>
      </c>
      <c r="J712" s="2613">
        <f>IF(AND($C244="inher-5Yr",OR($B244="W",$B244="FW")),$D244,0)</f>
        <v>0</v>
      </c>
      <c r="K712" s="2439">
        <f>IF(AND($C244="inher-5Yr",OR($B244="W",$B244="FW")),$G244,0)</f>
        <v>0</v>
      </c>
      <c r="L712" s="2612">
        <f t="shared" si="115"/>
        <v>0</v>
      </c>
      <c r="M712" s="2583">
        <f t="shared" si="116"/>
        <v>0</v>
      </c>
    </row>
    <row r="713" spans="1:13" x14ac:dyDescent="0.25">
      <c r="A713" s="2611">
        <v>11</v>
      </c>
      <c r="B713" s="2613">
        <f t="shared" si="105"/>
        <v>0</v>
      </c>
      <c r="C713" s="408">
        <f t="shared" si="106"/>
        <v>0</v>
      </c>
      <c r="D713" s="2608">
        <f t="shared" si="107"/>
        <v>0</v>
      </c>
      <c r="E713" s="2439">
        <f t="shared" si="108"/>
        <v>0</v>
      </c>
      <c r="F713" s="2612">
        <f t="shared" si="109"/>
        <v>0</v>
      </c>
      <c r="G713" s="408">
        <f t="shared" si="110"/>
        <v>0</v>
      </c>
      <c r="H713" s="2612">
        <f t="shared" si="111"/>
        <v>0</v>
      </c>
      <c r="I713" s="2583">
        <f t="shared" si="112"/>
        <v>0</v>
      </c>
      <c r="J713" s="2613">
        <f t="shared" si="113"/>
        <v>0</v>
      </c>
      <c r="K713" s="2439">
        <f t="shared" si="114"/>
        <v>0</v>
      </c>
      <c r="L713" s="2612">
        <f t="shared" si="115"/>
        <v>0</v>
      </c>
      <c r="M713" s="2583">
        <f t="shared" si="116"/>
        <v>0</v>
      </c>
    </row>
    <row r="714" spans="1:13" x14ac:dyDescent="0.25">
      <c r="A714" s="2611">
        <v>12</v>
      </c>
      <c r="B714" s="2613">
        <f t="shared" si="105"/>
        <v>0</v>
      </c>
      <c r="C714" s="408">
        <f t="shared" si="106"/>
        <v>0</v>
      </c>
      <c r="D714" s="2608">
        <f t="shared" si="107"/>
        <v>0</v>
      </c>
      <c r="E714" s="2439">
        <f t="shared" si="108"/>
        <v>0</v>
      </c>
      <c r="F714" s="2612">
        <f t="shared" si="109"/>
        <v>0</v>
      </c>
      <c r="G714" s="408">
        <f t="shared" si="110"/>
        <v>0</v>
      </c>
      <c r="H714" s="2612">
        <f t="shared" si="111"/>
        <v>0</v>
      </c>
      <c r="I714" s="2583">
        <f t="shared" si="112"/>
        <v>0</v>
      </c>
      <c r="J714" s="2613">
        <f t="shared" si="113"/>
        <v>0</v>
      </c>
      <c r="K714" s="2439">
        <f t="shared" si="114"/>
        <v>0</v>
      </c>
      <c r="L714" s="2612">
        <f t="shared" si="115"/>
        <v>0</v>
      </c>
      <c r="M714" s="2583">
        <f t="shared" si="116"/>
        <v>0</v>
      </c>
    </row>
    <row r="715" spans="1:13" x14ac:dyDescent="0.25">
      <c r="A715" s="2611">
        <v>13</v>
      </c>
      <c r="B715" s="2613">
        <f t="shared" si="105"/>
        <v>0</v>
      </c>
      <c r="C715" s="408">
        <f t="shared" si="106"/>
        <v>0</v>
      </c>
      <c r="D715" s="2608">
        <f t="shared" si="107"/>
        <v>0</v>
      </c>
      <c r="E715" s="2439">
        <f t="shared" si="108"/>
        <v>0</v>
      </c>
      <c r="F715" s="2612">
        <f t="shared" si="109"/>
        <v>0</v>
      </c>
      <c r="G715" s="408">
        <f t="shared" si="110"/>
        <v>0</v>
      </c>
      <c r="H715" s="2612">
        <f t="shared" si="111"/>
        <v>0</v>
      </c>
      <c r="I715" s="2583">
        <f t="shared" si="112"/>
        <v>0</v>
      </c>
      <c r="J715" s="2613">
        <f t="shared" si="113"/>
        <v>0</v>
      </c>
      <c r="K715" s="2439">
        <f t="shared" si="114"/>
        <v>0</v>
      </c>
      <c r="L715" s="2612">
        <f t="shared" si="115"/>
        <v>0</v>
      </c>
      <c r="M715" s="2583">
        <f t="shared" si="116"/>
        <v>0</v>
      </c>
    </row>
    <row r="716" spans="1:13" x14ac:dyDescent="0.25">
      <c r="A716" s="2611">
        <v>14</v>
      </c>
      <c r="B716" s="2613">
        <f t="shared" si="105"/>
        <v>0</v>
      </c>
      <c r="C716" s="408">
        <f t="shared" si="106"/>
        <v>0</v>
      </c>
      <c r="D716" s="2608">
        <f t="shared" si="107"/>
        <v>0</v>
      </c>
      <c r="E716" s="2439">
        <f t="shared" si="108"/>
        <v>0</v>
      </c>
      <c r="F716" s="2612">
        <f t="shared" si="109"/>
        <v>0</v>
      </c>
      <c r="G716" s="408">
        <f t="shared" si="110"/>
        <v>0</v>
      </c>
      <c r="H716" s="2612">
        <f t="shared" si="111"/>
        <v>0</v>
      </c>
      <c r="I716" s="2583">
        <f t="shared" si="112"/>
        <v>0</v>
      </c>
      <c r="J716" s="2613">
        <f t="shared" si="113"/>
        <v>0</v>
      </c>
      <c r="K716" s="2439">
        <f t="shared" si="114"/>
        <v>0</v>
      </c>
      <c r="L716" s="2612">
        <f t="shared" si="115"/>
        <v>0</v>
      </c>
      <c r="M716" s="2583">
        <f t="shared" si="116"/>
        <v>0</v>
      </c>
    </row>
    <row r="717" spans="1:13" x14ac:dyDescent="0.25">
      <c r="A717" s="2611">
        <v>15</v>
      </c>
      <c r="B717" s="2613">
        <f t="shared" si="105"/>
        <v>0</v>
      </c>
      <c r="C717" s="408">
        <f t="shared" si="106"/>
        <v>0</v>
      </c>
      <c r="D717" s="2608">
        <f t="shared" si="107"/>
        <v>0</v>
      </c>
      <c r="E717" s="2439">
        <f t="shared" si="108"/>
        <v>0</v>
      </c>
      <c r="F717" s="2612">
        <f t="shared" si="109"/>
        <v>0</v>
      </c>
      <c r="G717" s="408">
        <f t="shared" si="110"/>
        <v>0</v>
      </c>
      <c r="H717" s="2612">
        <f t="shared" si="111"/>
        <v>0</v>
      </c>
      <c r="I717" s="2583">
        <f t="shared" si="112"/>
        <v>0</v>
      </c>
      <c r="J717" s="2613">
        <f t="shared" si="113"/>
        <v>0</v>
      </c>
      <c r="K717" s="2439">
        <f t="shared" si="114"/>
        <v>0</v>
      </c>
      <c r="L717" s="2612">
        <f t="shared" si="115"/>
        <v>0</v>
      </c>
      <c r="M717" s="2583">
        <f t="shared" si="116"/>
        <v>0</v>
      </c>
    </row>
    <row r="718" spans="1:13" x14ac:dyDescent="0.25">
      <c r="A718" s="2611">
        <v>16</v>
      </c>
      <c r="B718" s="2613">
        <f t="shared" si="105"/>
        <v>0</v>
      </c>
      <c r="C718" s="408">
        <f t="shared" si="106"/>
        <v>0</v>
      </c>
      <c r="D718" s="2608">
        <f t="shared" si="107"/>
        <v>0</v>
      </c>
      <c r="E718" s="2439">
        <f t="shared" si="108"/>
        <v>0</v>
      </c>
      <c r="F718" s="2612">
        <f t="shared" si="109"/>
        <v>0</v>
      </c>
      <c r="G718" s="408">
        <f t="shared" si="110"/>
        <v>0</v>
      </c>
      <c r="H718" s="2612">
        <f t="shared" si="111"/>
        <v>0</v>
      </c>
      <c r="I718" s="2583">
        <f t="shared" si="112"/>
        <v>0</v>
      </c>
      <c r="J718" s="2613">
        <f t="shared" si="113"/>
        <v>0</v>
      </c>
      <c r="K718" s="2439">
        <f t="shared" si="114"/>
        <v>0</v>
      </c>
      <c r="L718" s="2612">
        <f t="shared" si="115"/>
        <v>0</v>
      </c>
      <c r="M718" s="2583">
        <f t="shared" si="116"/>
        <v>0</v>
      </c>
    </row>
    <row r="719" spans="1:13" x14ac:dyDescent="0.25">
      <c r="A719" s="2611">
        <v>17</v>
      </c>
      <c r="B719" s="2613">
        <f t="shared" si="105"/>
        <v>0</v>
      </c>
      <c r="C719" s="408">
        <f t="shared" si="106"/>
        <v>0</v>
      </c>
      <c r="D719" s="2608">
        <f t="shared" si="107"/>
        <v>0</v>
      </c>
      <c r="E719" s="2439">
        <f t="shared" si="108"/>
        <v>0</v>
      </c>
      <c r="F719" s="2612">
        <f t="shared" si="109"/>
        <v>0</v>
      </c>
      <c r="G719" s="408">
        <f t="shared" si="110"/>
        <v>0</v>
      </c>
      <c r="H719" s="2612">
        <f t="shared" si="111"/>
        <v>0</v>
      </c>
      <c r="I719" s="2583">
        <f t="shared" si="112"/>
        <v>0</v>
      </c>
      <c r="J719" s="2613">
        <f t="shared" si="113"/>
        <v>0</v>
      </c>
      <c r="K719" s="2439">
        <f t="shared" si="114"/>
        <v>0</v>
      </c>
      <c r="L719" s="2612">
        <f t="shared" si="115"/>
        <v>0</v>
      </c>
      <c r="M719" s="2583">
        <f t="shared" si="116"/>
        <v>0</v>
      </c>
    </row>
    <row r="720" spans="1:13" x14ac:dyDescent="0.25">
      <c r="A720" s="2611">
        <v>18</v>
      </c>
      <c r="B720" s="2613">
        <f t="shared" si="105"/>
        <v>0</v>
      </c>
      <c r="C720" s="408">
        <f t="shared" si="106"/>
        <v>0</v>
      </c>
      <c r="D720" s="2608">
        <f t="shared" si="107"/>
        <v>0</v>
      </c>
      <c r="E720" s="2439">
        <f t="shared" si="108"/>
        <v>0</v>
      </c>
      <c r="F720" s="2612">
        <f t="shared" si="109"/>
        <v>0</v>
      </c>
      <c r="G720" s="408">
        <f t="shared" si="110"/>
        <v>0</v>
      </c>
      <c r="H720" s="2612">
        <f t="shared" si="111"/>
        <v>0</v>
      </c>
      <c r="I720" s="2583">
        <f t="shared" si="112"/>
        <v>0</v>
      </c>
      <c r="J720" s="2613">
        <f t="shared" si="113"/>
        <v>0</v>
      </c>
      <c r="K720" s="2439">
        <f t="shared" si="114"/>
        <v>0</v>
      </c>
      <c r="L720" s="2612">
        <f t="shared" si="115"/>
        <v>0</v>
      </c>
      <c r="M720" s="2583">
        <f t="shared" si="116"/>
        <v>0</v>
      </c>
    </row>
    <row r="721" spans="1:13" x14ac:dyDescent="0.25">
      <c r="A721" s="2611">
        <v>19</v>
      </c>
      <c r="B721" s="2613">
        <f t="shared" si="105"/>
        <v>0</v>
      </c>
      <c r="C721" s="408">
        <f t="shared" si="106"/>
        <v>0</v>
      </c>
      <c r="D721" s="2608">
        <f t="shared" si="107"/>
        <v>0</v>
      </c>
      <c r="E721" s="2439">
        <f t="shared" si="108"/>
        <v>0</v>
      </c>
      <c r="F721" s="2612">
        <f t="shared" si="109"/>
        <v>0</v>
      </c>
      <c r="G721" s="408">
        <f t="shared" si="110"/>
        <v>0</v>
      </c>
      <c r="H721" s="2612">
        <f t="shared" si="111"/>
        <v>0</v>
      </c>
      <c r="I721" s="2583">
        <f t="shared" si="112"/>
        <v>0</v>
      </c>
      <c r="J721" s="2613">
        <f t="shared" si="113"/>
        <v>0</v>
      </c>
      <c r="K721" s="2439">
        <f t="shared" si="114"/>
        <v>0</v>
      </c>
      <c r="L721" s="2612">
        <f t="shared" si="115"/>
        <v>0</v>
      </c>
      <c r="M721" s="2583">
        <f t="shared" si="116"/>
        <v>0</v>
      </c>
    </row>
    <row r="722" spans="1:13" x14ac:dyDescent="0.25">
      <c r="A722" s="2611">
        <v>20</v>
      </c>
      <c r="B722" s="2613">
        <f t="shared" si="105"/>
        <v>0</v>
      </c>
      <c r="C722" s="408">
        <f t="shared" si="106"/>
        <v>0</v>
      </c>
      <c r="D722" s="2608">
        <f t="shared" si="107"/>
        <v>0</v>
      </c>
      <c r="E722" s="2439">
        <f t="shared" si="108"/>
        <v>0</v>
      </c>
      <c r="F722" s="2612">
        <f t="shared" si="109"/>
        <v>0</v>
      </c>
      <c r="G722" s="408">
        <f t="shared" si="110"/>
        <v>0</v>
      </c>
      <c r="H722" s="2612">
        <f t="shared" si="111"/>
        <v>0</v>
      </c>
      <c r="I722" s="2583">
        <f t="shared" si="112"/>
        <v>0</v>
      </c>
      <c r="J722" s="2613">
        <f t="shared" si="113"/>
        <v>0</v>
      </c>
      <c r="K722" s="2439">
        <f t="shared" si="114"/>
        <v>0</v>
      </c>
      <c r="L722" s="2612">
        <f t="shared" si="115"/>
        <v>0</v>
      </c>
      <c r="M722" s="2583">
        <f t="shared" si="116"/>
        <v>0</v>
      </c>
    </row>
    <row r="723" spans="1:13" x14ac:dyDescent="0.25">
      <c r="A723" s="2611">
        <v>21</v>
      </c>
      <c r="B723" s="2613">
        <f t="shared" si="105"/>
        <v>0</v>
      </c>
      <c r="C723" s="408">
        <f t="shared" si="106"/>
        <v>0</v>
      </c>
      <c r="D723" s="2608">
        <f t="shared" si="107"/>
        <v>0</v>
      </c>
      <c r="E723" s="2439">
        <f t="shared" si="108"/>
        <v>0</v>
      </c>
      <c r="F723" s="2612">
        <f t="shared" si="109"/>
        <v>0</v>
      </c>
      <c r="G723" s="408">
        <f t="shared" si="110"/>
        <v>0</v>
      </c>
      <c r="H723" s="2612">
        <f t="shared" si="111"/>
        <v>0</v>
      </c>
      <c r="I723" s="2583">
        <f t="shared" si="112"/>
        <v>0</v>
      </c>
      <c r="J723" s="2613">
        <f t="shared" si="113"/>
        <v>0</v>
      </c>
      <c r="K723" s="2439">
        <f t="shared" si="114"/>
        <v>0</v>
      </c>
      <c r="L723" s="2612">
        <f t="shared" si="115"/>
        <v>0</v>
      </c>
      <c r="M723" s="2583">
        <f t="shared" si="116"/>
        <v>0</v>
      </c>
    </row>
    <row r="724" spans="1:13" x14ac:dyDescent="0.25">
      <c r="A724" s="2611">
        <v>22</v>
      </c>
      <c r="B724" s="2613">
        <f t="shared" si="105"/>
        <v>0</v>
      </c>
      <c r="C724" s="408">
        <f t="shared" si="106"/>
        <v>0</v>
      </c>
      <c r="D724" s="2608">
        <f t="shared" si="107"/>
        <v>0</v>
      </c>
      <c r="E724" s="2439">
        <f t="shared" si="108"/>
        <v>0</v>
      </c>
      <c r="F724" s="2612">
        <f t="shared" si="109"/>
        <v>0</v>
      </c>
      <c r="G724" s="408">
        <f t="shared" si="110"/>
        <v>0</v>
      </c>
      <c r="H724" s="2612">
        <f t="shared" si="111"/>
        <v>0</v>
      </c>
      <c r="I724" s="2583">
        <f t="shared" si="112"/>
        <v>0</v>
      </c>
      <c r="J724" s="2613">
        <f t="shared" si="113"/>
        <v>0</v>
      </c>
      <c r="K724" s="2439">
        <f t="shared" si="114"/>
        <v>0</v>
      </c>
      <c r="L724" s="2612">
        <f t="shared" si="115"/>
        <v>0</v>
      </c>
      <c r="M724" s="2583">
        <f t="shared" si="116"/>
        <v>0</v>
      </c>
    </row>
    <row r="725" spans="1:13" x14ac:dyDescent="0.25">
      <c r="A725" s="2611">
        <v>23</v>
      </c>
      <c r="B725" s="2613">
        <f t="shared" si="105"/>
        <v>0</v>
      </c>
      <c r="C725" s="408">
        <f t="shared" si="106"/>
        <v>0</v>
      </c>
      <c r="D725" s="2608">
        <f t="shared" si="107"/>
        <v>0</v>
      </c>
      <c r="E725" s="2439">
        <f t="shared" si="108"/>
        <v>0</v>
      </c>
      <c r="F725" s="2612">
        <f t="shared" si="109"/>
        <v>0</v>
      </c>
      <c r="G725" s="408">
        <f t="shared" si="110"/>
        <v>0</v>
      </c>
      <c r="H725" s="2612">
        <f t="shared" si="111"/>
        <v>0</v>
      </c>
      <c r="I725" s="2583">
        <f t="shared" si="112"/>
        <v>0</v>
      </c>
      <c r="J725" s="2613">
        <f t="shared" si="113"/>
        <v>0</v>
      </c>
      <c r="K725" s="2439">
        <f t="shared" si="114"/>
        <v>0</v>
      </c>
      <c r="L725" s="2612">
        <f t="shared" si="115"/>
        <v>0</v>
      </c>
      <c r="M725" s="2583">
        <f t="shared" si="116"/>
        <v>0</v>
      </c>
    </row>
    <row r="726" spans="1:13" x14ac:dyDescent="0.25">
      <c r="A726" s="2611">
        <v>24</v>
      </c>
      <c r="B726" s="2613">
        <f t="shared" si="105"/>
        <v>0</v>
      </c>
      <c r="C726" s="408">
        <f t="shared" si="106"/>
        <v>0</v>
      </c>
      <c r="D726" s="2608">
        <f t="shared" si="107"/>
        <v>0</v>
      </c>
      <c r="E726" s="2439">
        <f t="shared" si="108"/>
        <v>0</v>
      </c>
      <c r="F726" s="2612">
        <f t="shared" si="109"/>
        <v>0</v>
      </c>
      <c r="G726" s="408">
        <f t="shared" si="110"/>
        <v>0</v>
      </c>
      <c r="H726" s="2612">
        <f t="shared" si="111"/>
        <v>0</v>
      </c>
      <c r="I726" s="2583">
        <f t="shared" si="112"/>
        <v>0</v>
      </c>
      <c r="J726" s="2613">
        <f t="shared" si="113"/>
        <v>0</v>
      </c>
      <c r="K726" s="2439">
        <f t="shared" si="114"/>
        <v>0</v>
      </c>
      <c r="L726" s="2612">
        <f t="shared" si="115"/>
        <v>0</v>
      </c>
      <c r="M726" s="2583">
        <f t="shared" si="116"/>
        <v>0</v>
      </c>
    </row>
    <row r="727" spans="1:13" x14ac:dyDescent="0.25">
      <c r="A727" s="2611">
        <v>25</v>
      </c>
      <c r="B727" s="2613">
        <f t="shared" si="105"/>
        <v>0</v>
      </c>
      <c r="C727" s="408">
        <f t="shared" si="106"/>
        <v>0</v>
      </c>
      <c r="D727" s="2608">
        <f t="shared" si="107"/>
        <v>0</v>
      </c>
      <c r="E727" s="2439">
        <f t="shared" si="108"/>
        <v>0</v>
      </c>
      <c r="F727" s="2612">
        <f t="shared" si="109"/>
        <v>0</v>
      </c>
      <c r="G727" s="408">
        <f t="shared" si="110"/>
        <v>0</v>
      </c>
      <c r="H727" s="2612">
        <f t="shared" si="111"/>
        <v>0</v>
      </c>
      <c r="I727" s="2583">
        <f t="shared" si="112"/>
        <v>0</v>
      </c>
      <c r="J727" s="2613">
        <f t="shared" si="113"/>
        <v>0</v>
      </c>
      <c r="K727" s="2439">
        <f t="shared" si="114"/>
        <v>0</v>
      </c>
      <c r="L727" s="2612">
        <f t="shared" si="115"/>
        <v>0</v>
      </c>
      <c r="M727" s="2583">
        <f t="shared" si="116"/>
        <v>0</v>
      </c>
    </row>
    <row r="728" spans="1:13" x14ac:dyDescent="0.25">
      <c r="A728" s="2611">
        <v>26</v>
      </c>
      <c r="B728" s="2613">
        <f t="shared" si="105"/>
        <v>0</v>
      </c>
      <c r="C728" s="408">
        <f t="shared" si="106"/>
        <v>0</v>
      </c>
      <c r="D728" s="2608">
        <f t="shared" si="107"/>
        <v>0</v>
      </c>
      <c r="E728" s="2439">
        <f t="shared" si="108"/>
        <v>0</v>
      </c>
      <c r="F728" s="2612">
        <f t="shared" si="109"/>
        <v>0</v>
      </c>
      <c r="G728" s="408">
        <f t="shared" si="110"/>
        <v>0</v>
      </c>
      <c r="H728" s="2612">
        <f t="shared" si="111"/>
        <v>0</v>
      </c>
      <c r="I728" s="2583">
        <f t="shared" si="112"/>
        <v>0</v>
      </c>
      <c r="J728" s="2613">
        <f t="shared" si="113"/>
        <v>0</v>
      </c>
      <c r="K728" s="2439">
        <f t="shared" si="114"/>
        <v>0</v>
      </c>
      <c r="L728" s="2612">
        <f t="shared" si="115"/>
        <v>0</v>
      </c>
      <c r="M728" s="2583">
        <f t="shared" si="116"/>
        <v>0</v>
      </c>
    </row>
    <row r="729" spans="1:13" x14ac:dyDescent="0.25">
      <c r="A729" s="2611">
        <v>27</v>
      </c>
      <c r="B729" s="2613">
        <f t="shared" si="105"/>
        <v>0</v>
      </c>
      <c r="C729" s="408">
        <f t="shared" si="106"/>
        <v>0</v>
      </c>
      <c r="D729" s="2608">
        <f t="shared" si="107"/>
        <v>0</v>
      </c>
      <c r="E729" s="2439">
        <f t="shared" si="108"/>
        <v>0</v>
      </c>
      <c r="F729" s="2612">
        <f t="shared" si="109"/>
        <v>0</v>
      </c>
      <c r="G729" s="408">
        <f t="shared" si="110"/>
        <v>0</v>
      </c>
      <c r="H729" s="2612">
        <f t="shared" si="111"/>
        <v>0</v>
      </c>
      <c r="I729" s="2583">
        <f t="shared" si="112"/>
        <v>0</v>
      </c>
      <c r="J729" s="2613">
        <f t="shared" si="113"/>
        <v>0</v>
      </c>
      <c r="K729" s="2439">
        <f t="shared" si="114"/>
        <v>0</v>
      </c>
      <c r="L729" s="2612">
        <f t="shared" si="115"/>
        <v>0</v>
      </c>
      <c r="M729" s="2583">
        <f t="shared" si="116"/>
        <v>0</v>
      </c>
    </row>
    <row r="730" spans="1:13" x14ac:dyDescent="0.25">
      <c r="A730" s="2611">
        <v>28</v>
      </c>
      <c r="B730" s="2613">
        <f t="shared" si="105"/>
        <v>0</v>
      </c>
      <c r="C730" s="408">
        <f t="shared" si="106"/>
        <v>0</v>
      </c>
      <c r="D730" s="2608">
        <f t="shared" si="107"/>
        <v>0</v>
      </c>
      <c r="E730" s="2439">
        <f t="shared" si="108"/>
        <v>0</v>
      </c>
      <c r="F730" s="2612">
        <f t="shared" si="109"/>
        <v>0</v>
      </c>
      <c r="G730" s="408">
        <f t="shared" si="110"/>
        <v>0</v>
      </c>
      <c r="H730" s="2612">
        <f t="shared" si="111"/>
        <v>0</v>
      </c>
      <c r="I730" s="2583">
        <f t="shared" si="112"/>
        <v>0</v>
      </c>
      <c r="J730" s="2613">
        <f t="shared" si="113"/>
        <v>0</v>
      </c>
      <c r="K730" s="2439">
        <f t="shared" si="114"/>
        <v>0</v>
      </c>
      <c r="L730" s="2612">
        <f t="shared" si="115"/>
        <v>0</v>
      </c>
      <c r="M730" s="2583">
        <f t="shared" si="116"/>
        <v>0</v>
      </c>
    </row>
    <row r="731" spans="1:13" x14ac:dyDescent="0.25">
      <c r="A731" s="2611">
        <v>29</v>
      </c>
      <c r="B731" s="2613">
        <f t="shared" si="105"/>
        <v>0</v>
      </c>
      <c r="C731" s="408">
        <f t="shared" si="106"/>
        <v>0</v>
      </c>
      <c r="D731" s="2608">
        <f t="shared" si="107"/>
        <v>0</v>
      </c>
      <c r="E731" s="2439">
        <f t="shared" si="108"/>
        <v>0</v>
      </c>
      <c r="F731" s="2612">
        <f t="shared" si="109"/>
        <v>0</v>
      </c>
      <c r="G731" s="408">
        <f t="shared" si="110"/>
        <v>0</v>
      </c>
      <c r="H731" s="2612">
        <f t="shared" si="111"/>
        <v>0</v>
      </c>
      <c r="I731" s="2583">
        <f t="shared" si="112"/>
        <v>0</v>
      </c>
      <c r="J731" s="2613">
        <f t="shared" si="113"/>
        <v>0</v>
      </c>
      <c r="K731" s="2439">
        <f t="shared" si="114"/>
        <v>0</v>
      </c>
      <c r="L731" s="2612">
        <f t="shared" si="115"/>
        <v>0</v>
      </c>
      <c r="M731" s="2583">
        <f t="shared" si="116"/>
        <v>0</v>
      </c>
    </row>
    <row r="732" spans="1:13" x14ac:dyDescent="0.25">
      <c r="A732" s="2611">
        <v>30</v>
      </c>
      <c r="B732" s="2613">
        <f t="shared" si="105"/>
        <v>0</v>
      </c>
      <c r="C732" s="408">
        <f t="shared" si="106"/>
        <v>0</v>
      </c>
      <c r="D732" s="2608">
        <f t="shared" si="107"/>
        <v>0</v>
      </c>
      <c r="E732" s="2439">
        <f t="shared" si="108"/>
        <v>0</v>
      </c>
      <c r="F732" s="2612">
        <f t="shared" si="109"/>
        <v>0</v>
      </c>
      <c r="G732" s="408">
        <f t="shared" si="110"/>
        <v>0</v>
      </c>
      <c r="H732" s="2612">
        <f t="shared" si="111"/>
        <v>0</v>
      </c>
      <c r="I732" s="2583">
        <f t="shared" si="112"/>
        <v>0</v>
      </c>
      <c r="J732" s="2613">
        <f t="shared" si="113"/>
        <v>0</v>
      </c>
      <c r="K732" s="2439">
        <f t="shared" si="114"/>
        <v>0</v>
      </c>
      <c r="L732" s="2612">
        <f t="shared" si="115"/>
        <v>0</v>
      </c>
      <c r="M732" s="2583">
        <f t="shared" si="116"/>
        <v>0</v>
      </c>
    </row>
    <row r="733" spans="1:13" x14ac:dyDescent="0.25">
      <c r="A733" s="2611">
        <v>31</v>
      </c>
      <c r="B733" s="2613">
        <f t="shared" si="105"/>
        <v>0</v>
      </c>
      <c r="C733" s="408">
        <f t="shared" si="106"/>
        <v>0</v>
      </c>
      <c r="D733" s="2608">
        <f t="shared" si="107"/>
        <v>0</v>
      </c>
      <c r="E733" s="2439">
        <f t="shared" si="108"/>
        <v>0</v>
      </c>
      <c r="F733" s="2612">
        <f t="shared" si="109"/>
        <v>0</v>
      </c>
      <c r="G733" s="408">
        <f t="shared" si="110"/>
        <v>0</v>
      </c>
      <c r="H733" s="2612">
        <f t="shared" si="111"/>
        <v>0</v>
      </c>
      <c r="I733" s="2583">
        <f t="shared" si="112"/>
        <v>0</v>
      </c>
      <c r="J733" s="2613">
        <f t="shared" si="113"/>
        <v>0</v>
      </c>
      <c r="K733" s="2439">
        <f t="shared" si="114"/>
        <v>0</v>
      </c>
      <c r="L733" s="2612">
        <f t="shared" si="115"/>
        <v>0</v>
      </c>
      <c r="M733" s="2583">
        <f t="shared" si="116"/>
        <v>0</v>
      </c>
    </row>
    <row r="734" spans="1:13" x14ac:dyDescent="0.25">
      <c r="A734" s="2611">
        <v>32</v>
      </c>
      <c r="B734" s="2613">
        <f t="shared" si="105"/>
        <v>0</v>
      </c>
      <c r="C734" s="408">
        <f t="shared" si="106"/>
        <v>0</v>
      </c>
      <c r="D734" s="2608">
        <f t="shared" si="107"/>
        <v>0</v>
      </c>
      <c r="E734" s="2439">
        <f t="shared" si="108"/>
        <v>0</v>
      </c>
      <c r="F734" s="2612">
        <f t="shared" si="109"/>
        <v>0</v>
      </c>
      <c r="G734" s="408">
        <f t="shared" si="110"/>
        <v>0</v>
      </c>
      <c r="H734" s="2612">
        <f t="shared" si="111"/>
        <v>0</v>
      </c>
      <c r="I734" s="2583">
        <f t="shared" si="112"/>
        <v>0</v>
      </c>
      <c r="J734" s="2613">
        <f t="shared" si="113"/>
        <v>0</v>
      </c>
      <c r="K734" s="2439">
        <f t="shared" si="114"/>
        <v>0</v>
      </c>
      <c r="L734" s="2612">
        <f t="shared" si="115"/>
        <v>0</v>
      </c>
      <c r="M734" s="2583">
        <f t="shared" si="116"/>
        <v>0</v>
      </c>
    </row>
    <row r="735" spans="1:13" x14ac:dyDescent="0.25">
      <c r="A735" s="2611">
        <v>33</v>
      </c>
      <c r="B735" s="2613">
        <f t="shared" ref="B735:B766" si="117">IF(AND($C267="IRA",OR($B267="C",$B267="FC")),$D267,0)</f>
        <v>0</v>
      </c>
      <c r="C735" s="408">
        <f t="shared" ref="C735:C766" si="118">IF(AND($C267="IRA",OR($B267="C",$B267="FC")),$G267,0)</f>
        <v>0</v>
      </c>
      <c r="D735" s="2608">
        <f t="shared" ref="D735:D766" si="119">IF(AND($C267="IRA",OR($B267="W",$B267="FW")),$D267,0)</f>
        <v>0</v>
      </c>
      <c r="E735" s="2439">
        <f t="shared" ref="E735:E766" si="120">IF(AND($C267="IRA",OR($B267="W",$B267="FW")),$G267,0)</f>
        <v>0</v>
      </c>
      <c r="F735" s="2612">
        <f t="shared" ref="F735:F766" si="121">IF(AND($I267="IRA",OR($H267="C",$H267="FC")),$J267,0)</f>
        <v>0</v>
      </c>
      <c r="G735" s="408">
        <f t="shared" ref="G735:G766" si="122">IF(AND($I267="IRA",OR($H267="C",$H267="FC")),$M267,0)</f>
        <v>0</v>
      </c>
      <c r="H735" s="2612">
        <f t="shared" ref="H735:H766" si="123">IF(AND($I267="IRA",OR($H267="W",$H267="FW")),$J267,0)</f>
        <v>0</v>
      </c>
      <c r="I735" s="2583">
        <f t="shared" ref="I735:I766" si="124">IF(AND($I267="IRA",OR($H267="W",$H267="FW")),$M267,0)</f>
        <v>0</v>
      </c>
      <c r="J735" s="2613">
        <f t="shared" ref="J735:J766" si="125">IF(AND($C267="inher-5Yr",OR($B267="W",$B267="FW")),$D267,0)</f>
        <v>0</v>
      </c>
      <c r="K735" s="2439">
        <f t="shared" ref="K735:K766" si="126">IF(AND($C267="inher-5Yr",OR($B267="W",$B267="FW")),$G267,0)</f>
        <v>0</v>
      </c>
      <c r="L735" s="2612">
        <f t="shared" ref="L735:L766" si="127">IF(AND($I267="inher-5Yr",OR($H267="W",$H267="FW")),$J267,0)</f>
        <v>0</v>
      </c>
      <c r="M735" s="2583">
        <f t="shared" ref="M735:M766" si="128">IF(AND($I267="inher-5Yr",OR($H267="W",$H267="FW")),$M267,0)</f>
        <v>0</v>
      </c>
    </row>
    <row r="736" spans="1:13" x14ac:dyDescent="0.25">
      <c r="A736" s="2611">
        <v>34</v>
      </c>
      <c r="B736" s="2613">
        <f t="shared" si="117"/>
        <v>0</v>
      </c>
      <c r="C736" s="408">
        <f t="shared" si="118"/>
        <v>0</v>
      </c>
      <c r="D736" s="2608">
        <f t="shared" si="119"/>
        <v>0</v>
      </c>
      <c r="E736" s="2439">
        <f t="shared" si="120"/>
        <v>0</v>
      </c>
      <c r="F736" s="2612">
        <f t="shared" si="121"/>
        <v>0</v>
      </c>
      <c r="G736" s="408">
        <f t="shared" si="122"/>
        <v>0</v>
      </c>
      <c r="H736" s="2612">
        <f t="shared" si="123"/>
        <v>0</v>
      </c>
      <c r="I736" s="2583">
        <f t="shared" si="124"/>
        <v>0</v>
      </c>
      <c r="J736" s="2613">
        <f t="shared" si="125"/>
        <v>0</v>
      </c>
      <c r="K736" s="2439">
        <f t="shared" si="126"/>
        <v>0</v>
      </c>
      <c r="L736" s="2612">
        <f t="shared" si="127"/>
        <v>0</v>
      </c>
      <c r="M736" s="2583">
        <f t="shared" si="128"/>
        <v>0</v>
      </c>
    </row>
    <row r="737" spans="1:13" x14ac:dyDescent="0.25">
      <c r="A737" s="2611">
        <v>35</v>
      </c>
      <c r="B737" s="2613">
        <f t="shared" si="117"/>
        <v>0</v>
      </c>
      <c r="C737" s="408">
        <f t="shared" si="118"/>
        <v>0</v>
      </c>
      <c r="D737" s="2608">
        <f t="shared" si="119"/>
        <v>0</v>
      </c>
      <c r="E737" s="2439">
        <f t="shared" si="120"/>
        <v>0</v>
      </c>
      <c r="F737" s="2612">
        <f t="shared" si="121"/>
        <v>0</v>
      </c>
      <c r="G737" s="408">
        <f t="shared" si="122"/>
        <v>0</v>
      </c>
      <c r="H737" s="2612">
        <f t="shared" si="123"/>
        <v>0</v>
      </c>
      <c r="I737" s="2583">
        <f t="shared" si="124"/>
        <v>0</v>
      </c>
      <c r="J737" s="2613">
        <f t="shared" si="125"/>
        <v>0</v>
      </c>
      <c r="K737" s="2439">
        <f t="shared" si="126"/>
        <v>0</v>
      </c>
      <c r="L737" s="2612">
        <f t="shared" si="127"/>
        <v>0</v>
      </c>
      <c r="M737" s="2583">
        <f t="shared" si="128"/>
        <v>0</v>
      </c>
    </row>
    <row r="738" spans="1:13" x14ac:dyDescent="0.25">
      <c r="A738" s="2611">
        <v>36</v>
      </c>
      <c r="B738" s="2613">
        <f t="shared" si="117"/>
        <v>0</v>
      </c>
      <c r="C738" s="408">
        <f t="shared" si="118"/>
        <v>0</v>
      </c>
      <c r="D738" s="2608">
        <f t="shared" si="119"/>
        <v>0</v>
      </c>
      <c r="E738" s="2439">
        <f t="shared" si="120"/>
        <v>0</v>
      </c>
      <c r="F738" s="2612">
        <f t="shared" si="121"/>
        <v>0</v>
      </c>
      <c r="G738" s="408">
        <f t="shared" si="122"/>
        <v>0</v>
      </c>
      <c r="H738" s="2612">
        <f t="shared" si="123"/>
        <v>0</v>
      </c>
      <c r="I738" s="2583">
        <f t="shared" si="124"/>
        <v>0</v>
      </c>
      <c r="J738" s="2613">
        <f t="shared" si="125"/>
        <v>0</v>
      </c>
      <c r="K738" s="2439">
        <f t="shared" si="126"/>
        <v>0</v>
      </c>
      <c r="L738" s="2612">
        <f t="shared" si="127"/>
        <v>0</v>
      </c>
      <c r="M738" s="2583">
        <f t="shared" si="128"/>
        <v>0</v>
      </c>
    </row>
    <row r="739" spans="1:13" x14ac:dyDescent="0.25">
      <c r="A739" s="2611">
        <v>37</v>
      </c>
      <c r="B739" s="2613">
        <f t="shared" si="117"/>
        <v>0</v>
      </c>
      <c r="C739" s="408">
        <f t="shared" si="118"/>
        <v>0</v>
      </c>
      <c r="D739" s="2608">
        <f t="shared" si="119"/>
        <v>0</v>
      </c>
      <c r="E739" s="2439">
        <f t="shared" si="120"/>
        <v>0</v>
      </c>
      <c r="F739" s="2612">
        <f t="shared" si="121"/>
        <v>0</v>
      </c>
      <c r="G739" s="408">
        <f t="shared" si="122"/>
        <v>0</v>
      </c>
      <c r="H739" s="2612">
        <f t="shared" si="123"/>
        <v>0</v>
      </c>
      <c r="I739" s="2583">
        <f t="shared" si="124"/>
        <v>0</v>
      </c>
      <c r="J739" s="2613">
        <f t="shared" si="125"/>
        <v>0</v>
      </c>
      <c r="K739" s="2439">
        <f t="shared" si="126"/>
        <v>0</v>
      </c>
      <c r="L739" s="2612">
        <f t="shared" si="127"/>
        <v>0</v>
      </c>
      <c r="M739" s="2583">
        <f t="shared" si="128"/>
        <v>0</v>
      </c>
    </row>
    <row r="740" spans="1:13" x14ac:dyDescent="0.25">
      <c r="A740" s="2611">
        <v>38</v>
      </c>
      <c r="B740" s="2613">
        <f t="shared" si="117"/>
        <v>0</v>
      </c>
      <c r="C740" s="408">
        <f t="shared" si="118"/>
        <v>0</v>
      </c>
      <c r="D740" s="2608">
        <f t="shared" si="119"/>
        <v>0</v>
      </c>
      <c r="E740" s="2439">
        <f t="shared" si="120"/>
        <v>0</v>
      </c>
      <c r="F740" s="2612">
        <f t="shared" si="121"/>
        <v>0</v>
      </c>
      <c r="G740" s="408">
        <f t="shared" si="122"/>
        <v>0</v>
      </c>
      <c r="H740" s="2612">
        <f t="shared" si="123"/>
        <v>0</v>
      </c>
      <c r="I740" s="2583">
        <f t="shared" si="124"/>
        <v>0</v>
      </c>
      <c r="J740" s="2613">
        <f t="shared" si="125"/>
        <v>0</v>
      </c>
      <c r="K740" s="2439">
        <f t="shared" si="126"/>
        <v>0</v>
      </c>
      <c r="L740" s="2612">
        <f t="shared" si="127"/>
        <v>0</v>
      </c>
      <c r="M740" s="2583">
        <f t="shared" si="128"/>
        <v>0</v>
      </c>
    </row>
    <row r="741" spans="1:13" x14ac:dyDescent="0.25">
      <c r="A741" s="2611">
        <v>39</v>
      </c>
      <c r="B741" s="2613">
        <f t="shared" si="117"/>
        <v>0</v>
      </c>
      <c r="C741" s="408">
        <f t="shared" si="118"/>
        <v>0</v>
      </c>
      <c r="D741" s="2608">
        <f t="shared" si="119"/>
        <v>0</v>
      </c>
      <c r="E741" s="2439">
        <f t="shared" si="120"/>
        <v>0</v>
      </c>
      <c r="F741" s="2612">
        <f t="shared" si="121"/>
        <v>0</v>
      </c>
      <c r="G741" s="408">
        <f t="shared" si="122"/>
        <v>0</v>
      </c>
      <c r="H741" s="2612">
        <f t="shared" si="123"/>
        <v>0</v>
      </c>
      <c r="I741" s="2583">
        <f t="shared" si="124"/>
        <v>0</v>
      </c>
      <c r="J741" s="2613">
        <f t="shared" si="125"/>
        <v>0</v>
      </c>
      <c r="K741" s="2439">
        <f t="shared" si="126"/>
        <v>0</v>
      </c>
      <c r="L741" s="2612">
        <f t="shared" si="127"/>
        <v>0</v>
      </c>
      <c r="M741" s="2583">
        <f t="shared" si="128"/>
        <v>0</v>
      </c>
    </row>
    <row r="742" spans="1:13" x14ac:dyDescent="0.25">
      <c r="A742" s="2611">
        <v>40</v>
      </c>
      <c r="B742" s="2613">
        <f t="shared" si="117"/>
        <v>0</v>
      </c>
      <c r="C742" s="408">
        <f t="shared" si="118"/>
        <v>0</v>
      </c>
      <c r="D742" s="2608">
        <f t="shared" si="119"/>
        <v>0</v>
      </c>
      <c r="E742" s="2439">
        <f t="shared" si="120"/>
        <v>0</v>
      </c>
      <c r="F742" s="2612">
        <f t="shared" si="121"/>
        <v>0</v>
      </c>
      <c r="G742" s="408">
        <f t="shared" si="122"/>
        <v>0</v>
      </c>
      <c r="H742" s="2612">
        <f t="shared" si="123"/>
        <v>0</v>
      </c>
      <c r="I742" s="2583">
        <f t="shared" si="124"/>
        <v>0</v>
      </c>
      <c r="J742" s="2613">
        <f t="shared" si="125"/>
        <v>0</v>
      </c>
      <c r="K742" s="2439">
        <f t="shared" si="126"/>
        <v>0</v>
      </c>
      <c r="L742" s="2612">
        <f t="shared" si="127"/>
        <v>0</v>
      </c>
      <c r="M742" s="2583">
        <f t="shared" si="128"/>
        <v>0</v>
      </c>
    </row>
    <row r="743" spans="1:13" x14ac:dyDescent="0.25">
      <c r="A743" s="2611">
        <v>41</v>
      </c>
      <c r="B743" s="2613">
        <f t="shared" si="117"/>
        <v>0</v>
      </c>
      <c r="C743" s="408">
        <f t="shared" si="118"/>
        <v>0</v>
      </c>
      <c r="D743" s="2608">
        <f t="shared" si="119"/>
        <v>0</v>
      </c>
      <c r="E743" s="2439">
        <f t="shared" si="120"/>
        <v>0</v>
      </c>
      <c r="F743" s="2612">
        <f t="shared" si="121"/>
        <v>0</v>
      </c>
      <c r="G743" s="408">
        <f t="shared" si="122"/>
        <v>0</v>
      </c>
      <c r="H743" s="2612">
        <f t="shared" si="123"/>
        <v>0</v>
      </c>
      <c r="I743" s="2583">
        <f t="shared" si="124"/>
        <v>0</v>
      </c>
      <c r="J743" s="2613">
        <f t="shared" si="125"/>
        <v>0</v>
      </c>
      <c r="K743" s="2439">
        <f t="shared" si="126"/>
        <v>0</v>
      </c>
      <c r="L743" s="2612">
        <f t="shared" si="127"/>
        <v>0</v>
      </c>
      <c r="M743" s="2583">
        <f t="shared" si="128"/>
        <v>0</v>
      </c>
    </row>
    <row r="744" spans="1:13" x14ac:dyDescent="0.25">
      <c r="A744" s="2611">
        <v>42</v>
      </c>
      <c r="B744" s="2613">
        <f t="shared" si="117"/>
        <v>0</v>
      </c>
      <c r="C744" s="408">
        <f t="shared" si="118"/>
        <v>0</v>
      </c>
      <c r="D744" s="2608">
        <f t="shared" si="119"/>
        <v>0</v>
      </c>
      <c r="E744" s="2439">
        <f t="shared" si="120"/>
        <v>0</v>
      </c>
      <c r="F744" s="2612">
        <f t="shared" si="121"/>
        <v>0</v>
      </c>
      <c r="G744" s="408">
        <f t="shared" si="122"/>
        <v>0</v>
      </c>
      <c r="H744" s="2612">
        <f t="shared" si="123"/>
        <v>0</v>
      </c>
      <c r="I744" s="2583">
        <f t="shared" si="124"/>
        <v>0</v>
      </c>
      <c r="J744" s="2613">
        <f t="shared" si="125"/>
        <v>0</v>
      </c>
      <c r="K744" s="2439">
        <f t="shared" si="126"/>
        <v>0</v>
      </c>
      <c r="L744" s="2612">
        <f t="shared" si="127"/>
        <v>0</v>
      </c>
      <c r="M744" s="2583">
        <f t="shared" si="128"/>
        <v>0</v>
      </c>
    </row>
    <row r="745" spans="1:13" x14ac:dyDescent="0.25">
      <c r="A745" s="2611">
        <v>43</v>
      </c>
      <c r="B745" s="2613">
        <f t="shared" si="117"/>
        <v>0</v>
      </c>
      <c r="C745" s="408">
        <f t="shared" si="118"/>
        <v>0</v>
      </c>
      <c r="D745" s="2608">
        <f t="shared" si="119"/>
        <v>0</v>
      </c>
      <c r="E745" s="2439">
        <f t="shared" si="120"/>
        <v>0</v>
      </c>
      <c r="F745" s="2612">
        <f t="shared" si="121"/>
        <v>0</v>
      </c>
      <c r="G745" s="408">
        <f t="shared" si="122"/>
        <v>0</v>
      </c>
      <c r="H745" s="2612">
        <f t="shared" si="123"/>
        <v>0</v>
      </c>
      <c r="I745" s="2583">
        <f t="shared" si="124"/>
        <v>0</v>
      </c>
      <c r="J745" s="2613">
        <f t="shared" si="125"/>
        <v>0</v>
      </c>
      <c r="K745" s="2439">
        <f t="shared" si="126"/>
        <v>0</v>
      </c>
      <c r="L745" s="2612">
        <f t="shared" si="127"/>
        <v>0</v>
      </c>
      <c r="M745" s="2583">
        <f t="shared" si="128"/>
        <v>0</v>
      </c>
    </row>
    <row r="746" spans="1:13" x14ac:dyDescent="0.25">
      <c r="A746" s="2611">
        <v>44</v>
      </c>
      <c r="B746" s="2613">
        <f t="shared" si="117"/>
        <v>0</v>
      </c>
      <c r="C746" s="408">
        <f t="shared" si="118"/>
        <v>0</v>
      </c>
      <c r="D746" s="2608">
        <f t="shared" si="119"/>
        <v>0</v>
      </c>
      <c r="E746" s="2439">
        <f t="shared" si="120"/>
        <v>0</v>
      </c>
      <c r="F746" s="2612">
        <f t="shared" si="121"/>
        <v>0</v>
      </c>
      <c r="G746" s="408">
        <f t="shared" si="122"/>
        <v>0</v>
      </c>
      <c r="H746" s="2612">
        <f t="shared" si="123"/>
        <v>0</v>
      </c>
      <c r="I746" s="2583">
        <f t="shared" si="124"/>
        <v>0</v>
      </c>
      <c r="J746" s="2613">
        <f t="shared" si="125"/>
        <v>0</v>
      </c>
      <c r="K746" s="2439">
        <f t="shared" si="126"/>
        <v>0</v>
      </c>
      <c r="L746" s="2612">
        <f t="shared" si="127"/>
        <v>0</v>
      </c>
      <c r="M746" s="2583">
        <f t="shared" si="128"/>
        <v>0</v>
      </c>
    </row>
    <row r="747" spans="1:13" x14ac:dyDescent="0.25">
      <c r="A747" s="2611">
        <v>45</v>
      </c>
      <c r="B747" s="2613">
        <f t="shared" si="117"/>
        <v>0</v>
      </c>
      <c r="C747" s="408">
        <f t="shared" si="118"/>
        <v>0</v>
      </c>
      <c r="D747" s="2608">
        <f t="shared" si="119"/>
        <v>0</v>
      </c>
      <c r="E747" s="2439">
        <f t="shared" si="120"/>
        <v>0</v>
      </c>
      <c r="F747" s="2612">
        <f t="shared" si="121"/>
        <v>0</v>
      </c>
      <c r="G747" s="408">
        <f t="shared" si="122"/>
        <v>0</v>
      </c>
      <c r="H747" s="2612">
        <f t="shared" si="123"/>
        <v>0</v>
      </c>
      <c r="I747" s="2583">
        <f t="shared" si="124"/>
        <v>0</v>
      </c>
      <c r="J747" s="2613">
        <f t="shared" si="125"/>
        <v>0</v>
      </c>
      <c r="K747" s="2439">
        <f t="shared" si="126"/>
        <v>0</v>
      </c>
      <c r="L747" s="2612">
        <f t="shared" si="127"/>
        <v>0</v>
      </c>
      <c r="M747" s="2583">
        <f t="shared" si="128"/>
        <v>0</v>
      </c>
    </row>
    <row r="748" spans="1:13" x14ac:dyDescent="0.25">
      <c r="A748" s="2611">
        <v>46</v>
      </c>
      <c r="B748" s="2613">
        <f t="shared" si="117"/>
        <v>0</v>
      </c>
      <c r="C748" s="408">
        <f t="shared" si="118"/>
        <v>0</v>
      </c>
      <c r="D748" s="2608">
        <f t="shared" si="119"/>
        <v>0</v>
      </c>
      <c r="E748" s="2439">
        <f t="shared" si="120"/>
        <v>0</v>
      </c>
      <c r="F748" s="2612">
        <f t="shared" si="121"/>
        <v>0</v>
      </c>
      <c r="G748" s="408">
        <f t="shared" si="122"/>
        <v>0</v>
      </c>
      <c r="H748" s="2612">
        <f t="shared" si="123"/>
        <v>0</v>
      </c>
      <c r="I748" s="2583">
        <f t="shared" si="124"/>
        <v>0</v>
      </c>
      <c r="J748" s="2613">
        <f t="shared" si="125"/>
        <v>0</v>
      </c>
      <c r="K748" s="2439">
        <f t="shared" si="126"/>
        <v>0</v>
      </c>
      <c r="L748" s="2612">
        <f t="shared" si="127"/>
        <v>0</v>
      </c>
      <c r="M748" s="2583">
        <f t="shared" si="128"/>
        <v>0</v>
      </c>
    </row>
    <row r="749" spans="1:13" x14ac:dyDescent="0.25">
      <c r="A749" s="2611">
        <v>47</v>
      </c>
      <c r="B749" s="2613">
        <f t="shared" si="117"/>
        <v>0</v>
      </c>
      <c r="C749" s="408">
        <f t="shared" si="118"/>
        <v>0</v>
      </c>
      <c r="D749" s="2608">
        <f t="shared" si="119"/>
        <v>0</v>
      </c>
      <c r="E749" s="2439">
        <f t="shared" si="120"/>
        <v>0</v>
      </c>
      <c r="F749" s="2612">
        <f t="shared" si="121"/>
        <v>0</v>
      </c>
      <c r="G749" s="408">
        <f t="shared" si="122"/>
        <v>0</v>
      </c>
      <c r="H749" s="2612">
        <f t="shared" si="123"/>
        <v>0</v>
      </c>
      <c r="I749" s="2583">
        <f t="shared" si="124"/>
        <v>0</v>
      </c>
      <c r="J749" s="2613">
        <f t="shared" si="125"/>
        <v>0</v>
      </c>
      <c r="K749" s="2439">
        <f t="shared" si="126"/>
        <v>0</v>
      </c>
      <c r="L749" s="2612">
        <f t="shared" si="127"/>
        <v>0</v>
      </c>
      <c r="M749" s="2583">
        <f t="shared" si="128"/>
        <v>0</v>
      </c>
    </row>
    <row r="750" spans="1:13" x14ac:dyDescent="0.25">
      <c r="A750" s="2611">
        <v>48</v>
      </c>
      <c r="B750" s="2613">
        <f t="shared" si="117"/>
        <v>0</v>
      </c>
      <c r="C750" s="408">
        <f t="shared" si="118"/>
        <v>0</v>
      </c>
      <c r="D750" s="2608">
        <f t="shared" si="119"/>
        <v>0</v>
      </c>
      <c r="E750" s="2439">
        <f t="shared" si="120"/>
        <v>0</v>
      </c>
      <c r="F750" s="2612">
        <f t="shared" si="121"/>
        <v>0</v>
      </c>
      <c r="G750" s="408">
        <f t="shared" si="122"/>
        <v>0</v>
      </c>
      <c r="H750" s="2612">
        <f t="shared" si="123"/>
        <v>0</v>
      </c>
      <c r="I750" s="2583">
        <f t="shared" si="124"/>
        <v>0</v>
      </c>
      <c r="J750" s="2613">
        <f t="shared" si="125"/>
        <v>0</v>
      </c>
      <c r="K750" s="2439">
        <f t="shared" si="126"/>
        <v>0</v>
      </c>
      <c r="L750" s="2612">
        <f t="shared" si="127"/>
        <v>0</v>
      </c>
      <c r="M750" s="2583">
        <f t="shared" si="128"/>
        <v>0</v>
      </c>
    </row>
    <row r="751" spans="1:13" x14ac:dyDescent="0.25">
      <c r="A751" s="2611">
        <v>49</v>
      </c>
      <c r="B751" s="2613">
        <f t="shared" si="117"/>
        <v>0</v>
      </c>
      <c r="C751" s="408">
        <f t="shared" si="118"/>
        <v>0</v>
      </c>
      <c r="D751" s="2608">
        <f t="shared" si="119"/>
        <v>0</v>
      </c>
      <c r="E751" s="2439">
        <f t="shared" si="120"/>
        <v>0</v>
      </c>
      <c r="F751" s="2612">
        <f t="shared" si="121"/>
        <v>0</v>
      </c>
      <c r="G751" s="408">
        <f t="shared" si="122"/>
        <v>0</v>
      </c>
      <c r="H751" s="2612">
        <f t="shared" si="123"/>
        <v>0</v>
      </c>
      <c r="I751" s="2583">
        <f t="shared" si="124"/>
        <v>0</v>
      </c>
      <c r="J751" s="2613">
        <f t="shared" si="125"/>
        <v>0</v>
      </c>
      <c r="K751" s="2439">
        <f t="shared" si="126"/>
        <v>0</v>
      </c>
      <c r="L751" s="2612">
        <f t="shared" si="127"/>
        <v>0</v>
      </c>
      <c r="M751" s="2583">
        <f t="shared" si="128"/>
        <v>0</v>
      </c>
    </row>
    <row r="752" spans="1:13" x14ac:dyDescent="0.25">
      <c r="A752" s="2611">
        <v>50</v>
      </c>
      <c r="B752" s="2613">
        <f t="shared" si="117"/>
        <v>0</v>
      </c>
      <c r="C752" s="408">
        <f t="shared" si="118"/>
        <v>0</v>
      </c>
      <c r="D752" s="2608">
        <f t="shared" si="119"/>
        <v>0</v>
      </c>
      <c r="E752" s="2439">
        <f t="shared" si="120"/>
        <v>0</v>
      </c>
      <c r="F752" s="2612">
        <f t="shared" si="121"/>
        <v>0</v>
      </c>
      <c r="G752" s="408">
        <f t="shared" si="122"/>
        <v>0</v>
      </c>
      <c r="H752" s="2612">
        <f t="shared" si="123"/>
        <v>0</v>
      </c>
      <c r="I752" s="2583">
        <f t="shared" si="124"/>
        <v>0</v>
      </c>
      <c r="J752" s="2613">
        <f t="shared" si="125"/>
        <v>0</v>
      </c>
      <c r="K752" s="2439">
        <f t="shared" si="126"/>
        <v>0</v>
      </c>
      <c r="L752" s="2612">
        <f t="shared" si="127"/>
        <v>0</v>
      </c>
      <c r="M752" s="2583">
        <f t="shared" si="128"/>
        <v>0</v>
      </c>
    </row>
    <row r="753" spans="1:13" x14ac:dyDescent="0.25">
      <c r="A753" s="2611">
        <v>51</v>
      </c>
      <c r="B753" s="2613">
        <f t="shared" si="117"/>
        <v>0</v>
      </c>
      <c r="C753" s="408">
        <f t="shared" si="118"/>
        <v>0</v>
      </c>
      <c r="D753" s="2608">
        <f t="shared" si="119"/>
        <v>0</v>
      </c>
      <c r="E753" s="2439">
        <f t="shared" si="120"/>
        <v>0</v>
      </c>
      <c r="F753" s="2612">
        <f t="shared" si="121"/>
        <v>0</v>
      </c>
      <c r="G753" s="408">
        <f t="shared" si="122"/>
        <v>0</v>
      </c>
      <c r="H753" s="2612">
        <f t="shared" si="123"/>
        <v>0</v>
      </c>
      <c r="I753" s="2583">
        <f t="shared" si="124"/>
        <v>0</v>
      </c>
      <c r="J753" s="2613">
        <f t="shared" si="125"/>
        <v>0</v>
      </c>
      <c r="K753" s="2439">
        <f t="shared" si="126"/>
        <v>0</v>
      </c>
      <c r="L753" s="2612">
        <f t="shared" si="127"/>
        <v>0</v>
      </c>
      <c r="M753" s="2583">
        <f t="shared" si="128"/>
        <v>0</v>
      </c>
    </row>
    <row r="754" spans="1:13" x14ac:dyDescent="0.25">
      <c r="A754" s="2611">
        <v>52</v>
      </c>
      <c r="B754" s="2613">
        <f t="shared" si="117"/>
        <v>0</v>
      </c>
      <c r="C754" s="408">
        <f t="shared" si="118"/>
        <v>0</v>
      </c>
      <c r="D754" s="2608">
        <f t="shared" si="119"/>
        <v>0</v>
      </c>
      <c r="E754" s="2439">
        <f t="shared" si="120"/>
        <v>0</v>
      </c>
      <c r="F754" s="2612">
        <f t="shared" si="121"/>
        <v>0</v>
      </c>
      <c r="G754" s="408">
        <f t="shared" si="122"/>
        <v>0</v>
      </c>
      <c r="H754" s="2612">
        <f t="shared" si="123"/>
        <v>0</v>
      </c>
      <c r="I754" s="2583">
        <f t="shared" si="124"/>
        <v>0</v>
      </c>
      <c r="J754" s="2613">
        <f t="shared" si="125"/>
        <v>0</v>
      </c>
      <c r="K754" s="2439">
        <f t="shared" si="126"/>
        <v>0</v>
      </c>
      <c r="L754" s="2612">
        <f t="shared" si="127"/>
        <v>0</v>
      </c>
      <c r="M754" s="2583">
        <f t="shared" si="128"/>
        <v>0</v>
      </c>
    </row>
    <row r="755" spans="1:13" x14ac:dyDescent="0.25">
      <c r="A755" s="2611">
        <v>53</v>
      </c>
      <c r="B755" s="2613">
        <f t="shared" si="117"/>
        <v>0</v>
      </c>
      <c r="C755" s="408">
        <f t="shared" si="118"/>
        <v>0</v>
      </c>
      <c r="D755" s="2608">
        <f t="shared" si="119"/>
        <v>0</v>
      </c>
      <c r="E755" s="2439">
        <f t="shared" si="120"/>
        <v>0</v>
      </c>
      <c r="F755" s="2612">
        <f t="shared" si="121"/>
        <v>0</v>
      </c>
      <c r="G755" s="408">
        <f t="shared" si="122"/>
        <v>0</v>
      </c>
      <c r="H755" s="2612">
        <f t="shared" si="123"/>
        <v>0</v>
      </c>
      <c r="I755" s="2583">
        <f t="shared" si="124"/>
        <v>0</v>
      </c>
      <c r="J755" s="2613">
        <f t="shared" si="125"/>
        <v>0</v>
      </c>
      <c r="K755" s="2439">
        <f t="shared" si="126"/>
        <v>0</v>
      </c>
      <c r="L755" s="2612">
        <f t="shared" si="127"/>
        <v>0</v>
      </c>
      <c r="M755" s="2583">
        <f t="shared" si="128"/>
        <v>0</v>
      </c>
    </row>
    <row r="756" spans="1:13" x14ac:dyDescent="0.25">
      <c r="A756" s="2611">
        <v>54</v>
      </c>
      <c r="B756" s="2613">
        <f t="shared" si="117"/>
        <v>0</v>
      </c>
      <c r="C756" s="408">
        <f t="shared" si="118"/>
        <v>0</v>
      </c>
      <c r="D756" s="2608">
        <f t="shared" si="119"/>
        <v>0</v>
      </c>
      <c r="E756" s="2439">
        <f t="shared" si="120"/>
        <v>0</v>
      </c>
      <c r="F756" s="2612">
        <f t="shared" si="121"/>
        <v>0</v>
      </c>
      <c r="G756" s="408">
        <f t="shared" si="122"/>
        <v>0</v>
      </c>
      <c r="H756" s="2612">
        <f t="shared" si="123"/>
        <v>0</v>
      </c>
      <c r="I756" s="2583">
        <f t="shared" si="124"/>
        <v>0</v>
      </c>
      <c r="J756" s="2613">
        <f t="shared" si="125"/>
        <v>0</v>
      </c>
      <c r="K756" s="2439">
        <f t="shared" si="126"/>
        <v>0</v>
      </c>
      <c r="L756" s="2612">
        <f t="shared" si="127"/>
        <v>0</v>
      </c>
      <c r="M756" s="2583">
        <f t="shared" si="128"/>
        <v>0</v>
      </c>
    </row>
    <row r="757" spans="1:13" x14ac:dyDescent="0.25">
      <c r="A757" s="2611">
        <v>55</v>
      </c>
      <c r="B757" s="2613">
        <f t="shared" si="117"/>
        <v>0</v>
      </c>
      <c r="C757" s="408">
        <f t="shared" si="118"/>
        <v>0</v>
      </c>
      <c r="D757" s="2608">
        <f t="shared" si="119"/>
        <v>0</v>
      </c>
      <c r="E757" s="2439">
        <f t="shared" si="120"/>
        <v>0</v>
      </c>
      <c r="F757" s="2612">
        <f t="shared" si="121"/>
        <v>0</v>
      </c>
      <c r="G757" s="408">
        <f t="shared" si="122"/>
        <v>0</v>
      </c>
      <c r="H757" s="2612">
        <f t="shared" si="123"/>
        <v>0</v>
      </c>
      <c r="I757" s="2583">
        <f t="shared" si="124"/>
        <v>0</v>
      </c>
      <c r="J757" s="2613">
        <f t="shared" si="125"/>
        <v>0</v>
      </c>
      <c r="K757" s="2439">
        <f t="shared" si="126"/>
        <v>0</v>
      </c>
      <c r="L757" s="2612">
        <f t="shared" si="127"/>
        <v>0</v>
      </c>
      <c r="M757" s="2583">
        <f t="shared" si="128"/>
        <v>0</v>
      </c>
    </row>
    <row r="758" spans="1:13" x14ac:dyDescent="0.25">
      <c r="A758" s="2611">
        <v>56</v>
      </c>
      <c r="B758" s="2613">
        <f t="shared" si="117"/>
        <v>0</v>
      </c>
      <c r="C758" s="408">
        <f t="shared" si="118"/>
        <v>0</v>
      </c>
      <c r="D758" s="2608">
        <f t="shared" si="119"/>
        <v>0</v>
      </c>
      <c r="E758" s="2439">
        <f t="shared" si="120"/>
        <v>0</v>
      </c>
      <c r="F758" s="2612">
        <f t="shared" si="121"/>
        <v>0</v>
      </c>
      <c r="G758" s="408">
        <f t="shared" si="122"/>
        <v>0</v>
      </c>
      <c r="H758" s="2612">
        <f t="shared" si="123"/>
        <v>0</v>
      </c>
      <c r="I758" s="2583">
        <f t="shared" si="124"/>
        <v>0</v>
      </c>
      <c r="J758" s="2613">
        <f t="shared" si="125"/>
        <v>0</v>
      </c>
      <c r="K758" s="2439">
        <f t="shared" si="126"/>
        <v>0</v>
      </c>
      <c r="L758" s="2612">
        <f t="shared" si="127"/>
        <v>0</v>
      </c>
      <c r="M758" s="2583">
        <f t="shared" si="128"/>
        <v>0</v>
      </c>
    </row>
    <row r="759" spans="1:13" x14ac:dyDescent="0.25">
      <c r="A759" s="2611">
        <v>57</v>
      </c>
      <c r="B759" s="2613">
        <f t="shared" si="117"/>
        <v>0</v>
      </c>
      <c r="C759" s="408">
        <f t="shared" si="118"/>
        <v>0</v>
      </c>
      <c r="D759" s="2608">
        <f t="shared" si="119"/>
        <v>0</v>
      </c>
      <c r="E759" s="2439">
        <f t="shared" si="120"/>
        <v>0</v>
      </c>
      <c r="F759" s="2612">
        <f t="shared" si="121"/>
        <v>0</v>
      </c>
      <c r="G759" s="408">
        <f t="shared" si="122"/>
        <v>0</v>
      </c>
      <c r="H759" s="2612">
        <f t="shared" si="123"/>
        <v>0</v>
      </c>
      <c r="I759" s="2583">
        <f t="shared" si="124"/>
        <v>0</v>
      </c>
      <c r="J759" s="2613">
        <f t="shared" si="125"/>
        <v>0</v>
      </c>
      <c r="K759" s="2439">
        <f t="shared" si="126"/>
        <v>0</v>
      </c>
      <c r="L759" s="2612">
        <f t="shared" si="127"/>
        <v>0</v>
      </c>
      <c r="M759" s="2583">
        <f t="shared" si="128"/>
        <v>0</v>
      </c>
    </row>
    <row r="760" spans="1:13" x14ac:dyDescent="0.25">
      <c r="A760" s="2611">
        <v>58</v>
      </c>
      <c r="B760" s="2613">
        <f t="shared" si="117"/>
        <v>0</v>
      </c>
      <c r="C760" s="408">
        <f t="shared" si="118"/>
        <v>0</v>
      </c>
      <c r="D760" s="2608">
        <f t="shared" si="119"/>
        <v>0</v>
      </c>
      <c r="E760" s="2439">
        <f t="shared" si="120"/>
        <v>0</v>
      </c>
      <c r="F760" s="2612">
        <f t="shared" si="121"/>
        <v>0</v>
      </c>
      <c r="G760" s="408">
        <f t="shared" si="122"/>
        <v>0</v>
      </c>
      <c r="H760" s="2612">
        <f t="shared" si="123"/>
        <v>0</v>
      </c>
      <c r="I760" s="2583">
        <f t="shared" si="124"/>
        <v>0</v>
      </c>
      <c r="J760" s="2613">
        <f t="shared" si="125"/>
        <v>0</v>
      </c>
      <c r="K760" s="2439">
        <f t="shared" si="126"/>
        <v>0</v>
      </c>
      <c r="L760" s="2612">
        <f t="shared" si="127"/>
        <v>0</v>
      </c>
      <c r="M760" s="2583">
        <f t="shared" si="128"/>
        <v>0</v>
      </c>
    </row>
    <row r="761" spans="1:13" x14ac:dyDescent="0.25">
      <c r="A761" s="2611">
        <v>59</v>
      </c>
      <c r="B761" s="2613">
        <f t="shared" si="117"/>
        <v>0</v>
      </c>
      <c r="C761" s="408">
        <f t="shared" si="118"/>
        <v>0</v>
      </c>
      <c r="D761" s="2608">
        <f t="shared" si="119"/>
        <v>0</v>
      </c>
      <c r="E761" s="2439">
        <f t="shared" si="120"/>
        <v>0</v>
      </c>
      <c r="F761" s="2612">
        <f t="shared" si="121"/>
        <v>0</v>
      </c>
      <c r="G761" s="408">
        <f t="shared" si="122"/>
        <v>0</v>
      </c>
      <c r="H761" s="2612">
        <f t="shared" si="123"/>
        <v>0</v>
      </c>
      <c r="I761" s="2583">
        <f t="shared" si="124"/>
        <v>0</v>
      </c>
      <c r="J761" s="2613">
        <f t="shared" si="125"/>
        <v>0</v>
      </c>
      <c r="K761" s="2439">
        <f t="shared" si="126"/>
        <v>0</v>
      </c>
      <c r="L761" s="2612">
        <f t="shared" si="127"/>
        <v>0</v>
      </c>
      <c r="M761" s="2583">
        <f t="shared" si="128"/>
        <v>0</v>
      </c>
    </row>
    <row r="762" spans="1:13" x14ac:dyDescent="0.25">
      <c r="A762" s="2611">
        <v>60</v>
      </c>
      <c r="B762" s="2613">
        <f t="shared" si="117"/>
        <v>0</v>
      </c>
      <c r="C762" s="408">
        <f t="shared" si="118"/>
        <v>0</v>
      </c>
      <c r="D762" s="2608">
        <f t="shared" si="119"/>
        <v>0</v>
      </c>
      <c r="E762" s="2439">
        <f t="shared" si="120"/>
        <v>0</v>
      </c>
      <c r="F762" s="2612">
        <f t="shared" si="121"/>
        <v>0</v>
      </c>
      <c r="G762" s="408">
        <f t="shared" si="122"/>
        <v>0</v>
      </c>
      <c r="H762" s="2612">
        <f t="shared" si="123"/>
        <v>0</v>
      </c>
      <c r="I762" s="2583">
        <f t="shared" si="124"/>
        <v>0</v>
      </c>
      <c r="J762" s="2613">
        <f t="shared" si="125"/>
        <v>0</v>
      </c>
      <c r="K762" s="2439">
        <f t="shared" si="126"/>
        <v>0</v>
      </c>
      <c r="L762" s="2612">
        <f t="shared" si="127"/>
        <v>0</v>
      </c>
      <c r="M762" s="2583">
        <f t="shared" si="128"/>
        <v>0</v>
      </c>
    </row>
    <row r="763" spans="1:13" x14ac:dyDescent="0.25">
      <c r="A763" s="2611">
        <v>61</v>
      </c>
      <c r="B763" s="2613">
        <f t="shared" si="117"/>
        <v>0</v>
      </c>
      <c r="C763" s="408">
        <f t="shared" si="118"/>
        <v>0</v>
      </c>
      <c r="D763" s="2608">
        <f t="shared" si="119"/>
        <v>0</v>
      </c>
      <c r="E763" s="2439">
        <f t="shared" si="120"/>
        <v>0</v>
      </c>
      <c r="F763" s="2612">
        <f t="shared" si="121"/>
        <v>0</v>
      </c>
      <c r="G763" s="408">
        <f t="shared" si="122"/>
        <v>0</v>
      </c>
      <c r="H763" s="2612">
        <f t="shared" si="123"/>
        <v>0</v>
      </c>
      <c r="I763" s="2583">
        <f t="shared" si="124"/>
        <v>0</v>
      </c>
      <c r="J763" s="2613">
        <f t="shared" si="125"/>
        <v>0</v>
      </c>
      <c r="K763" s="2439">
        <f t="shared" si="126"/>
        <v>0</v>
      </c>
      <c r="L763" s="2612">
        <f t="shared" si="127"/>
        <v>0</v>
      </c>
      <c r="M763" s="2583">
        <f t="shared" si="128"/>
        <v>0</v>
      </c>
    </row>
    <row r="764" spans="1:13" x14ac:dyDescent="0.25">
      <c r="A764" s="2611">
        <v>62</v>
      </c>
      <c r="B764" s="2613">
        <f t="shared" si="117"/>
        <v>0</v>
      </c>
      <c r="C764" s="408">
        <f t="shared" si="118"/>
        <v>0</v>
      </c>
      <c r="D764" s="2608">
        <f t="shared" si="119"/>
        <v>0</v>
      </c>
      <c r="E764" s="2439">
        <f t="shared" si="120"/>
        <v>0</v>
      </c>
      <c r="F764" s="2612">
        <f t="shared" si="121"/>
        <v>0</v>
      </c>
      <c r="G764" s="408">
        <f t="shared" si="122"/>
        <v>0</v>
      </c>
      <c r="H764" s="2612">
        <f t="shared" si="123"/>
        <v>0</v>
      </c>
      <c r="I764" s="2583">
        <f t="shared" si="124"/>
        <v>0</v>
      </c>
      <c r="J764" s="2613">
        <f t="shared" si="125"/>
        <v>0</v>
      </c>
      <c r="K764" s="2439">
        <f t="shared" si="126"/>
        <v>0</v>
      </c>
      <c r="L764" s="2612">
        <f t="shared" si="127"/>
        <v>0</v>
      </c>
      <c r="M764" s="2583">
        <f t="shared" si="128"/>
        <v>0</v>
      </c>
    </row>
    <row r="765" spans="1:13" x14ac:dyDescent="0.25">
      <c r="A765" s="2611">
        <v>63</v>
      </c>
      <c r="B765" s="2613">
        <f t="shared" si="117"/>
        <v>0</v>
      </c>
      <c r="C765" s="408">
        <f t="shared" si="118"/>
        <v>0</v>
      </c>
      <c r="D765" s="2608">
        <f t="shared" si="119"/>
        <v>0</v>
      </c>
      <c r="E765" s="2439">
        <f t="shared" si="120"/>
        <v>0</v>
      </c>
      <c r="F765" s="2612">
        <f t="shared" si="121"/>
        <v>0</v>
      </c>
      <c r="G765" s="408">
        <f t="shared" si="122"/>
        <v>0</v>
      </c>
      <c r="H765" s="2612">
        <f t="shared" si="123"/>
        <v>0</v>
      </c>
      <c r="I765" s="2583">
        <f t="shared" si="124"/>
        <v>0</v>
      </c>
      <c r="J765" s="2613">
        <f t="shared" si="125"/>
        <v>0</v>
      </c>
      <c r="K765" s="2439">
        <f t="shared" si="126"/>
        <v>0</v>
      </c>
      <c r="L765" s="2612">
        <f t="shared" si="127"/>
        <v>0</v>
      </c>
      <c r="M765" s="2583">
        <f t="shared" si="128"/>
        <v>0</v>
      </c>
    </row>
    <row r="766" spans="1:13" x14ac:dyDescent="0.25">
      <c r="A766" s="2611">
        <v>64</v>
      </c>
      <c r="B766" s="2613">
        <f t="shared" si="117"/>
        <v>0</v>
      </c>
      <c r="C766" s="408">
        <f t="shared" si="118"/>
        <v>0</v>
      </c>
      <c r="D766" s="2608">
        <f t="shared" si="119"/>
        <v>0</v>
      </c>
      <c r="E766" s="2439">
        <f t="shared" si="120"/>
        <v>0</v>
      </c>
      <c r="F766" s="2612">
        <f t="shared" si="121"/>
        <v>0</v>
      </c>
      <c r="G766" s="408">
        <f t="shared" si="122"/>
        <v>0</v>
      </c>
      <c r="H766" s="2612">
        <f t="shared" si="123"/>
        <v>0</v>
      </c>
      <c r="I766" s="2583">
        <f t="shared" si="124"/>
        <v>0</v>
      </c>
      <c r="J766" s="2613">
        <f t="shared" si="125"/>
        <v>0</v>
      </c>
      <c r="K766" s="2439">
        <f t="shared" si="126"/>
        <v>0</v>
      </c>
      <c r="L766" s="2612">
        <f t="shared" si="127"/>
        <v>0</v>
      </c>
      <c r="M766" s="2583">
        <f t="shared" si="128"/>
        <v>0</v>
      </c>
    </row>
    <row r="767" spans="1:13" x14ac:dyDescent="0.25">
      <c r="A767" s="2611">
        <v>65</v>
      </c>
      <c r="B767" s="2613">
        <f t="shared" ref="B767:B798" si="129">IF(AND($C299="IRA",OR($B299="C",$B299="FC")),$D299,0)</f>
        <v>0</v>
      </c>
      <c r="C767" s="408">
        <f t="shared" ref="C767:C798" si="130">IF(AND($C299="IRA",OR($B299="C",$B299="FC")),$G299,0)</f>
        <v>0</v>
      </c>
      <c r="D767" s="2608">
        <f t="shared" ref="D767:D798" si="131">IF(AND($C299="IRA",OR($B299="W",$B299="FW")),$D299,0)</f>
        <v>0</v>
      </c>
      <c r="E767" s="2439">
        <f t="shared" ref="E767:E798" si="132">IF(AND($C299="IRA",OR($B299="W",$B299="FW")),$G299,0)</f>
        <v>0</v>
      </c>
      <c r="F767" s="2612">
        <f t="shared" ref="F767:F798" si="133">IF(AND($I299="IRA",OR($H299="C",$H299="FC")),$J299,0)</f>
        <v>0</v>
      </c>
      <c r="G767" s="408">
        <f t="shared" ref="G767:G798" si="134">IF(AND($I299="IRA",OR($H299="C",$H299="FC")),$M299,0)</f>
        <v>0</v>
      </c>
      <c r="H767" s="2612">
        <f t="shared" ref="H767:H798" si="135">IF(AND($I299="IRA",OR($H299="W",$H299="FW")),$J299,0)</f>
        <v>0</v>
      </c>
      <c r="I767" s="2583">
        <f t="shared" ref="I767:I798" si="136">IF(AND($I299="IRA",OR($H299="W",$H299="FW")),$M299,0)</f>
        <v>0</v>
      </c>
      <c r="J767" s="2613">
        <f t="shared" ref="J767:J798" si="137">IF(AND($C299="inher-5Yr",OR($B299="W",$B299="FW")),$D299,0)</f>
        <v>0</v>
      </c>
      <c r="K767" s="2439">
        <f t="shared" ref="K767:K798" si="138">IF(AND($C299="inher-5Yr",OR($B299="W",$B299="FW")),$G299,0)</f>
        <v>0</v>
      </c>
      <c r="L767" s="2612">
        <f t="shared" ref="L767:L798" si="139">IF(AND($I299="inher-5Yr",OR($H299="W",$H299="FW")),$J299,0)</f>
        <v>0</v>
      </c>
      <c r="M767" s="2583">
        <f t="shared" ref="M767:M798" si="140">IF(AND($I299="inher-5Yr",OR($H299="W",$H299="FW")),$M299,0)</f>
        <v>0</v>
      </c>
    </row>
    <row r="768" spans="1:13" x14ac:dyDescent="0.25">
      <c r="A768" s="2611">
        <v>66</v>
      </c>
      <c r="B768" s="2613">
        <f t="shared" si="129"/>
        <v>0</v>
      </c>
      <c r="C768" s="408">
        <f t="shared" si="130"/>
        <v>0</v>
      </c>
      <c r="D768" s="2608">
        <f t="shared" si="131"/>
        <v>0</v>
      </c>
      <c r="E768" s="2439">
        <f t="shared" si="132"/>
        <v>0</v>
      </c>
      <c r="F768" s="2612">
        <f t="shared" si="133"/>
        <v>0</v>
      </c>
      <c r="G768" s="408">
        <f t="shared" si="134"/>
        <v>0</v>
      </c>
      <c r="H768" s="2612">
        <f t="shared" si="135"/>
        <v>0</v>
      </c>
      <c r="I768" s="2583">
        <f t="shared" si="136"/>
        <v>0</v>
      </c>
      <c r="J768" s="2613">
        <f t="shared" si="137"/>
        <v>0</v>
      </c>
      <c r="K768" s="2439">
        <f t="shared" si="138"/>
        <v>0</v>
      </c>
      <c r="L768" s="2612">
        <f t="shared" si="139"/>
        <v>0</v>
      </c>
      <c r="M768" s="2583">
        <f t="shared" si="140"/>
        <v>0</v>
      </c>
    </row>
    <row r="769" spans="1:13" x14ac:dyDescent="0.25">
      <c r="A769" s="2611">
        <v>67</v>
      </c>
      <c r="B769" s="2613">
        <f t="shared" si="129"/>
        <v>0</v>
      </c>
      <c r="C769" s="408">
        <f t="shared" si="130"/>
        <v>0</v>
      </c>
      <c r="D769" s="2608">
        <f t="shared" si="131"/>
        <v>0</v>
      </c>
      <c r="E769" s="2439">
        <f t="shared" si="132"/>
        <v>0</v>
      </c>
      <c r="F769" s="2612">
        <f t="shared" si="133"/>
        <v>0</v>
      </c>
      <c r="G769" s="408">
        <f t="shared" si="134"/>
        <v>0</v>
      </c>
      <c r="H769" s="2612">
        <f t="shared" si="135"/>
        <v>0</v>
      </c>
      <c r="I769" s="2583">
        <f t="shared" si="136"/>
        <v>0</v>
      </c>
      <c r="J769" s="2613">
        <f t="shared" si="137"/>
        <v>0</v>
      </c>
      <c r="K769" s="2439">
        <f t="shared" si="138"/>
        <v>0</v>
      </c>
      <c r="L769" s="2612">
        <f t="shared" si="139"/>
        <v>0</v>
      </c>
      <c r="M769" s="2583">
        <f t="shared" si="140"/>
        <v>0</v>
      </c>
    </row>
    <row r="770" spans="1:13" x14ac:dyDescent="0.25">
      <c r="A770" s="2611">
        <v>68</v>
      </c>
      <c r="B770" s="2613">
        <f t="shared" si="129"/>
        <v>0</v>
      </c>
      <c r="C770" s="408">
        <f t="shared" si="130"/>
        <v>0</v>
      </c>
      <c r="D770" s="2608">
        <f t="shared" si="131"/>
        <v>0</v>
      </c>
      <c r="E770" s="2439">
        <f t="shared" si="132"/>
        <v>0</v>
      </c>
      <c r="F770" s="2612">
        <f t="shared" si="133"/>
        <v>0</v>
      </c>
      <c r="G770" s="408">
        <f t="shared" si="134"/>
        <v>0</v>
      </c>
      <c r="H770" s="2612">
        <f t="shared" si="135"/>
        <v>0</v>
      </c>
      <c r="I770" s="2583">
        <f t="shared" si="136"/>
        <v>0</v>
      </c>
      <c r="J770" s="2613">
        <f t="shared" si="137"/>
        <v>0</v>
      </c>
      <c r="K770" s="2439">
        <f t="shared" si="138"/>
        <v>0</v>
      </c>
      <c r="L770" s="2612">
        <f t="shared" si="139"/>
        <v>0</v>
      </c>
      <c r="M770" s="2583">
        <f t="shared" si="140"/>
        <v>0</v>
      </c>
    </row>
    <row r="771" spans="1:13" x14ac:dyDescent="0.25">
      <c r="A771" s="2611">
        <v>69</v>
      </c>
      <c r="B771" s="2613">
        <f t="shared" si="129"/>
        <v>0</v>
      </c>
      <c r="C771" s="408">
        <f t="shared" si="130"/>
        <v>0</v>
      </c>
      <c r="D771" s="2608">
        <f t="shared" si="131"/>
        <v>0</v>
      </c>
      <c r="E771" s="2439">
        <f t="shared" si="132"/>
        <v>0</v>
      </c>
      <c r="F771" s="2612">
        <f t="shared" si="133"/>
        <v>0</v>
      </c>
      <c r="G771" s="408">
        <f t="shared" si="134"/>
        <v>0</v>
      </c>
      <c r="H771" s="2612">
        <f t="shared" si="135"/>
        <v>0</v>
      </c>
      <c r="I771" s="2583">
        <f t="shared" si="136"/>
        <v>0</v>
      </c>
      <c r="J771" s="2613">
        <f t="shared" si="137"/>
        <v>0</v>
      </c>
      <c r="K771" s="2439">
        <f t="shared" si="138"/>
        <v>0</v>
      </c>
      <c r="L771" s="2612">
        <f t="shared" si="139"/>
        <v>0</v>
      </c>
      <c r="M771" s="2583">
        <f t="shared" si="140"/>
        <v>0</v>
      </c>
    </row>
    <row r="772" spans="1:13" x14ac:dyDescent="0.25">
      <c r="A772" s="2611">
        <v>70</v>
      </c>
      <c r="B772" s="2613">
        <f t="shared" si="129"/>
        <v>0</v>
      </c>
      <c r="C772" s="408">
        <f t="shared" si="130"/>
        <v>0</v>
      </c>
      <c r="D772" s="2608">
        <f t="shared" si="131"/>
        <v>0</v>
      </c>
      <c r="E772" s="2439">
        <f t="shared" si="132"/>
        <v>0</v>
      </c>
      <c r="F772" s="2612">
        <f t="shared" si="133"/>
        <v>0</v>
      </c>
      <c r="G772" s="408">
        <f t="shared" si="134"/>
        <v>0</v>
      </c>
      <c r="H772" s="2612">
        <f t="shared" si="135"/>
        <v>0</v>
      </c>
      <c r="I772" s="2583">
        <f t="shared" si="136"/>
        <v>0</v>
      </c>
      <c r="J772" s="2613">
        <f t="shared" si="137"/>
        <v>0</v>
      </c>
      <c r="K772" s="2439">
        <f t="shared" si="138"/>
        <v>0</v>
      </c>
      <c r="L772" s="2612">
        <f t="shared" si="139"/>
        <v>0</v>
      </c>
      <c r="M772" s="2583">
        <f t="shared" si="140"/>
        <v>0</v>
      </c>
    </row>
    <row r="773" spans="1:13" x14ac:dyDescent="0.25">
      <c r="A773" s="2611">
        <v>71</v>
      </c>
      <c r="B773" s="2613">
        <f t="shared" si="129"/>
        <v>0</v>
      </c>
      <c r="C773" s="408">
        <f t="shared" si="130"/>
        <v>0</v>
      </c>
      <c r="D773" s="2608">
        <f t="shared" si="131"/>
        <v>0</v>
      </c>
      <c r="E773" s="2439">
        <f t="shared" si="132"/>
        <v>0</v>
      </c>
      <c r="F773" s="2612">
        <f t="shared" si="133"/>
        <v>0</v>
      </c>
      <c r="G773" s="408">
        <f t="shared" si="134"/>
        <v>0</v>
      </c>
      <c r="H773" s="2612">
        <f t="shared" si="135"/>
        <v>0</v>
      </c>
      <c r="I773" s="2583">
        <f t="shared" si="136"/>
        <v>0</v>
      </c>
      <c r="J773" s="2613">
        <f t="shared" si="137"/>
        <v>0</v>
      </c>
      <c r="K773" s="2439">
        <f t="shared" si="138"/>
        <v>0</v>
      </c>
      <c r="L773" s="2612">
        <f t="shared" si="139"/>
        <v>0</v>
      </c>
      <c r="M773" s="2583">
        <f t="shared" si="140"/>
        <v>0</v>
      </c>
    </row>
    <row r="774" spans="1:13" x14ac:dyDescent="0.25">
      <c r="A774" s="2611">
        <v>72</v>
      </c>
      <c r="B774" s="2613">
        <f t="shared" si="129"/>
        <v>0</v>
      </c>
      <c r="C774" s="408">
        <f t="shared" si="130"/>
        <v>0</v>
      </c>
      <c r="D774" s="2608">
        <f t="shared" si="131"/>
        <v>0</v>
      </c>
      <c r="E774" s="2439">
        <f t="shared" si="132"/>
        <v>0</v>
      </c>
      <c r="F774" s="2612">
        <f t="shared" si="133"/>
        <v>0</v>
      </c>
      <c r="G774" s="408">
        <f t="shared" si="134"/>
        <v>0</v>
      </c>
      <c r="H774" s="2612">
        <f t="shared" si="135"/>
        <v>0</v>
      </c>
      <c r="I774" s="2583">
        <f t="shared" si="136"/>
        <v>0</v>
      </c>
      <c r="J774" s="2613">
        <f t="shared" si="137"/>
        <v>0</v>
      </c>
      <c r="K774" s="2439">
        <f t="shared" si="138"/>
        <v>0</v>
      </c>
      <c r="L774" s="2612">
        <f t="shared" si="139"/>
        <v>0</v>
      </c>
      <c r="M774" s="2583">
        <f t="shared" si="140"/>
        <v>0</v>
      </c>
    </row>
    <row r="775" spans="1:13" x14ac:dyDescent="0.25">
      <c r="A775" s="2611">
        <v>73</v>
      </c>
      <c r="B775" s="2613">
        <f t="shared" si="129"/>
        <v>0</v>
      </c>
      <c r="C775" s="408">
        <f t="shared" si="130"/>
        <v>0</v>
      </c>
      <c r="D775" s="2608">
        <f t="shared" si="131"/>
        <v>0</v>
      </c>
      <c r="E775" s="2439">
        <f t="shared" si="132"/>
        <v>0</v>
      </c>
      <c r="F775" s="2612">
        <f t="shared" si="133"/>
        <v>0</v>
      </c>
      <c r="G775" s="408">
        <f t="shared" si="134"/>
        <v>0</v>
      </c>
      <c r="H775" s="2612">
        <f t="shared" si="135"/>
        <v>0</v>
      </c>
      <c r="I775" s="2583">
        <f t="shared" si="136"/>
        <v>0</v>
      </c>
      <c r="J775" s="2613">
        <f t="shared" si="137"/>
        <v>0</v>
      </c>
      <c r="K775" s="2439">
        <f t="shared" si="138"/>
        <v>0</v>
      </c>
      <c r="L775" s="2612">
        <f t="shared" si="139"/>
        <v>0</v>
      </c>
      <c r="M775" s="2583">
        <f t="shared" si="140"/>
        <v>0</v>
      </c>
    </row>
    <row r="776" spans="1:13" x14ac:dyDescent="0.25">
      <c r="A776" s="2611">
        <v>74</v>
      </c>
      <c r="B776" s="2613">
        <f t="shared" si="129"/>
        <v>0</v>
      </c>
      <c r="C776" s="408">
        <f t="shared" si="130"/>
        <v>0</v>
      </c>
      <c r="D776" s="2608">
        <f t="shared" si="131"/>
        <v>0</v>
      </c>
      <c r="E776" s="2439">
        <f t="shared" si="132"/>
        <v>0</v>
      </c>
      <c r="F776" s="2612">
        <f t="shared" si="133"/>
        <v>0</v>
      </c>
      <c r="G776" s="408">
        <f t="shared" si="134"/>
        <v>0</v>
      </c>
      <c r="H776" s="2612">
        <f t="shared" si="135"/>
        <v>0</v>
      </c>
      <c r="I776" s="2583">
        <f t="shared" si="136"/>
        <v>0</v>
      </c>
      <c r="J776" s="2613">
        <f t="shared" si="137"/>
        <v>0</v>
      </c>
      <c r="K776" s="2439">
        <f t="shared" si="138"/>
        <v>0</v>
      </c>
      <c r="L776" s="2612">
        <f t="shared" si="139"/>
        <v>0</v>
      </c>
      <c r="M776" s="2583">
        <f t="shared" si="140"/>
        <v>0</v>
      </c>
    </row>
    <row r="777" spans="1:13" x14ac:dyDescent="0.25">
      <c r="A777" s="2611">
        <v>75</v>
      </c>
      <c r="B777" s="2613">
        <f t="shared" si="129"/>
        <v>0</v>
      </c>
      <c r="C777" s="408">
        <f t="shared" si="130"/>
        <v>0</v>
      </c>
      <c r="D777" s="2608">
        <f t="shared" si="131"/>
        <v>0</v>
      </c>
      <c r="E777" s="2439">
        <f t="shared" si="132"/>
        <v>0</v>
      </c>
      <c r="F777" s="2612">
        <f t="shared" si="133"/>
        <v>0</v>
      </c>
      <c r="G777" s="408">
        <f t="shared" si="134"/>
        <v>0</v>
      </c>
      <c r="H777" s="2612">
        <f t="shared" si="135"/>
        <v>0</v>
      </c>
      <c r="I777" s="2583">
        <f t="shared" si="136"/>
        <v>0</v>
      </c>
      <c r="J777" s="2613">
        <f t="shared" si="137"/>
        <v>0</v>
      </c>
      <c r="K777" s="2439">
        <f t="shared" si="138"/>
        <v>0</v>
      </c>
      <c r="L777" s="2612">
        <f t="shared" si="139"/>
        <v>0</v>
      </c>
      <c r="M777" s="2583">
        <f t="shared" si="140"/>
        <v>0</v>
      </c>
    </row>
    <row r="778" spans="1:13" x14ac:dyDescent="0.25">
      <c r="A778" s="2611">
        <v>76</v>
      </c>
      <c r="B778" s="2613">
        <f t="shared" si="129"/>
        <v>0</v>
      </c>
      <c r="C778" s="408">
        <f t="shared" si="130"/>
        <v>0</v>
      </c>
      <c r="D778" s="2608">
        <f t="shared" si="131"/>
        <v>0</v>
      </c>
      <c r="E778" s="2439">
        <f t="shared" si="132"/>
        <v>0</v>
      </c>
      <c r="F778" s="2612">
        <f t="shared" si="133"/>
        <v>0</v>
      </c>
      <c r="G778" s="408">
        <f t="shared" si="134"/>
        <v>0</v>
      </c>
      <c r="H778" s="2612">
        <f t="shared" si="135"/>
        <v>0</v>
      </c>
      <c r="I778" s="2583">
        <f t="shared" si="136"/>
        <v>0</v>
      </c>
      <c r="J778" s="2613">
        <f t="shared" si="137"/>
        <v>0</v>
      </c>
      <c r="K778" s="2439">
        <f t="shared" si="138"/>
        <v>0</v>
      </c>
      <c r="L778" s="2612">
        <f t="shared" si="139"/>
        <v>0</v>
      </c>
      <c r="M778" s="2583">
        <f t="shared" si="140"/>
        <v>0</v>
      </c>
    </row>
    <row r="779" spans="1:13" x14ac:dyDescent="0.25">
      <c r="A779" s="2611">
        <v>77</v>
      </c>
      <c r="B779" s="2613">
        <f t="shared" si="129"/>
        <v>0</v>
      </c>
      <c r="C779" s="408">
        <f t="shared" si="130"/>
        <v>0</v>
      </c>
      <c r="D779" s="2608">
        <f t="shared" si="131"/>
        <v>0</v>
      </c>
      <c r="E779" s="2439">
        <f t="shared" si="132"/>
        <v>0</v>
      </c>
      <c r="F779" s="2612">
        <f t="shared" si="133"/>
        <v>0</v>
      </c>
      <c r="G779" s="408">
        <f t="shared" si="134"/>
        <v>0</v>
      </c>
      <c r="H779" s="2612">
        <f t="shared" si="135"/>
        <v>0</v>
      </c>
      <c r="I779" s="2583">
        <f t="shared" si="136"/>
        <v>0</v>
      </c>
      <c r="J779" s="2613">
        <f t="shared" si="137"/>
        <v>0</v>
      </c>
      <c r="K779" s="2439">
        <f t="shared" si="138"/>
        <v>0</v>
      </c>
      <c r="L779" s="2612">
        <f t="shared" si="139"/>
        <v>0</v>
      </c>
      <c r="M779" s="2583">
        <f t="shared" si="140"/>
        <v>0</v>
      </c>
    </row>
    <row r="780" spans="1:13" x14ac:dyDescent="0.25">
      <c r="A780" s="2611">
        <v>78</v>
      </c>
      <c r="B780" s="2613">
        <f t="shared" si="129"/>
        <v>0</v>
      </c>
      <c r="C780" s="408">
        <f t="shared" si="130"/>
        <v>0</v>
      </c>
      <c r="D780" s="2608">
        <f t="shared" si="131"/>
        <v>0</v>
      </c>
      <c r="E780" s="2439">
        <f t="shared" si="132"/>
        <v>0</v>
      </c>
      <c r="F780" s="2612">
        <f t="shared" si="133"/>
        <v>0</v>
      </c>
      <c r="G780" s="408">
        <f t="shared" si="134"/>
        <v>0</v>
      </c>
      <c r="H780" s="2612">
        <f t="shared" si="135"/>
        <v>0</v>
      </c>
      <c r="I780" s="2583">
        <f t="shared" si="136"/>
        <v>0</v>
      </c>
      <c r="J780" s="2613">
        <f t="shared" si="137"/>
        <v>0</v>
      </c>
      <c r="K780" s="2439">
        <f t="shared" si="138"/>
        <v>0</v>
      </c>
      <c r="L780" s="2612">
        <f t="shared" si="139"/>
        <v>0</v>
      </c>
      <c r="M780" s="2583">
        <f t="shared" si="140"/>
        <v>0</v>
      </c>
    </row>
    <row r="781" spans="1:13" x14ac:dyDescent="0.25">
      <c r="A781" s="2611">
        <v>79</v>
      </c>
      <c r="B781" s="2613">
        <f t="shared" si="129"/>
        <v>0</v>
      </c>
      <c r="C781" s="408">
        <f t="shared" si="130"/>
        <v>0</v>
      </c>
      <c r="D781" s="2608">
        <f t="shared" si="131"/>
        <v>0</v>
      </c>
      <c r="E781" s="2439">
        <f t="shared" si="132"/>
        <v>0</v>
      </c>
      <c r="F781" s="2612">
        <f t="shared" si="133"/>
        <v>0</v>
      </c>
      <c r="G781" s="408">
        <f t="shared" si="134"/>
        <v>0</v>
      </c>
      <c r="H781" s="2612">
        <f t="shared" si="135"/>
        <v>0</v>
      </c>
      <c r="I781" s="2583">
        <f t="shared" si="136"/>
        <v>0</v>
      </c>
      <c r="J781" s="2613">
        <f t="shared" si="137"/>
        <v>0</v>
      </c>
      <c r="K781" s="2439">
        <f t="shared" si="138"/>
        <v>0</v>
      </c>
      <c r="L781" s="2612">
        <f t="shared" si="139"/>
        <v>0</v>
      </c>
      <c r="M781" s="2583">
        <f t="shared" si="140"/>
        <v>0</v>
      </c>
    </row>
    <row r="782" spans="1:13" x14ac:dyDescent="0.25">
      <c r="A782" s="2611">
        <v>80</v>
      </c>
      <c r="B782" s="2613">
        <f t="shared" si="129"/>
        <v>0</v>
      </c>
      <c r="C782" s="408">
        <f t="shared" si="130"/>
        <v>0</v>
      </c>
      <c r="D782" s="2608">
        <f t="shared" si="131"/>
        <v>0</v>
      </c>
      <c r="E782" s="2439">
        <f t="shared" si="132"/>
        <v>0</v>
      </c>
      <c r="F782" s="2612">
        <f t="shared" si="133"/>
        <v>0</v>
      </c>
      <c r="G782" s="408">
        <f t="shared" si="134"/>
        <v>0</v>
      </c>
      <c r="H782" s="2612">
        <f t="shared" si="135"/>
        <v>0</v>
      </c>
      <c r="I782" s="2583">
        <f t="shared" si="136"/>
        <v>0</v>
      </c>
      <c r="J782" s="2613">
        <f t="shared" si="137"/>
        <v>0</v>
      </c>
      <c r="K782" s="2439">
        <f t="shared" si="138"/>
        <v>0</v>
      </c>
      <c r="L782" s="2612">
        <f t="shared" si="139"/>
        <v>0</v>
      </c>
      <c r="M782" s="2583">
        <f t="shared" si="140"/>
        <v>0</v>
      </c>
    </row>
    <row r="783" spans="1:13" x14ac:dyDescent="0.25">
      <c r="A783" s="2611">
        <v>81</v>
      </c>
      <c r="B783" s="2613">
        <f t="shared" si="129"/>
        <v>0</v>
      </c>
      <c r="C783" s="408">
        <f t="shared" si="130"/>
        <v>0</v>
      </c>
      <c r="D783" s="2608">
        <f t="shared" si="131"/>
        <v>0</v>
      </c>
      <c r="E783" s="2439">
        <f t="shared" si="132"/>
        <v>0</v>
      </c>
      <c r="F783" s="2612">
        <f t="shared" si="133"/>
        <v>0</v>
      </c>
      <c r="G783" s="408">
        <f t="shared" si="134"/>
        <v>0</v>
      </c>
      <c r="H783" s="2612">
        <f t="shared" si="135"/>
        <v>0</v>
      </c>
      <c r="I783" s="2583">
        <f t="shared" si="136"/>
        <v>0</v>
      </c>
      <c r="J783" s="2613">
        <f t="shared" si="137"/>
        <v>0</v>
      </c>
      <c r="K783" s="2439">
        <f t="shared" si="138"/>
        <v>0</v>
      </c>
      <c r="L783" s="2612">
        <f t="shared" si="139"/>
        <v>0</v>
      </c>
      <c r="M783" s="2583">
        <f t="shared" si="140"/>
        <v>0</v>
      </c>
    </row>
    <row r="784" spans="1:13" x14ac:dyDescent="0.25">
      <c r="A784" s="2611">
        <v>82</v>
      </c>
      <c r="B784" s="2613">
        <f t="shared" si="129"/>
        <v>0</v>
      </c>
      <c r="C784" s="408">
        <f t="shared" si="130"/>
        <v>0</v>
      </c>
      <c r="D784" s="2608">
        <f t="shared" si="131"/>
        <v>0</v>
      </c>
      <c r="E784" s="2439">
        <f t="shared" si="132"/>
        <v>0</v>
      </c>
      <c r="F784" s="2612">
        <f t="shared" si="133"/>
        <v>0</v>
      </c>
      <c r="G784" s="408">
        <f t="shared" si="134"/>
        <v>0</v>
      </c>
      <c r="H784" s="2612">
        <f t="shared" si="135"/>
        <v>0</v>
      </c>
      <c r="I784" s="2583">
        <f t="shared" si="136"/>
        <v>0</v>
      </c>
      <c r="J784" s="2613">
        <f t="shared" si="137"/>
        <v>0</v>
      </c>
      <c r="K784" s="2439">
        <f t="shared" si="138"/>
        <v>0</v>
      </c>
      <c r="L784" s="2612">
        <f t="shared" si="139"/>
        <v>0</v>
      </c>
      <c r="M784" s="2583">
        <f t="shared" si="140"/>
        <v>0</v>
      </c>
    </row>
    <row r="785" spans="1:13" x14ac:dyDescent="0.25">
      <c r="A785" s="2611">
        <v>83</v>
      </c>
      <c r="B785" s="2613">
        <f t="shared" si="129"/>
        <v>0</v>
      </c>
      <c r="C785" s="408">
        <f t="shared" si="130"/>
        <v>0</v>
      </c>
      <c r="D785" s="2608">
        <f t="shared" si="131"/>
        <v>0</v>
      </c>
      <c r="E785" s="2439">
        <f t="shared" si="132"/>
        <v>0</v>
      </c>
      <c r="F785" s="2612">
        <f t="shared" si="133"/>
        <v>0</v>
      </c>
      <c r="G785" s="408">
        <f t="shared" si="134"/>
        <v>0</v>
      </c>
      <c r="H785" s="2612">
        <f t="shared" si="135"/>
        <v>0</v>
      </c>
      <c r="I785" s="2583">
        <f t="shared" si="136"/>
        <v>0</v>
      </c>
      <c r="J785" s="2613">
        <f t="shared" si="137"/>
        <v>0</v>
      </c>
      <c r="K785" s="2439">
        <f t="shared" si="138"/>
        <v>0</v>
      </c>
      <c r="L785" s="2612">
        <f t="shared" si="139"/>
        <v>0</v>
      </c>
      <c r="M785" s="2583">
        <f t="shared" si="140"/>
        <v>0</v>
      </c>
    </row>
    <row r="786" spans="1:13" x14ac:dyDescent="0.25">
      <c r="A786" s="2611">
        <v>84</v>
      </c>
      <c r="B786" s="2613">
        <f t="shared" si="129"/>
        <v>0</v>
      </c>
      <c r="C786" s="408">
        <f t="shared" si="130"/>
        <v>0</v>
      </c>
      <c r="D786" s="2608">
        <f t="shared" si="131"/>
        <v>0</v>
      </c>
      <c r="E786" s="2439">
        <f t="shared" si="132"/>
        <v>0</v>
      </c>
      <c r="F786" s="2612">
        <f t="shared" si="133"/>
        <v>0</v>
      </c>
      <c r="G786" s="408">
        <f t="shared" si="134"/>
        <v>0</v>
      </c>
      <c r="H786" s="2612">
        <f t="shared" si="135"/>
        <v>0</v>
      </c>
      <c r="I786" s="2583">
        <f t="shared" si="136"/>
        <v>0</v>
      </c>
      <c r="J786" s="2613">
        <f t="shared" si="137"/>
        <v>0</v>
      </c>
      <c r="K786" s="2439">
        <f t="shared" si="138"/>
        <v>0</v>
      </c>
      <c r="L786" s="2612">
        <f t="shared" si="139"/>
        <v>0</v>
      </c>
      <c r="M786" s="2583">
        <f t="shared" si="140"/>
        <v>0</v>
      </c>
    </row>
    <row r="787" spans="1:13" x14ac:dyDescent="0.25">
      <c r="A787" s="2611">
        <v>85</v>
      </c>
      <c r="B787" s="2613">
        <f t="shared" si="129"/>
        <v>0</v>
      </c>
      <c r="C787" s="408">
        <f t="shared" si="130"/>
        <v>0</v>
      </c>
      <c r="D787" s="2608">
        <f t="shared" si="131"/>
        <v>0</v>
      </c>
      <c r="E787" s="2439">
        <f t="shared" si="132"/>
        <v>0</v>
      </c>
      <c r="F787" s="2612">
        <f t="shared" si="133"/>
        <v>0</v>
      </c>
      <c r="G787" s="408">
        <f t="shared" si="134"/>
        <v>0</v>
      </c>
      <c r="H787" s="2612">
        <f t="shared" si="135"/>
        <v>0</v>
      </c>
      <c r="I787" s="2583">
        <f t="shared" si="136"/>
        <v>0</v>
      </c>
      <c r="J787" s="2613">
        <f t="shared" si="137"/>
        <v>0</v>
      </c>
      <c r="K787" s="2439">
        <f t="shared" si="138"/>
        <v>0</v>
      </c>
      <c r="L787" s="2612">
        <f t="shared" si="139"/>
        <v>0</v>
      </c>
      <c r="M787" s="2583">
        <f t="shared" si="140"/>
        <v>0</v>
      </c>
    </row>
    <row r="788" spans="1:13" x14ac:dyDescent="0.25">
      <c r="A788" s="2611">
        <v>86</v>
      </c>
      <c r="B788" s="2613">
        <f t="shared" si="129"/>
        <v>0</v>
      </c>
      <c r="C788" s="408">
        <f t="shared" si="130"/>
        <v>0</v>
      </c>
      <c r="D788" s="2608">
        <f t="shared" si="131"/>
        <v>0</v>
      </c>
      <c r="E788" s="2439">
        <f t="shared" si="132"/>
        <v>0</v>
      </c>
      <c r="F788" s="2612">
        <f t="shared" si="133"/>
        <v>0</v>
      </c>
      <c r="G788" s="408">
        <f t="shared" si="134"/>
        <v>0</v>
      </c>
      <c r="H788" s="2612">
        <f t="shared" si="135"/>
        <v>0</v>
      </c>
      <c r="I788" s="2583">
        <f t="shared" si="136"/>
        <v>0</v>
      </c>
      <c r="J788" s="2613">
        <f t="shared" si="137"/>
        <v>0</v>
      </c>
      <c r="K788" s="2439">
        <f t="shared" si="138"/>
        <v>0</v>
      </c>
      <c r="L788" s="2612">
        <f t="shared" si="139"/>
        <v>0</v>
      </c>
      <c r="M788" s="2583">
        <f t="shared" si="140"/>
        <v>0</v>
      </c>
    </row>
    <row r="789" spans="1:13" x14ac:dyDescent="0.25">
      <c r="A789" s="2611">
        <v>87</v>
      </c>
      <c r="B789" s="2613">
        <f t="shared" si="129"/>
        <v>0</v>
      </c>
      <c r="C789" s="408">
        <f t="shared" si="130"/>
        <v>0</v>
      </c>
      <c r="D789" s="2608">
        <f t="shared" si="131"/>
        <v>0</v>
      </c>
      <c r="E789" s="2439">
        <f t="shared" si="132"/>
        <v>0</v>
      </c>
      <c r="F789" s="2612">
        <f t="shared" si="133"/>
        <v>0</v>
      </c>
      <c r="G789" s="408">
        <f t="shared" si="134"/>
        <v>0</v>
      </c>
      <c r="H789" s="2612">
        <f t="shared" si="135"/>
        <v>0</v>
      </c>
      <c r="I789" s="2583">
        <f t="shared" si="136"/>
        <v>0</v>
      </c>
      <c r="J789" s="2613">
        <f t="shared" si="137"/>
        <v>0</v>
      </c>
      <c r="K789" s="2439">
        <f t="shared" si="138"/>
        <v>0</v>
      </c>
      <c r="L789" s="2612">
        <f t="shared" si="139"/>
        <v>0</v>
      </c>
      <c r="M789" s="2583">
        <f t="shared" si="140"/>
        <v>0</v>
      </c>
    </row>
    <row r="790" spans="1:13" x14ac:dyDescent="0.25">
      <c r="A790" s="2611">
        <v>88</v>
      </c>
      <c r="B790" s="2613">
        <f t="shared" si="129"/>
        <v>0</v>
      </c>
      <c r="C790" s="408">
        <f t="shared" si="130"/>
        <v>0</v>
      </c>
      <c r="D790" s="2608">
        <f t="shared" si="131"/>
        <v>0</v>
      </c>
      <c r="E790" s="2439">
        <f t="shared" si="132"/>
        <v>0</v>
      </c>
      <c r="F790" s="2612">
        <f t="shared" si="133"/>
        <v>0</v>
      </c>
      <c r="G790" s="408">
        <f t="shared" si="134"/>
        <v>0</v>
      </c>
      <c r="H790" s="2612">
        <f t="shared" si="135"/>
        <v>0</v>
      </c>
      <c r="I790" s="2583">
        <f t="shared" si="136"/>
        <v>0</v>
      </c>
      <c r="J790" s="2613">
        <f t="shared" si="137"/>
        <v>0</v>
      </c>
      <c r="K790" s="2439">
        <f t="shared" si="138"/>
        <v>0</v>
      </c>
      <c r="L790" s="2612">
        <f t="shared" si="139"/>
        <v>0</v>
      </c>
      <c r="M790" s="2583">
        <f t="shared" si="140"/>
        <v>0</v>
      </c>
    </row>
    <row r="791" spans="1:13" x14ac:dyDescent="0.25">
      <c r="A791" s="2611">
        <v>89</v>
      </c>
      <c r="B791" s="2613">
        <f t="shared" si="129"/>
        <v>0</v>
      </c>
      <c r="C791" s="408">
        <f t="shared" si="130"/>
        <v>0</v>
      </c>
      <c r="D791" s="2608">
        <f t="shared" si="131"/>
        <v>0</v>
      </c>
      <c r="E791" s="2439">
        <f t="shared" si="132"/>
        <v>0</v>
      </c>
      <c r="F791" s="2612">
        <f t="shared" si="133"/>
        <v>0</v>
      </c>
      <c r="G791" s="408">
        <f t="shared" si="134"/>
        <v>0</v>
      </c>
      <c r="H791" s="2612">
        <f t="shared" si="135"/>
        <v>0</v>
      </c>
      <c r="I791" s="2583">
        <f t="shared" si="136"/>
        <v>0</v>
      </c>
      <c r="J791" s="2613">
        <f t="shared" si="137"/>
        <v>0</v>
      </c>
      <c r="K791" s="2439">
        <f t="shared" si="138"/>
        <v>0</v>
      </c>
      <c r="L791" s="2612">
        <f t="shared" si="139"/>
        <v>0</v>
      </c>
      <c r="M791" s="2583">
        <f t="shared" si="140"/>
        <v>0</v>
      </c>
    </row>
    <row r="792" spans="1:13" x14ac:dyDescent="0.25">
      <c r="A792" s="2611">
        <v>90</v>
      </c>
      <c r="B792" s="2613">
        <f t="shared" si="129"/>
        <v>0</v>
      </c>
      <c r="C792" s="408">
        <f t="shared" si="130"/>
        <v>0</v>
      </c>
      <c r="D792" s="2608">
        <f t="shared" si="131"/>
        <v>0</v>
      </c>
      <c r="E792" s="2439">
        <f t="shared" si="132"/>
        <v>0</v>
      </c>
      <c r="F792" s="2612">
        <f t="shared" si="133"/>
        <v>0</v>
      </c>
      <c r="G792" s="408">
        <f t="shared" si="134"/>
        <v>0</v>
      </c>
      <c r="H792" s="2612">
        <f t="shared" si="135"/>
        <v>0</v>
      </c>
      <c r="I792" s="2583">
        <f t="shared" si="136"/>
        <v>0</v>
      </c>
      <c r="J792" s="2613">
        <f t="shared" si="137"/>
        <v>0</v>
      </c>
      <c r="K792" s="2439">
        <f t="shared" si="138"/>
        <v>0</v>
      </c>
      <c r="L792" s="2612">
        <f t="shared" si="139"/>
        <v>0</v>
      </c>
      <c r="M792" s="2583">
        <f t="shared" si="140"/>
        <v>0</v>
      </c>
    </row>
    <row r="793" spans="1:13" x14ac:dyDescent="0.25">
      <c r="A793" s="2611">
        <v>91</v>
      </c>
      <c r="B793" s="2613">
        <f t="shared" si="129"/>
        <v>0</v>
      </c>
      <c r="C793" s="408">
        <f t="shared" si="130"/>
        <v>0</v>
      </c>
      <c r="D793" s="2608">
        <f t="shared" si="131"/>
        <v>0</v>
      </c>
      <c r="E793" s="2439">
        <f t="shared" si="132"/>
        <v>0</v>
      </c>
      <c r="F793" s="2612">
        <f t="shared" si="133"/>
        <v>0</v>
      </c>
      <c r="G793" s="408">
        <f t="shared" si="134"/>
        <v>0</v>
      </c>
      <c r="H793" s="2612">
        <f t="shared" si="135"/>
        <v>0</v>
      </c>
      <c r="I793" s="2583">
        <f t="shared" si="136"/>
        <v>0</v>
      </c>
      <c r="J793" s="2613">
        <f t="shared" si="137"/>
        <v>0</v>
      </c>
      <c r="K793" s="2439">
        <f t="shared" si="138"/>
        <v>0</v>
      </c>
      <c r="L793" s="2612">
        <f t="shared" si="139"/>
        <v>0</v>
      </c>
      <c r="M793" s="2583">
        <f t="shared" si="140"/>
        <v>0</v>
      </c>
    </row>
    <row r="794" spans="1:13" x14ac:dyDescent="0.25">
      <c r="A794" s="2611">
        <v>92</v>
      </c>
      <c r="B794" s="2613">
        <f t="shared" si="129"/>
        <v>0</v>
      </c>
      <c r="C794" s="408">
        <f t="shared" si="130"/>
        <v>0</v>
      </c>
      <c r="D794" s="2608">
        <f t="shared" si="131"/>
        <v>0</v>
      </c>
      <c r="E794" s="2439">
        <f t="shared" si="132"/>
        <v>0</v>
      </c>
      <c r="F794" s="2612">
        <f t="shared" si="133"/>
        <v>0</v>
      </c>
      <c r="G794" s="408">
        <f t="shared" si="134"/>
        <v>0</v>
      </c>
      <c r="H794" s="2612">
        <f t="shared" si="135"/>
        <v>0</v>
      </c>
      <c r="I794" s="2583">
        <f t="shared" si="136"/>
        <v>0</v>
      </c>
      <c r="J794" s="2613">
        <f t="shared" si="137"/>
        <v>0</v>
      </c>
      <c r="K794" s="2439">
        <f t="shared" si="138"/>
        <v>0</v>
      </c>
      <c r="L794" s="2612">
        <f t="shared" si="139"/>
        <v>0</v>
      </c>
      <c r="M794" s="2583">
        <f t="shared" si="140"/>
        <v>0</v>
      </c>
    </row>
    <row r="795" spans="1:13" x14ac:dyDescent="0.25">
      <c r="A795" s="2611">
        <v>93</v>
      </c>
      <c r="B795" s="2613">
        <f t="shared" si="129"/>
        <v>0</v>
      </c>
      <c r="C795" s="408">
        <f t="shared" si="130"/>
        <v>0</v>
      </c>
      <c r="D795" s="2608">
        <f t="shared" si="131"/>
        <v>0</v>
      </c>
      <c r="E795" s="2439">
        <f t="shared" si="132"/>
        <v>0</v>
      </c>
      <c r="F795" s="2612">
        <f t="shared" si="133"/>
        <v>0</v>
      </c>
      <c r="G795" s="408">
        <f t="shared" si="134"/>
        <v>0</v>
      </c>
      <c r="H795" s="2612">
        <f t="shared" si="135"/>
        <v>0</v>
      </c>
      <c r="I795" s="2583">
        <f t="shared" si="136"/>
        <v>0</v>
      </c>
      <c r="J795" s="2613">
        <f t="shared" si="137"/>
        <v>0</v>
      </c>
      <c r="K795" s="2439">
        <f t="shared" si="138"/>
        <v>0</v>
      </c>
      <c r="L795" s="2612">
        <f t="shared" si="139"/>
        <v>0</v>
      </c>
      <c r="M795" s="2583">
        <f t="shared" si="140"/>
        <v>0</v>
      </c>
    </row>
    <row r="796" spans="1:13" x14ac:dyDescent="0.25">
      <c r="A796" s="2611">
        <v>94</v>
      </c>
      <c r="B796" s="2613">
        <f t="shared" si="129"/>
        <v>0</v>
      </c>
      <c r="C796" s="408">
        <f t="shared" si="130"/>
        <v>0</v>
      </c>
      <c r="D796" s="2608">
        <f t="shared" si="131"/>
        <v>0</v>
      </c>
      <c r="E796" s="2439">
        <f t="shared" si="132"/>
        <v>0</v>
      </c>
      <c r="F796" s="2612">
        <f t="shared" si="133"/>
        <v>0</v>
      </c>
      <c r="G796" s="408">
        <f t="shared" si="134"/>
        <v>0</v>
      </c>
      <c r="H796" s="2612">
        <f t="shared" si="135"/>
        <v>0</v>
      </c>
      <c r="I796" s="2583">
        <f t="shared" si="136"/>
        <v>0</v>
      </c>
      <c r="J796" s="2613">
        <f t="shared" si="137"/>
        <v>0</v>
      </c>
      <c r="K796" s="2439">
        <f t="shared" si="138"/>
        <v>0</v>
      </c>
      <c r="L796" s="2612">
        <f t="shared" si="139"/>
        <v>0</v>
      </c>
      <c r="M796" s="2583">
        <f t="shared" si="140"/>
        <v>0</v>
      </c>
    </row>
    <row r="797" spans="1:13" x14ac:dyDescent="0.25">
      <c r="A797" s="2611">
        <v>95</v>
      </c>
      <c r="B797" s="2613">
        <f t="shared" si="129"/>
        <v>0</v>
      </c>
      <c r="C797" s="408">
        <f t="shared" si="130"/>
        <v>0</v>
      </c>
      <c r="D797" s="2608">
        <f t="shared" si="131"/>
        <v>0</v>
      </c>
      <c r="E797" s="2439">
        <f t="shared" si="132"/>
        <v>0</v>
      </c>
      <c r="F797" s="2612">
        <f t="shared" si="133"/>
        <v>0</v>
      </c>
      <c r="G797" s="408">
        <f t="shared" si="134"/>
        <v>0</v>
      </c>
      <c r="H797" s="2612">
        <f t="shared" si="135"/>
        <v>0</v>
      </c>
      <c r="I797" s="2583">
        <f t="shared" si="136"/>
        <v>0</v>
      </c>
      <c r="J797" s="2613">
        <f t="shared" si="137"/>
        <v>0</v>
      </c>
      <c r="K797" s="2439">
        <f t="shared" si="138"/>
        <v>0</v>
      </c>
      <c r="L797" s="2612">
        <f t="shared" si="139"/>
        <v>0</v>
      </c>
      <c r="M797" s="2583">
        <f t="shared" si="140"/>
        <v>0</v>
      </c>
    </row>
    <row r="798" spans="1:13" x14ac:dyDescent="0.25">
      <c r="A798" s="2611">
        <v>96</v>
      </c>
      <c r="B798" s="2613">
        <f t="shared" si="129"/>
        <v>0</v>
      </c>
      <c r="C798" s="408">
        <f t="shared" si="130"/>
        <v>0</v>
      </c>
      <c r="D798" s="2608">
        <f t="shared" si="131"/>
        <v>0</v>
      </c>
      <c r="E798" s="2439">
        <f t="shared" si="132"/>
        <v>0</v>
      </c>
      <c r="F798" s="2612">
        <f t="shared" si="133"/>
        <v>0</v>
      </c>
      <c r="G798" s="408">
        <f t="shared" si="134"/>
        <v>0</v>
      </c>
      <c r="H798" s="2612">
        <f t="shared" si="135"/>
        <v>0</v>
      </c>
      <c r="I798" s="2583">
        <f t="shared" si="136"/>
        <v>0</v>
      </c>
      <c r="J798" s="2613">
        <f t="shared" si="137"/>
        <v>0</v>
      </c>
      <c r="K798" s="2439">
        <f t="shared" si="138"/>
        <v>0</v>
      </c>
      <c r="L798" s="2612">
        <f t="shared" si="139"/>
        <v>0</v>
      </c>
      <c r="M798" s="2583">
        <f t="shared" si="140"/>
        <v>0</v>
      </c>
    </row>
    <row r="799" spans="1:13" x14ac:dyDescent="0.25">
      <c r="A799" s="2611">
        <v>97</v>
      </c>
      <c r="B799" s="2613">
        <f t="shared" ref="B799:B804" si="141">IF(AND($C331="IRA",OR($B331="C",$B331="FC")),$D331,0)</f>
        <v>0</v>
      </c>
      <c r="C799" s="408">
        <f t="shared" ref="C799:C804" si="142">IF(AND($C331="IRA",OR($B331="C",$B331="FC")),$G331,0)</f>
        <v>0</v>
      </c>
      <c r="D799" s="2608">
        <f t="shared" ref="D799:D804" si="143">IF(AND($C331="IRA",OR($B331="W",$B331="FW")),$D331,0)</f>
        <v>0</v>
      </c>
      <c r="E799" s="2439">
        <f t="shared" ref="E799:E804" si="144">IF(AND($C331="IRA",OR($B331="W",$B331="FW")),$G331,0)</f>
        <v>0</v>
      </c>
      <c r="F799" s="2612">
        <f t="shared" ref="F799:F804" si="145">IF(AND($I331="IRA",OR($H331="C",$H331="FC")),$J331,0)</f>
        <v>0</v>
      </c>
      <c r="G799" s="408">
        <f t="shared" ref="G799:G804" si="146">IF(AND($I331="IRA",OR($H331="C",$H331="FC")),$M331,0)</f>
        <v>0</v>
      </c>
      <c r="H799" s="2612">
        <f t="shared" ref="H799:H804" si="147">IF(AND($I331="IRA",OR($H331="W",$H331="FW")),$J331,0)</f>
        <v>0</v>
      </c>
      <c r="I799" s="2583">
        <f t="shared" ref="I799:I804" si="148">IF(AND($I331="IRA",OR($H331="W",$H331="FW")),$M331,0)</f>
        <v>0</v>
      </c>
      <c r="J799" s="2613">
        <f t="shared" ref="J799:J804" si="149">IF(AND($C331="inher-5Yr",OR($B331="W",$B331="FW")),$D331,0)</f>
        <v>0</v>
      </c>
      <c r="K799" s="2439">
        <f t="shared" ref="K799:K804" si="150">IF(AND($C331="inher-5Yr",OR($B331="W",$B331="FW")),$G331,0)</f>
        <v>0</v>
      </c>
      <c r="L799" s="2612">
        <f t="shared" ref="L799:L804" si="151">IF(AND($I331="inher-5Yr",OR($H331="W",$H331="FW")),$J331,0)</f>
        <v>0</v>
      </c>
      <c r="M799" s="2583">
        <f t="shared" ref="M799:M804" si="152">IF(AND($I331="inher-5Yr",OR($H331="W",$H331="FW")),$M331,0)</f>
        <v>0</v>
      </c>
    </row>
    <row r="800" spans="1:13" x14ac:dyDescent="0.25">
      <c r="A800" s="2611">
        <v>98</v>
      </c>
      <c r="B800" s="2613">
        <f t="shared" si="141"/>
        <v>0</v>
      </c>
      <c r="C800" s="408">
        <f t="shared" si="142"/>
        <v>0</v>
      </c>
      <c r="D800" s="2608">
        <f t="shared" si="143"/>
        <v>0</v>
      </c>
      <c r="E800" s="2439">
        <f t="shared" si="144"/>
        <v>0</v>
      </c>
      <c r="F800" s="2612">
        <f t="shared" si="145"/>
        <v>0</v>
      </c>
      <c r="G800" s="408">
        <f t="shared" si="146"/>
        <v>0</v>
      </c>
      <c r="H800" s="2612">
        <f t="shared" si="147"/>
        <v>0</v>
      </c>
      <c r="I800" s="2583">
        <f t="shared" si="148"/>
        <v>0</v>
      </c>
      <c r="J800" s="2613">
        <f t="shared" si="149"/>
        <v>0</v>
      </c>
      <c r="K800" s="2439">
        <f t="shared" si="150"/>
        <v>0</v>
      </c>
      <c r="L800" s="2612">
        <f t="shared" si="151"/>
        <v>0</v>
      </c>
      <c r="M800" s="2583">
        <f t="shared" si="152"/>
        <v>0</v>
      </c>
    </row>
    <row r="801" spans="1:13" x14ac:dyDescent="0.25">
      <c r="A801" s="2611">
        <v>99</v>
      </c>
      <c r="B801" s="2613">
        <f t="shared" si="141"/>
        <v>0</v>
      </c>
      <c r="C801" s="408">
        <f t="shared" si="142"/>
        <v>0</v>
      </c>
      <c r="D801" s="2608">
        <f t="shared" si="143"/>
        <v>0</v>
      </c>
      <c r="E801" s="2439">
        <f t="shared" si="144"/>
        <v>0</v>
      </c>
      <c r="F801" s="2612">
        <f t="shared" si="145"/>
        <v>0</v>
      </c>
      <c r="G801" s="408">
        <f t="shared" si="146"/>
        <v>0</v>
      </c>
      <c r="H801" s="2612">
        <f t="shared" si="147"/>
        <v>0</v>
      </c>
      <c r="I801" s="2583">
        <f t="shared" si="148"/>
        <v>0</v>
      </c>
      <c r="J801" s="2613">
        <f t="shared" si="149"/>
        <v>0</v>
      </c>
      <c r="K801" s="2439">
        <f t="shared" si="150"/>
        <v>0</v>
      </c>
      <c r="L801" s="2612">
        <f t="shared" si="151"/>
        <v>0</v>
      </c>
      <c r="M801" s="2583">
        <f t="shared" si="152"/>
        <v>0</v>
      </c>
    </row>
    <row r="802" spans="1:13" x14ac:dyDescent="0.25">
      <c r="A802" s="2611">
        <v>100</v>
      </c>
      <c r="B802" s="2613">
        <f t="shared" si="141"/>
        <v>0</v>
      </c>
      <c r="C802" s="408">
        <f t="shared" si="142"/>
        <v>0</v>
      </c>
      <c r="D802" s="2608">
        <f t="shared" si="143"/>
        <v>0</v>
      </c>
      <c r="E802" s="2439">
        <f t="shared" si="144"/>
        <v>0</v>
      </c>
      <c r="F802" s="2612">
        <f t="shared" si="145"/>
        <v>0</v>
      </c>
      <c r="G802" s="408">
        <f t="shared" si="146"/>
        <v>0</v>
      </c>
      <c r="H802" s="2612">
        <f t="shared" si="147"/>
        <v>0</v>
      </c>
      <c r="I802" s="2583">
        <f t="shared" si="148"/>
        <v>0</v>
      </c>
      <c r="J802" s="2613">
        <f t="shared" si="149"/>
        <v>0</v>
      </c>
      <c r="K802" s="2439">
        <f t="shared" si="150"/>
        <v>0</v>
      </c>
      <c r="L802" s="2612">
        <f t="shared" si="151"/>
        <v>0</v>
      </c>
      <c r="M802" s="2583">
        <f t="shared" si="152"/>
        <v>0</v>
      </c>
    </row>
    <row r="803" spans="1:13" x14ac:dyDescent="0.25">
      <c r="A803" s="2611">
        <v>101</v>
      </c>
      <c r="B803" s="2613">
        <f t="shared" si="141"/>
        <v>0</v>
      </c>
      <c r="C803" s="408">
        <f t="shared" si="142"/>
        <v>0</v>
      </c>
      <c r="D803" s="2608">
        <f t="shared" si="143"/>
        <v>0</v>
      </c>
      <c r="E803" s="2439">
        <f t="shared" si="144"/>
        <v>0</v>
      </c>
      <c r="F803" s="2612">
        <f t="shared" si="145"/>
        <v>0</v>
      </c>
      <c r="G803" s="408">
        <f t="shared" si="146"/>
        <v>0</v>
      </c>
      <c r="H803" s="2612">
        <f t="shared" si="147"/>
        <v>0</v>
      </c>
      <c r="I803" s="2583">
        <f t="shared" si="148"/>
        <v>0</v>
      </c>
      <c r="J803" s="2613">
        <f t="shared" si="149"/>
        <v>0</v>
      </c>
      <c r="K803" s="2439">
        <f t="shared" si="150"/>
        <v>0</v>
      </c>
      <c r="L803" s="2612">
        <f t="shared" si="151"/>
        <v>0</v>
      </c>
      <c r="M803" s="2583">
        <f t="shared" si="152"/>
        <v>0</v>
      </c>
    </row>
    <row r="804" spans="1:13" x14ac:dyDescent="0.25">
      <c r="A804" s="2611">
        <v>102</v>
      </c>
      <c r="B804" s="2613">
        <f t="shared" si="141"/>
        <v>0</v>
      </c>
      <c r="C804" s="408">
        <f t="shared" si="142"/>
        <v>0</v>
      </c>
      <c r="D804" s="2608">
        <f t="shared" si="143"/>
        <v>0</v>
      </c>
      <c r="E804" s="2439">
        <f t="shared" si="144"/>
        <v>0</v>
      </c>
      <c r="F804" s="2612">
        <f t="shared" si="145"/>
        <v>0</v>
      </c>
      <c r="G804" s="408">
        <f t="shared" si="146"/>
        <v>0</v>
      </c>
      <c r="H804" s="2612">
        <f t="shared" si="147"/>
        <v>0</v>
      </c>
      <c r="I804" s="2583">
        <f t="shared" si="148"/>
        <v>0</v>
      </c>
      <c r="J804" s="2613">
        <f t="shared" si="149"/>
        <v>0</v>
      </c>
      <c r="K804" s="2439">
        <f t="shared" si="150"/>
        <v>0</v>
      </c>
      <c r="L804" s="2612">
        <f t="shared" si="151"/>
        <v>0</v>
      </c>
      <c r="M804" s="2583">
        <f t="shared" si="152"/>
        <v>0</v>
      </c>
    </row>
    <row r="805" spans="1:13" ht="15.75" thickBot="1" x14ac:dyDescent="0.3">
      <c r="A805" s="2614">
        <v>103</v>
      </c>
      <c r="B805" s="2615">
        <f>IF(AND($C338="Roth",OR($B338="C",$B338="FC")),$D338,0)</f>
        <v>0</v>
      </c>
      <c r="C805" s="2393">
        <f>IF(AND($C338="Roth",OR($B338="C",$B338="FC")),$G338,0)</f>
        <v>0</v>
      </c>
      <c r="D805" s="2615">
        <f>IF(AND($C338="Roth",OR($B338="W",$B338="FW")),$D338,0)</f>
        <v>0</v>
      </c>
      <c r="E805" s="2441">
        <f>IF(AND($C338="Roth",OR($B338="W",$B338="FW")),$G338,0)</f>
        <v>0</v>
      </c>
      <c r="F805" s="2616">
        <f>IF(AND($I338="Roth",OR($H338="C",$H338="FC")),$J338,0)</f>
        <v>0</v>
      </c>
      <c r="G805" s="2393">
        <f>IF(AND($I338="Roth",OR($H338="C",$H338="FC")),$M338,0)</f>
        <v>0</v>
      </c>
      <c r="H805" s="2616">
        <f>IF(AND($I338="Roth",OR($H338="W",$H338="FW")),$J338,0)</f>
        <v>0</v>
      </c>
      <c r="I805" s="2585">
        <f>IF(AND($I338="Roth",OR($H338="W",$H338="FW")),$M338,0)</f>
        <v>0</v>
      </c>
      <c r="J805" s="2617">
        <f>IF(AND($C338="inher-5Yr",OR($B338="W",$B338="FW")),$D338,0)</f>
        <v>0</v>
      </c>
      <c r="K805" s="2441">
        <f>IF(AND($C338="inher-5Yr",OR($B338="W",$B338="FW")),$G338,0)</f>
        <v>0</v>
      </c>
      <c r="L805" s="2616">
        <f>IF(AND($I338="inher-5Yr",OR($H338="W",$H338="FW")),$J338,0)</f>
        <v>0</v>
      </c>
      <c r="M805" s="2585">
        <f>IF(AND($I338="inher-5Yr",OR($H338="W",$H338="FW")),$M338,0)</f>
        <v>0</v>
      </c>
    </row>
    <row r="806" spans="1:13" ht="15.75" thickTop="1" x14ac:dyDescent="0.25">
      <c r="A806" s="2013"/>
      <c r="B806" s="1341"/>
      <c r="C806" s="1341"/>
      <c r="D806" s="1341"/>
      <c r="E806" s="1341"/>
      <c r="F806" s="1341"/>
      <c r="G806" s="1341"/>
      <c r="H806" s="1341"/>
      <c r="I806" s="1341"/>
      <c r="J806" s="1341"/>
      <c r="K806" s="1341"/>
      <c r="L806" s="1341"/>
      <c r="M806" s="1342"/>
    </row>
    <row r="807" spans="1:13" ht="19.5" thickBot="1" x14ac:dyDescent="0.35">
      <c r="A807" s="2469"/>
      <c r="B807" s="1992"/>
      <c r="C807" s="1992"/>
      <c r="D807" s="1992"/>
      <c r="E807" s="1992"/>
      <c r="F807" s="1992"/>
      <c r="G807" s="1757"/>
      <c r="H807" s="1757"/>
      <c r="I807" s="1757"/>
      <c r="J807" s="1757"/>
      <c r="K807" s="1757"/>
      <c r="L807" s="1757"/>
      <c r="M807" s="1855"/>
    </row>
    <row r="808" spans="1:13" ht="19.5" thickTop="1" x14ac:dyDescent="0.3">
      <c r="A808" s="2394"/>
      <c r="B808" s="2238" t="s">
        <v>2194</v>
      </c>
      <c r="C808" s="1982"/>
      <c r="D808" s="1341"/>
      <c r="E808" s="1341"/>
      <c r="F808" s="1623" t="s">
        <v>2198</v>
      </c>
      <c r="G808" s="1341"/>
      <c r="H808" s="1341"/>
      <c r="I808" s="1341"/>
      <c r="J808" s="1341"/>
      <c r="K808" s="1341"/>
      <c r="L808" s="1341"/>
      <c r="M808" s="1342"/>
    </row>
    <row r="809" spans="1:13" ht="19.5" thickBot="1" x14ac:dyDescent="0.35">
      <c r="A809" s="2353"/>
      <c r="B809" s="2416" t="s">
        <v>2197</v>
      </c>
      <c r="C809" s="1314"/>
      <c r="D809" s="1314"/>
      <c r="E809" s="1314"/>
      <c r="F809" s="3047" t="s">
        <v>2308</v>
      </c>
      <c r="G809" s="3048"/>
      <c r="H809" s="1314"/>
      <c r="I809" s="1314"/>
      <c r="J809" s="1314"/>
      <c r="K809" s="1314"/>
      <c r="L809" s="1314"/>
      <c r="M809" s="1315"/>
    </row>
    <row r="810" spans="1:13" ht="86.25" thickTop="1" thickBot="1" x14ac:dyDescent="0.3">
      <c r="A810" s="2418" t="s">
        <v>218</v>
      </c>
      <c r="B810" s="2391" t="s">
        <v>1988</v>
      </c>
      <c r="C810" s="2385" t="s">
        <v>1934</v>
      </c>
      <c r="D810" s="2383" t="s">
        <v>1935</v>
      </c>
      <c r="E810" s="2386" t="s">
        <v>1936</v>
      </c>
      <c r="F810" s="2392" t="s">
        <v>2199</v>
      </c>
      <c r="G810" s="2384" t="s">
        <v>2200</v>
      </c>
      <c r="H810" s="2383" t="s">
        <v>2201</v>
      </c>
      <c r="I810" s="2385" t="s">
        <v>2202</v>
      </c>
      <c r="J810" s="2383" t="s">
        <v>2203</v>
      </c>
      <c r="K810" s="2384" t="s">
        <v>2204</v>
      </c>
      <c r="L810" s="2383" t="s">
        <v>2195</v>
      </c>
      <c r="M810" s="2386" t="s">
        <v>2196</v>
      </c>
    </row>
    <row r="811" spans="1:13" ht="15.75" thickTop="1" x14ac:dyDescent="0.25">
      <c r="A811" s="2607">
        <v>1</v>
      </c>
      <c r="B811" s="2610">
        <f t="shared" ref="B811:B842" si="153">IF(AND($C235="inher-Life",OR($B235="W",$B235="FW")),$D235,0)</f>
        <v>0</v>
      </c>
      <c r="C811" s="1447">
        <f t="shared" ref="C811:C842" si="154">IF(AND($C235="inher-Life",OR($B235="W",$B235="FW")),$G235,0)</f>
        <v>0</v>
      </c>
      <c r="D811" s="2626">
        <f t="shared" ref="D811:D842" si="155">IF(AND($I235="inher-Life",OR($H235="W",$H235="FW")),$J235,0)</f>
        <v>0</v>
      </c>
      <c r="E811" s="2580">
        <f t="shared" ref="E811:E842" si="156">IF(AND($I235="inher-Life",OR($H235="W",$H235="FW")),$M235,0)</f>
        <v>0</v>
      </c>
      <c r="F811" s="3160">
        <f t="shared" ref="F811:F842" si="157">IF(AND($C235="non-deduct",OR($B235="C",$B235="FC")),$D235,0)</f>
        <v>0</v>
      </c>
      <c r="G811" s="3161">
        <f t="shared" ref="G811:G842" si="158">IF(AND($C235="non-deduct",OR($B235="C",$B235="FC")),$G235,0)</f>
        <v>0</v>
      </c>
      <c r="H811" s="3162">
        <f t="shared" ref="H811:H842" si="159">IF(AND($C235="non-deduct",OR($B235="W",$B235="FW")),$D235,0)</f>
        <v>0</v>
      </c>
      <c r="I811" s="3155">
        <f t="shared" ref="I811:I842" si="160">IF(AND($C235="non-deduct",OR($B235="W",$B235="FW")),$G235,0)</f>
        <v>0</v>
      </c>
      <c r="J811" s="3163">
        <f t="shared" ref="J811:J842" si="161">IF(AND($I235="non-deduct",OR($H235="C",$H235="FC")),$J235,0)</f>
        <v>0</v>
      </c>
      <c r="K811" s="3161">
        <f t="shared" ref="K811:K842" si="162">IF(AND($I235="non-deduct",OR($H235="C",$H235="FC")),$M235,0)</f>
        <v>0</v>
      </c>
      <c r="L811" s="3163">
        <f t="shared" ref="L811:L842" si="163">IF(AND($I235="non-deduct",OR($H235="W",$H235="FW")),$J235,0)</f>
        <v>0</v>
      </c>
      <c r="M811" s="3153">
        <f t="shared" ref="M811:M842" si="164">IF(AND($I235="non-deduct",OR($H235="W",$H235="FW")),$M235,0)</f>
        <v>0</v>
      </c>
    </row>
    <row r="812" spans="1:13" x14ac:dyDescent="0.25">
      <c r="A812" s="2611">
        <v>2</v>
      </c>
      <c r="B812" s="2613">
        <f t="shared" si="153"/>
        <v>0</v>
      </c>
      <c r="C812" s="408">
        <f t="shared" si="154"/>
        <v>0</v>
      </c>
      <c r="D812" s="2612">
        <f t="shared" si="155"/>
        <v>0</v>
      </c>
      <c r="E812" s="2583">
        <f t="shared" si="156"/>
        <v>0</v>
      </c>
      <c r="F812" s="3164">
        <f t="shared" si="157"/>
        <v>0</v>
      </c>
      <c r="G812" s="3165">
        <f t="shared" si="158"/>
        <v>0</v>
      </c>
      <c r="H812" s="3166">
        <f t="shared" si="159"/>
        <v>0</v>
      </c>
      <c r="I812" s="3157">
        <f t="shared" si="160"/>
        <v>0</v>
      </c>
      <c r="J812" s="3167">
        <f t="shared" si="161"/>
        <v>0</v>
      </c>
      <c r="K812" s="3165">
        <f t="shared" si="162"/>
        <v>0</v>
      </c>
      <c r="L812" s="3167">
        <f t="shared" si="163"/>
        <v>0</v>
      </c>
      <c r="M812" s="2642">
        <f t="shared" si="164"/>
        <v>0</v>
      </c>
    </row>
    <row r="813" spans="1:13" x14ac:dyDescent="0.25">
      <c r="A813" s="2611">
        <v>3</v>
      </c>
      <c r="B813" s="2613">
        <f t="shared" si="153"/>
        <v>0</v>
      </c>
      <c r="C813" s="408">
        <f t="shared" si="154"/>
        <v>0</v>
      </c>
      <c r="D813" s="2612">
        <f t="shared" si="155"/>
        <v>0</v>
      </c>
      <c r="E813" s="2583">
        <f t="shared" si="156"/>
        <v>0</v>
      </c>
      <c r="F813" s="3164">
        <f t="shared" si="157"/>
        <v>0</v>
      </c>
      <c r="G813" s="3165">
        <f t="shared" si="158"/>
        <v>0</v>
      </c>
      <c r="H813" s="3166">
        <f t="shared" si="159"/>
        <v>0</v>
      </c>
      <c r="I813" s="3157">
        <f t="shared" si="160"/>
        <v>0</v>
      </c>
      <c r="J813" s="3167">
        <f t="shared" si="161"/>
        <v>0</v>
      </c>
      <c r="K813" s="3165">
        <f t="shared" si="162"/>
        <v>0</v>
      </c>
      <c r="L813" s="3167">
        <f t="shared" si="163"/>
        <v>0</v>
      </c>
      <c r="M813" s="2642">
        <f t="shared" si="164"/>
        <v>0</v>
      </c>
    </row>
    <row r="814" spans="1:13" x14ac:dyDescent="0.25">
      <c r="A814" s="2611">
        <v>4</v>
      </c>
      <c r="B814" s="2613">
        <f t="shared" si="153"/>
        <v>0</v>
      </c>
      <c r="C814" s="408">
        <f t="shared" si="154"/>
        <v>0</v>
      </c>
      <c r="D814" s="2612">
        <f t="shared" si="155"/>
        <v>0</v>
      </c>
      <c r="E814" s="2583">
        <f t="shared" si="156"/>
        <v>0</v>
      </c>
      <c r="F814" s="3164">
        <f t="shared" si="157"/>
        <v>0</v>
      </c>
      <c r="G814" s="3165">
        <f t="shared" si="158"/>
        <v>0</v>
      </c>
      <c r="H814" s="3166">
        <f t="shared" si="159"/>
        <v>0</v>
      </c>
      <c r="I814" s="3157">
        <f t="shared" si="160"/>
        <v>0</v>
      </c>
      <c r="J814" s="3167">
        <f t="shared" si="161"/>
        <v>0</v>
      </c>
      <c r="K814" s="3165">
        <f t="shared" si="162"/>
        <v>0</v>
      </c>
      <c r="L814" s="3167">
        <f t="shared" si="163"/>
        <v>0</v>
      </c>
      <c r="M814" s="2642">
        <f t="shared" si="164"/>
        <v>0</v>
      </c>
    </row>
    <row r="815" spans="1:13" x14ac:dyDescent="0.25">
      <c r="A815" s="2611">
        <v>5</v>
      </c>
      <c r="B815" s="2613">
        <f t="shared" si="153"/>
        <v>0</v>
      </c>
      <c r="C815" s="408">
        <f t="shared" si="154"/>
        <v>0</v>
      </c>
      <c r="D815" s="2612">
        <f t="shared" si="155"/>
        <v>0</v>
      </c>
      <c r="E815" s="2583">
        <f t="shared" si="156"/>
        <v>0</v>
      </c>
      <c r="F815" s="3164">
        <f t="shared" si="157"/>
        <v>0</v>
      </c>
      <c r="G815" s="3165">
        <f t="shared" si="158"/>
        <v>0</v>
      </c>
      <c r="H815" s="3166">
        <f t="shared" si="159"/>
        <v>0</v>
      </c>
      <c r="I815" s="3157">
        <f t="shared" si="160"/>
        <v>0</v>
      </c>
      <c r="J815" s="3167">
        <f t="shared" si="161"/>
        <v>0</v>
      </c>
      <c r="K815" s="3165">
        <f t="shared" si="162"/>
        <v>0</v>
      </c>
      <c r="L815" s="3167">
        <f t="shared" si="163"/>
        <v>0</v>
      </c>
      <c r="M815" s="2642">
        <f t="shared" si="164"/>
        <v>0</v>
      </c>
    </row>
    <row r="816" spans="1:13" x14ac:dyDescent="0.25">
      <c r="A816" s="2611">
        <v>6</v>
      </c>
      <c r="B816" s="2613">
        <f t="shared" si="153"/>
        <v>0</v>
      </c>
      <c r="C816" s="408">
        <f t="shared" si="154"/>
        <v>0</v>
      </c>
      <c r="D816" s="2612">
        <f t="shared" si="155"/>
        <v>0</v>
      </c>
      <c r="E816" s="2583">
        <f t="shared" si="156"/>
        <v>0</v>
      </c>
      <c r="F816" s="3164">
        <f t="shared" si="157"/>
        <v>0</v>
      </c>
      <c r="G816" s="3165">
        <f t="shared" si="158"/>
        <v>0</v>
      </c>
      <c r="H816" s="3166">
        <f t="shared" si="159"/>
        <v>0</v>
      </c>
      <c r="I816" s="3157">
        <f t="shared" si="160"/>
        <v>0</v>
      </c>
      <c r="J816" s="3167">
        <f t="shared" si="161"/>
        <v>0</v>
      </c>
      <c r="K816" s="3165">
        <f t="shared" si="162"/>
        <v>0</v>
      </c>
      <c r="L816" s="3167">
        <f t="shared" si="163"/>
        <v>0</v>
      </c>
      <c r="M816" s="2642">
        <f t="shared" si="164"/>
        <v>0</v>
      </c>
    </row>
    <row r="817" spans="1:13" x14ac:dyDescent="0.25">
      <c r="A817" s="2611">
        <v>7</v>
      </c>
      <c r="B817" s="2613">
        <f t="shared" si="153"/>
        <v>0</v>
      </c>
      <c r="C817" s="408">
        <f t="shared" si="154"/>
        <v>0</v>
      </c>
      <c r="D817" s="2612">
        <f t="shared" si="155"/>
        <v>0</v>
      </c>
      <c r="E817" s="2583">
        <f t="shared" si="156"/>
        <v>0</v>
      </c>
      <c r="F817" s="3164">
        <f t="shared" si="157"/>
        <v>0</v>
      </c>
      <c r="G817" s="3165">
        <f t="shared" si="158"/>
        <v>0</v>
      </c>
      <c r="H817" s="3166">
        <f t="shared" si="159"/>
        <v>0</v>
      </c>
      <c r="I817" s="3157">
        <f t="shared" si="160"/>
        <v>0</v>
      </c>
      <c r="J817" s="3167">
        <f t="shared" si="161"/>
        <v>0</v>
      </c>
      <c r="K817" s="3165">
        <f t="shared" si="162"/>
        <v>0</v>
      </c>
      <c r="L817" s="3167">
        <f t="shared" si="163"/>
        <v>0</v>
      </c>
      <c r="M817" s="2642">
        <f t="shared" si="164"/>
        <v>0</v>
      </c>
    </row>
    <row r="818" spans="1:13" x14ac:dyDescent="0.25">
      <c r="A818" s="2611">
        <v>8</v>
      </c>
      <c r="B818" s="2613">
        <f t="shared" si="153"/>
        <v>0</v>
      </c>
      <c r="C818" s="408">
        <f t="shared" si="154"/>
        <v>0</v>
      </c>
      <c r="D818" s="2612">
        <f t="shared" si="155"/>
        <v>0</v>
      </c>
      <c r="E818" s="2583">
        <f t="shared" si="156"/>
        <v>0</v>
      </c>
      <c r="F818" s="3164">
        <f t="shared" si="157"/>
        <v>0</v>
      </c>
      <c r="G818" s="3165">
        <f t="shared" si="158"/>
        <v>0</v>
      </c>
      <c r="H818" s="3166">
        <f t="shared" si="159"/>
        <v>0</v>
      </c>
      <c r="I818" s="3157">
        <f t="shared" si="160"/>
        <v>0</v>
      </c>
      <c r="J818" s="3167">
        <f t="shared" si="161"/>
        <v>0</v>
      </c>
      <c r="K818" s="3165">
        <f t="shared" si="162"/>
        <v>0</v>
      </c>
      <c r="L818" s="3167">
        <f t="shared" si="163"/>
        <v>0</v>
      </c>
      <c r="M818" s="2642">
        <f t="shared" si="164"/>
        <v>0</v>
      </c>
    </row>
    <row r="819" spans="1:13" x14ac:dyDescent="0.25">
      <c r="A819" s="2611">
        <v>9</v>
      </c>
      <c r="B819" s="2613">
        <f>IF(AND($C243="inher-Life",OR($B243="W",$B243="FW")),$D243,0)</f>
        <v>0</v>
      </c>
      <c r="C819" s="408">
        <f>IF(AND($C243="inher-Life",OR($B243="W",$B243="FW")),$G243,0)</f>
        <v>0</v>
      </c>
      <c r="D819" s="2612">
        <f t="shared" si="155"/>
        <v>0</v>
      </c>
      <c r="E819" s="2583">
        <f t="shared" si="156"/>
        <v>0</v>
      </c>
      <c r="F819" s="3164">
        <f>IF(AND($C243="non-deduct",OR($B243="C",$B243="FC")),$D243,0)</f>
        <v>0</v>
      </c>
      <c r="G819" s="3165">
        <f>IF(AND($C243="non-deduct",OR($B243="C",$B243="FC")),$G243,0)</f>
        <v>0</v>
      </c>
      <c r="H819" s="3166">
        <f>IF(AND($C243="non-deduct",OR($B243="W",$B243="FW")),$D243,0)</f>
        <v>0</v>
      </c>
      <c r="I819" s="3157">
        <f>IF(AND($C243="non-deduct",OR($B243="W",$B243="FW")),$G243,0)</f>
        <v>0</v>
      </c>
      <c r="J819" s="3167">
        <f t="shared" si="161"/>
        <v>0</v>
      </c>
      <c r="K819" s="3165">
        <f t="shared" si="162"/>
        <v>0</v>
      </c>
      <c r="L819" s="3167">
        <f t="shared" si="163"/>
        <v>0</v>
      </c>
      <c r="M819" s="2642">
        <f t="shared" si="164"/>
        <v>0</v>
      </c>
    </row>
    <row r="820" spans="1:13" x14ac:dyDescent="0.25">
      <c r="A820" s="2611">
        <v>10</v>
      </c>
      <c r="B820" s="2613">
        <f>IF(AND($C244="inher-Life",OR($B244="W",$B244="FW")),$D244,0)</f>
        <v>0</v>
      </c>
      <c r="C820" s="408">
        <f>IF(AND($C244="inher-Life",OR($B244="W",$B244="FW")),$G244,0)</f>
        <v>0</v>
      </c>
      <c r="D820" s="2612">
        <f t="shared" si="155"/>
        <v>0</v>
      </c>
      <c r="E820" s="2583">
        <f t="shared" si="156"/>
        <v>0</v>
      </c>
      <c r="F820" s="3164">
        <f>IF(AND($C244="non-deduct",OR($B244="C",$B244="FC")),$D244,0)</f>
        <v>0</v>
      </c>
      <c r="G820" s="3165">
        <f>IF(AND($C244="non-deduct",OR($B244="C",$B244="FC")),$G244,0)</f>
        <v>0</v>
      </c>
      <c r="H820" s="3166">
        <f>IF(AND($C244="non-deduct",OR($B244="W",$B244="FW")),$D244,0)</f>
        <v>0</v>
      </c>
      <c r="I820" s="3157">
        <f>IF(AND($C244="non-deduct",OR($B244="W",$B244="FW")),$G244,0)</f>
        <v>0</v>
      </c>
      <c r="J820" s="3167">
        <f t="shared" si="161"/>
        <v>0</v>
      </c>
      <c r="K820" s="3165">
        <f t="shared" si="162"/>
        <v>0</v>
      </c>
      <c r="L820" s="3167">
        <f t="shared" si="163"/>
        <v>0</v>
      </c>
      <c r="M820" s="2642">
        <f t="shared" si="164"/>
        <v>0</v>
      </c>
    </row>
    <row r="821" spans="1:13" x14ac:dyDescent="0.25">
      <c r="A821" s="2611">
        <v>11</v>
      </c>
      <c r="B821" s="2613">
        <f t="shared" si="153"/>
        <v>0</v>
      </c>
      <c r="C821" s="408">
        <f t="shared" si="154"/>
        <v>0</v>
      </c>
      <c r="D821" s="2612">
        <f t="shared" si="155"/>
        <v>0</v>
      </c>
      <c r="E821" s="2583">
        <f t="shared" si="156"/>
        <v>0</v>
      </c>
      <c r="F821" s="3164">
        <f t="shared" si="157"/>
        <v>0</v>
      </c>
      <c r="G821" s="3165">
        <f t="shared" si="158"/>
        <v>0</v>
      </c>
      <c r="H821" s="3166">
        <f t="shared" si="159"/>
        <v>0</v>
      </c>
      <c r="I821" s="3157">
        <f t="shared" si="160"/>
        <v>0</v>
      </c>
      <c r="J821" s="3167">
        <f t="shared" si="161"/>
        <v>0</v>
      </c>
      <c r="K821" s="3165">
        <f t="shared" si="162"/>
        <v>0</v>
      </c>
      <c r="L821" s="3167">
        <f t="shared" si="163"/>
        <v>0</v>
      </c>
      <c r="M821" s="2642">
        <f t="shared" si="164"/>
        <v>0</v>
      </c>
    </row>
    <row r="822" spans="1:13" x14ac:dyDescent="0.25">
      <c r="A822" s="2611">
        <v>12</v>
      </c>
      <c r="B822" s="2613">
        <f t="shared" si="153"/>
        <v>0</v>
      </c>
      <c r="C822" s="408">
        <f t="shared" si="154"/>
        <v>0</v>
      </c>
      <c r="D822" s="2612">
        <f t="shared" si="155"/>
        <v>0</v>
      </c>
      <c r="E822" s="2583">
        <f t="shared" si="156"/>
        <v>0</v>
      </c>
      <c r="F822" s="3164">
        <f t="shared" si="157"/>
        <v>0</v>
      </c>
      <c r="G822" s="3165">
        <f t="shared" si="158"/>
        <v>0</v>
      </c>
      <c r="H822" s="3166">
        <f t="shared" si="159"/>
        <v>0</v>
      </c>
      <c r="I822" s="3157">
        <f t="shared" si="160"/>
        <v>0</v>
      </c>
      <c r="J822" s="3167">
        <f t="shared" si="161"/>
        <v>0</v>
      </c>
      <c r="K822" s="3165">
        <f t="shared" si="162"/>
        <v>0</v>
      </c>
      <c r="L822" s="3167">
        <f t="shared" si="163"/>
        <v>0</v>
      </c>
      <c r="M822" s="2642">
        <f t="shared" si="164"/>
        <v>0</v>
      </c>
    </row>
    <row r="823" spans="1:13" x14ac:dyDescent="0.25">
      <c r="A823" s="2611">
        <v>13</v>
      </c>
      <c r="B823" s="2613">
        <f t="shared" si="153"/>
        <v>0</v>
      </c>
      <c r="C823" s="408">
        <f t="shared" si="154"/>
        <v>0</v>
      </c>
      <c r="D823" s="2612">
        <f t="shared" si="155"/>
        <v>0</v>
      </c>
      <c r="E823" s="2583">
        <f t="shared" si="156"/>
        <v>0</v>
      </c>
      <c r="F823" s="3164">
        <f t="shared" si="157"/>
        <v>0</v>
      </c>
      <c r="G823" s="3165">
        <f t="shared" si="158"/>
        <v>0</v>
      </c>
      <c r="H823" s="3166">
        <f t="shared" si="159"/>
        <v>0</v>
      </c>
      <c r="I823" s="3157">
        <f t="shared" si="160"/>
        <v>0</v>
      </c>
      <c r="J823" s="3167">
        <f t="shared" si="161"/>
        <v>0</v>
      </c>
      <c r="K823" s="3165">
        <f t="shared" si="162"/>
        <v>0</v>
      </c>
      <c r="L823" s="3167">
        <f t="shared" si="163"/>
        <v>0</v>
      </c>
      <c r="M823" s="2642">
        <f t="shared" si="164"/>
        <v>0</v>
      </c>
    </row>
    <row r="824" spans="1:13" x14ac:dyDescent="0.25">
      <c r="A824" s="2611">
        <v>14</v>
      </c>
      <c r="B824" s="2613">
        <f t="shared" si="153"/>
        <v>0</v>
      </c>
      <c r="C824" s="408">
        <f t="shared" si="154"/>
        <v>0</v>
      </c>
      <c r="D824" s="2612">
        <f t="shared" si="155"/>
        <v>0</v>
      </c>
      <c r="E824" s="2583">
        <f t="shared" si="156"/>
        <v>0</v>
      </c>
      <c r="F824" s="3164">
        <f t="shared" si="157"/>
        <v>0</v>
      </c>
      <c r="G824" s="3165">
        <f t="shared" si="158"/>
        <v>0</v>
      </c>
      <c r="H824" s="3166">
        <f t="shared" si="159"/>
        <v>0</v>
      </c>
      <c r="I824" s="3157">
        <f t="shared" si="160"/>
        <v>0</v>
      </c>
      <c r="J824" s="3167">
        <f t="shared" si="161"/>
        <v>0</v>
      </c>
      <c r="K824" s="3165">
        <f t="shared" si="162"/>
        <v>0</v>
      </c>
      <c r="L824" s="3167">
        <f t="shared" si="163"/>
        <v>0</v>
      </c>
      <c r="M824" s="2642">
        <f t="shared" si="164"/>
        <v>0</v>
      </c>
    </row>
    <row r="825" spans="1:13" x14ac:dyDescent="0.25">
      <c r="A825" s="2611">
        <v>15</v>
      </c>
      <c r="B825" s="2613">
        <f t="shared" si="153"/>
        <v>0</v>
      </c>
      <c r="C825" s="408">
        <f t="shared" si="154"/>
        <v>0</v>
      </c>
      <c r="D825" s="2612">
        <f t="shared" si="155"/>
        <v>0</v>
      </c>
      <c r="E825" s="2583">
        <f t="shared" si="156"/>
        <v>0</v>
      </c>
      <c r="F825" s="3164">
        <f t="shared" si="157"/>
        <v>0</v>
      </c>
      <c r="G825" s="3165">
        <f t="shared" si="158"/>
        <v>0</v>
      </c>
      <c r="H825" s="3166">
        <f t="shared" si="159"/>
        <v>0</v>
      </c>
      <c r="I825" s="3157">
        <f t="shared" si="160"/>
        <v>0</v>
      </c>
      <c r="J825" s="3167">
        <f t="shared" si="161"/>
        <v>0</v>
      </c>
      <c r="K825" s="3165">
        <f t="shared" si="162"/>
        <v>0</v>
      </c>
      <c r="L825" s="3167">
        <f t="shared" si="163"/>
        <v>0</v>
      </c>
      <c r="M825" s="2642">
        <f t="shared" si="164"/>
        <v>0</v>
      </c>
    </row>
    <row r="826" spans="1:13" x14ac:dyDescent="0.25">
      <c r="A826" s="2611">
        <v>16</v>
      </c>
      <c r="B826" s="2613">
        <f t="shared" si="153"/>
        <v>0</v>
      </c>
      <c r="C826" s="408">
        <f t="shared" si="154"/>
        <v>0</v>
      </c>
      <c r="D826" s="2612">
        <f t="shared" si="155"/>
        <v>0</v>
      </c>
      <c r="E826" s="2583">
        <f t="shared" si="156"/>
        <v>0</v>
      </c>
      <c r="F826" s="3164">
        <f t="shared" si="157"/>
        <v>0</v>
      </c>
      <c r="G826" s="3165">
        <f t="shared" si="158"/>
        <v>0</v>
      </c>
      <c r="H826" s="3166">
        <f t="shared" si="159"/>
        <v>0</v>
      </c>
      <c r="I826" s="3157">
        <f t="shared" si="160"/>
        <v>0</v>
      </c>
      <c r="J826" s="3167">
        <f t="shared" si="161"/>
        <v>0</v>
      </c>
      <c r="K826" s="3165">
        <f t="shared" si="162"/>
        <v>0</v>
      </c>
      <c r="L826" s="3167">
        <f t="shared" si="163"/>
        <v>0</v>
      </c>
      <c r="M826" s="2642">
        <f t="shared" si="164"/>
        <v>0</v>
      </c>
    </row>
    <row r="827" spans="1:13" x14ac:dyDescent="0.25">
      <c r="A827" s="2611">
        <v>17</v>
      </c>
      <c r="B827" s="2613">
        <f t="shared" si="153"/>
        <v>0</v>
      </c>
      <c r="C827" s="408">
        <f t="shared" si="154"/>
        <v>0</v>
      </c>
      <c r="D827" s="2612">
        <f t="shared" si="155"/>
        <v>0</v>
      </c>
      <c r="E827" s="2583">
        <f t="shared" si="156"/>
        <v>0</v>
      </c>
      <c r="F827" s="3164">
        <f t="shared" si="157"/>
        <v>0</v>
      </c>
      <c r="G827" s="3165">
        <f t="shared" si="158"/>
        <v>0</v>
      </c>
      <c r="H827" s="3166">
        <f t="shared" si="159"/>
        <v>0</v>
      </c>
      <c r="I827" s="3157">
        <f t="shared" si="160"/>
        <v>0</v>
      </c>
      <c r="J827" s="3167">
        <f t="shared" si="161"/>
        <v>0</v>
      </c>
      <c r="K827" s="3165">
        <f t="shared" si="162"/>
        <v>0</v>
      </c>
      <c r="L827" s="3167">
        <f t="shared" si="163"/>
        <v>0</v>
      </c>
      <c r="M827" s="2642">
        <f t="shared" si="164"/>
        <v>0</v>
      </c>
    </row>
    <row r="828" spans="1:13" x14ac:dyDescent="0.25">
      <c r="A828" s="2611">
        <v>18</v>
      </c>
      <c r="B828" s="2613">
        <f t="shared" si="153"/>
        <v>0</v>
      </c>
      <c r="C828" s="408">
        <f t="shared" si="154"/>
        <v>0</v>
      </c>
      <c r="D828" s="2612">
        <f t="shared" si="155"/>
        <v>0</v>
      </c>
      <c r="E828" s="2583">
        <f t="shared" si="156"/>
        <v>0</v>
      </c>
      <c r="F828" s="3164">
        <f t="shared" si="157"/>
        <v>0</v>
      </c>
      <c r="G828" s="3165">
        <f t="shared" si="158"/>
        <v>0</v>
      </c>
      <c r="H828" s="3166">
        <f t="shared" si="159"/>
        <v>0</v>
      </c>
      <c r="I828" s="3157">
        <f t="shared" si="160"/>
        <v>0</v>
      </c>
      <c r="J828" s="3167">
        <f t="shared" si="161"/>
        <v>0</v>
      </c>
      <c r="K828" s="3165">
        <f t="shared" si="162"/>
        <v>0</v>
      </c>
      <c r="L828" s="3167">
        <f t="shared" si="163"/>
        <v>0</v>
      </c>
      <c r="M828" s="2642">
        <f t="shared" si="164"/>
        <v>0</v>
      </c>
    </row>
    <row r="829" spans="1:13" x14ac:dyDescent="0.25">
      <c r="A829" s="2611">
        <v>19</v>
      </c>
      <c r="B829" s="2613">
        <f t="shared" si="153"/>
        <v>0</v>
      </c>
      <c r="C829" s="408">
        <f t="shared" si="154"/>
        <v>0</v>
      </c>
      <c r="D829" s="2612">
        <f t="shared" si="155"/>
        <v>0</v>
      </c>
      <c r="E829" s="2583">
        <f t="shared" si="156"/>
        <v>0</v>
      </c>
      <c r="F829" s="3164">
        <f t="shared" si="157"/>
        <v>0</v>
      </c>
      <c r="G829" s="3165">
        <f t="shared" si="158"/>
        <v>0</v>
      </c>
      <c r="H829" s="3166">
        <f t="shared" si="159"/>
        <v>0</v>
      </c>
      <c r="I829" s="3157">
        <f t="shared" si="160"/>
        <v>0</v>
      </c>
      <c r="J829" s="3167">
        <f t="shared" si="161"/>
        <v>0</v>
      </c>
      <c r="K829" s="3165">
        <f t="shared" si="162"/>
        <v>0</v>
      </c>
      <c r="L829" s="3167">
        <f t="shared" si="163"/>
        <v>0</v>
      </c>
      <c r="M829" s="2642">
        <f t="shared" si="164"/>
        <v>0</v>
      </c>
    </row>
    <row r="830" spans="1:13" x14ac:dyDescent="0.25">
      <c r="A830" s="2611">
        <v>20</v>
      </c>
      <c r="B830" s="2613">
        <f t="shared" si="153"/>
        <v>0</v>
      </c>
      <c r="C830" s="408">
        <f t="shared" si="154"/>
        <v>0</v>
      </c>
      <c r="D830" s="2612">
        <f t="shared" si="155"/>
        <v>0</v>
      </c>
      <c r="E830" s="2583">
        <f t="shared" si="156"/>
        <v>0</v>
      </c>
      <c r="F830" s="3164">
        <f t="shared" si="157"/>
        <v>0</v>
      </c>
      <c r="G830" s="3165">
        <f t="shared" si="158"/>
        <v>0</v>
      </c>
      <c r="H830" s="3166">
        <f t="shared" si="159"/>
        <v>0</v>
      </c>
      <c r="I830" s="3157">
        <f t="shared" si="160"/>
        <v>0</v>
      </c>
      <c r="J830" s="3167">
        <f t="shared" si="161"/>
        <v>0</v>
      </c>
      <c r="K830" s="3165">
        <f t="shared" si="162"/>
        <v>0</v>
      </c>
      <c r="L830" s="3167">
        <f t="shared" si="163"/>
        <v>0</v>
      </c>
      <c r="M830" s="2642">
        <f t="shared" si="164"/>
        <v>0</v>
      </c>
    </row>
    <row r="831" spans="1:13" x14ac:dyDescent="0.25">
      <c r="A831" s="2611">
        <v>21</v>
      </c>
      <c r="B831" s="2613">
        <f t="shared" si="153"/>
        <v>0</v>
      </c>
      <c r="C831" s="408">
        <f t="shared" si="154"/>
        <v>0</v>
      </c>
      <c r="D831" s="2612">
        <f t="shared" si="155"/>
        <v>0</v>
      </c>
      <c r="E831" s="2583">
        <f t="shared" si="156"/>
        <v>0</v>
      </c>
      <c r="F831" s="3164">
        <f t="shared" si="157"/>
        <v>0</v>
      </c>
      <c r="G831" s="3165">
        <f t="shared" si="158"/>
        <v>0</v>
      </c>
      <c r="H831" s="3166">
        <f t="shared" si="159"/>
        <v>0</v>
      </c>
      <c r="I831" s="3157">
        <f t="shared" si="160"/>
        <v>0</v>
      </c>
      <c r="J831" s="3167">
        <f t="shared" si="161"/>
        <v>0</v>
      </c>
      <c r="K831" s="3165">
        <f t="shared" si="162"/>
        <v>0</v>
      </c>
      <c r="L831" s="3167">
        <f t="shared" si="163"/>
        <v>0</v>
      </c>
      <c r="M831" s="2642">
        <f t="shared" si="164"/>
        <v>0</v>
      </c>
    </row>
    <row r="832" spans="1:13" x14ac:dyDescent="0.25">
      <c r="A832" s="2611">
        <v>22</v>
      </c>
      <c r="B832" s="2613">
        <f t="shared" si="153"/>
        <v>0</v>
      </c>
      <c r="C832" s="408">
        <f t="shared" si="154"/>
        <v>0</v>
      </c>
      <c r="D832" s="2612">
        <f t="shared" si="155"/>
        <v>0</v>
      </c>
      <c r="E832" s="2583">
        <f t="shared" si="156"/>
        <v>0</v>
      </c>
      <c r="F832" s="3164">
        <f t="shared" si="157"/>
        <v>0</v>
      </c>
      <c r="G832" s="3165">
        <f t="shared" si="158"/>
        <v>0</v>
      </c>
      <c r="H832" s="3166">
        <f t="shared" si="159"/>
        <v>0</v>
      </c>
      <c r="I832" s="3157">
        <f t="shared" si="160"/>
        <v>0</v>
      </c>
      <c r="J832" s="3167">
        <f t="shared" si="161"/>
        <v>0</v>
      </c>
      <c r="K832" s="3165">
        <f t="shared" si="162"/>
        <v>0</v>
      </c>
      <c r="L832" s="3167">
        <f t="shared" si="163"/>
        <v>0</v>
      </c>
      <c r="M832" s="2642">
        <f t="shared" si="164"/>
        <v>0</v>
      </c>
    </row>
    <row r="833" spans="1:13" x14ac:dyDescent="0.25">
      <c r="A833" s="2611">
        <v>23</v>
      </c>
      <c r="B833" s="2613">
        <f t="shared" si="153"/>
        <v>0</v>
      </c>
      <c r="C833" s="408">
        <f t="shared" si="154"/>
        <v>0</v>
      </c>
      <c r="D833" s="2612">
        <f t="shared" si="155"/>
        <v>0</v>
      </c>
      <c r="E833" s="2583">
        <f t="shared" si="156"/>
        <v>0</v>
      </c>
      <c r="F833" s="3164">
        <f t="shared" si="157"/>
        <v>0</v>
      </c>
      <c r="G833" s="3165">
        <f t="shared" si="158"/>
        <v>0</v>
      </c>
      <c r="H833" s="3166">
        <f t="shared" si="159"/>
        <v>0</v>
      </c>
      <c r="I833" s="3157">
        <f t="shared" si="160"/>
        <v>0</v>
      </c>
      <c r="J833" s="3167">
        <f t="shared" si="161"/>
        <v>0</v>
      </c>
      <c r="K833" s="3165">
        <f t="shared" si="162"/>
        <v>0</v>
      </c>
      <c r="L833" s="3167">
        <f t="shared" si="163"/>
        <v>0</v>
      </c>
      <c r="M833" s="2642">
        <f t="shared" si="164"/>
        <v>0</v>
      </c>
    </row>
    <row r="834" spans="1:13" x14ac:dyDescent="0.25">
      <c r="A834" s="2611">
        <v>24</v>
      </c>
      <c r="B834" s="2613">
        <f t="shared" si="153"/>
        <v>0</v>
      </c>
      <c r="C834" s="408">
        <f t="shared" si="154"/>
        <v>0</v>
      </c>
      <c r="D834" s="2612">
        <f t="shared" si="155"/>
        <v>0</v>
      </c>
      <c r="E834" s="2583">
        <f t="shared" si="156"/>
        <v>0</v>
      </c>
      <c r="F834" s="3164">
        <f t="shared" si="157"/>
        <v>0</v>
      </c>
      <c r="G834" s="3165">
        <f t="shared" si="158"/>
        <v>0</v>
      </c>
      <c r="H834" s="3166">
        <f t="shared" si="159"/>
        <v>0</v>
      </c>
      <c r="I834" s="3157">
        <f t="shared" si="160"/>
        <v>0</v>
      </c>
      <c r="J834" s="3167">
        <f t="shared" si="161"/>
        <v>0</v>
      </c>
      <c r="K834" s="3165">
        <f t="shared" si="162"/>
        <v>0</v>
      </c>
      <c r="L834" s="3167">
        <f t="shared" si="163"/>
        <v>0</v>
      </c>
      <c r="M834" s="2642">
        <f t="shared" si="164"/>
        <v>0</v>
      </c>
    </row>
    <row r="835" spans="1:13" x14ac:dyDescent="0.25">
      <c r="A835" s="2611">
        <v>25</v>
      </c>
      <c r="B835" s="2613">
        <f t="shared" si="153"/>
        <v>0</v>
      </c>
      <c r="C835" s="408">
        <f t="shared" si="154"/>
        <v>0</v>
      </c>
      <c r="D835" s="2612">
        <f t="shared" si="155"/>
        <v>0</v>
      </c>
      <c r="E835" s="2583">
        <f t="shared" si="156"/>
        <v>0</v>
      </c>
      <c r="F835" s="3164">
        <f t="shared" si="157"/>
        <v>0</v>
      </c>
      <c r="G835" s="3165">
        <f t="shared" si="158"/>
        <v>0</v>
      </c>
      <c r="H835" s="3166">
        <f t="shared" si="159"/>
        <v>0</v>
      </c>
      <c r="I835" s="3157">
        <f t="shared" si="160"/>
        <v>0</v>
      </c>
      <c r="J835" s="3167">
        <f t="shared" si="161"/>
        <v>0</v>
      </c>
      <c r="K835" s="3165">
        <f t="shared" si="162"/>
        <v>0</v>
      </c>
      <c r="L835" s="3167">
        <f t="shared" si="163"/>
        <v>0</v>
      </c>
      <c r="M835" s="2642">
        <f t="shared" si="164"/>
        <v>0</v>
      </c>
    </row>
    <row r="836" spans="1:13" x14ac:dyDescent="0.25">
      <c r="A836" s="2611">
        <v>26</v>
      </c>
      <c r="B836" s="2613">
        <f t="shared" si="153"/>
        <v>0</v>
      </c>
      <c r="C836" s="408">
        <f t="shared" si="154"/>
        <v>0</v>
      </c>
      <c r="D836" s="2612">
        <f t="shared" si="155"/>
        <v>0</v>
      </c>
      <c r="E836" s="2583">
        <f t="shared" si="156"/>
        <v>0</v>
      </c>
      <c r="F836" s="3164">
        <f t="shared" si="157"/>
        <v>0</v>
      </c>
      <c r="G836" s="3165">
        <f t="shared" si="158"/>
        <v>0</v>
      </c>
      <c r="H836" s="3166">
        <f t="shared" si="159"/>
        <v>0</v>
      </c>
      <c r="I836" s="3157">
        <f t="shared" si="160"/>
        <v>0</v>
      </c>
      <c r="J836" s="3167">
        <f t="shared" si="161"/>
        <v>0</v>
      </c>
      <c r="K836" s="3165">
        <f t="shared" si="162"/>
        <v>0</v>
      </c>
      <c r="L836" s="3167">
        <f t="shared" si="163"/>
        <v>0</v>
      </c>
      <c r="M836" s="2642">
        <f t="shared" si="164"/>
        <v>0</v>
      </c>
    </row>
    <row r="837" spans="1:13" x14ac:dyDescent="0.25">
      <c r="A837" s="2611">
        <v>27</v>
      </c>
      <c r="B837" s="2613">
        <f t="shared" si="153"/>
        <v>0</v>
      </c>
      <c r="C837" s="408">
        <f t="shared" si="154"/>
        <v>0</v>
      </c>
      <c r="D837" s="2612">
        <f t="shared" si="155"/>
        <v>0</v>
      </c>
      <c r="E837" s="2583">
        <f t="shared" si="156"/>
        <v>0</v>
      </c>
      <c r="F837" s="3164">
        <f t="shared" si="157"/>
        <v>0</v>
      </c>
      <c r="G837" s="3165">
        <f t="shared" si="158"/>
        <v>0</v>
      </c>
      <c r="H837" s="3166">
        <f t="shared" si="159"/>
        <v>0</v>
      </c>
      <c r="I837" s="3157">
        <f t="shared" si="160"/>
        <v>0</v>
      </c>
      <c r="J837" s="3167">
        <f t="shared" si="161"/>
        <v>0</v>
      </c>
      <c r="K837" s="3165">
        <f t="shared" si="162"/>
        <v>0</v>
      </c>
      <c r="L837" s="3167">
        <f t="shared" si="163"/>
        <v>0</v>
      </c>
      <c r="M837" s="2642">
        <f t="shared" si="164"/>
        <v>0</v>
      </c>
    </row>
    <row r="838" spans="1:13" x14ac:dyDescent="0.25">
      <c r="A838" s="2611">
        <v>28</v>
      </c>
      <c r="B838" s="2613">
        <f t="shared" si="153"/>
        <v>0</v>
      </c>
      <c r="C838" s="408">
        <f t="shared" si="154"/>
        <v>0</v>
      </c>
      <c r="D838" s="2612">
        <f t="shared" si="155"/>
        <v>0</v>
      </c>
      <c r="E838" s="2583">
        <f t="shared" si="156"/>
        <v>0</v>
      </c>
      <c r="F838" s="3164">
        <f t="shared" si="157"/>
        <v>0</v>
      </c>
      <c r="G838" s="3165">
        <f t="shared" si="158"/>
        <v>0</v>
      </c>
      <c r="H838" s="3166">
        <f t="shared" si="159"/>
        <v>0</v>
      </c>
      <c r="I838" s="3157">
        <f t="shared" si="160"/>
        <v>0</v>
      </c>
      <c r="J838" s="3167">
        <f t="shared" si="161"/>
        <v>0</v>
      </c>
      <c r="K838" s="3165">
        <f t="shared" si="162"/>
        <v>0</v>
      </c>
      <c r="L838" s="3167">
        <f t="shared" si="163"/>
        <v>0</v>
      </c>
      <c r="M838" s="2642">
        <f t="shared" si="164"/>
        <v>0</v>
      </c>
    </row>
    <row r="839" spans="1:13" x14ac:dyDescent="0.25">
      <c r="A839" s="2611">
        <v>29</v>
      </c>
      <c r="B839" s="2613">
        <f t="shared" si="153"/>
        <v>0</v>
      </c>
      <c r="C839" s="408">
        <f t="shared" si="154"/>
        <v>0</v>
      </c>
      <c r="D839" s="2612">
        <f t="shared" si="155"/>
        <v>0</v>
      </c>
      <c r="E839" s="2583">
        <f t="shared" si="156"/>
        <v>0</v>
      </c>
      <c r="F839" s="3164">
        <f t="shared" si="157"/>
        <v>0</v>
      </c>
      <c r="G839" s="3165">
        <f t="shared" si="158"/>
        <v>0</v>
      </c>
      <c r="H839" s="3166">
        <f t="shared" si="159"/>
        <v>0</v>
      </c>
      <c r="I839" s="3157">
        <f t="shared" si="160"/>
        <v>0</v>
      </c>
      <c r="J839" s="3167">
        <f t="shared" si="161"/>
        <v>0</v>
      </c>
      <c r="K839" s="3165">
        <f t="shared" si="162"/>
        <v>0</v>
      </c>
      <c r="L839" s="3167">
        <f t="shared" si="163"/>
        <v>0</v>
      </c>
      <c r="M839" s="2642">
        <f t="shared" si="164"/>
        <v>0</v>
      </c>
    </row>
    <row r="840" spans="1:13" x14ac:dyDescent="0.25">
      <c r="A840" s="2611">
        <v>30</v>
      </c>
      <c r="B840" s="2613">
        <f t="shared" si="153"/>
        <v>0</v>
      </c>
      <c r="C840" s="408">
        <f t="shared" si="154"/>
        <v>0</v>
      </c>
      <c r="D840" s="2612">
        <f t="shared" si="155"/>
        <v>0</v>
      </c>
      <c r="E840" s="2583">
        <f t="shared" si="156"/>
        <v>0</v>
      </c>
      <c r="F840" s="3164">
        <f t="shared" si="157"/>
        <v>0</v>
      </c>
      <c r="G840" s="3165">
        <f t="shared" si="158"/>
        <v>0</v>
      </c>
      <c r="H840" s="3166">
        <f t="shared" si="159"/>
        <v>0</v>
      </c>
      <c r="I840" s="3157">
        <f t="shared" si="160"/>
        <v>0</v>
      </c>
      <c r="J840" s="3167">
        <f t="shared" si="161"/>
        <v>0</v>
      </c>
      <c r="K840" s="3165">
        <f t="shared" si="162"/>
        <v>0</v>
      </c>
      <c r="L840" s="3167">
        <f t="shared" si="163"/>
        <v>0</v>
      </c>
      <c r="M840" s="2642">
        <f t="shared" si="164"/>
        <v>0</v>
      </c>
    </row>
    <row r="841" spans="1:13" x14ac:dyDescent="0.25">
      <c r="A841" s="2611">
        <v>31</v>
      </c>
      <c r="B841" s="2613">
        <f t="shared" si="153"/>
        <v>0</v>
      </c>
      <c r="C841" s="408">
        <f t="shared" si="154"/>
        <v>0</v>
      </c>
      <c r="D841" s="2612">
        <f t="shared" si="155"/>
        <v>0</v>
      </c>
      <c r="E841" s="2583">
        <f t="shared" si="156"/>
        <v>0</v>
      </c>
      <c r="F841" s="3164">
        <f t="shared" si="157"/>
        <v>0</v>
      </c>
      <c r="G841" s="3165">
        <f t="shared" si="158"/>
        <v>0</v>
      </c>
      <c r="H841" s="3166">
        <f t="shared" si="159"/>
        <v>0</v>
      </c>
      <c r="I841" s="3157">
        <f t="shared" si="160"/>
        <v>0</v>
      </c>
      <c r="J841" s="3167">
        <f t="shared" si="161"/>
        <v>0</v>
      </c>
      <c r="K841" s="3165">
        <f t="shared" si="162"/>
        <v>0</v>
      </c>
      <c r="L841" s="3167">
        <f t="shared" si="163"/>
        <v>0</v>
      </c>
      <c r="M841" s="2642">
        <f t="shared" si="164"/>
        <v>0</v>
      </c>
    </row>
    <row r="842" spans="1:13" x14ac:dyDescent="0.25">
      <c r="A842" s="2611">
        <v>32</v>
      </c>
      <c r="B842" s="2613">
        <f t="shared" si="153"/>
        <v>0</v>
      </c>
      <c r="C842" s="408">
        <f t="shared" si="154"/>
        <v>0</v>
      </c>
      <c r="D842" s="2612">
        <f t="shared" si="155"/>
        <v>0</v>
      </c>
      <c r="E842" s="2583">
        <f t="shared" si="156"/>
        <v>0</v>
      </c>
      <c r="F842" s="3164">
        <f t="shared" si="157"/>
        <v>0</v>
      </c>
      <c r="G842" s="3165">
        <f t="shared" si="158"/>
        <v>0</v>
      </c>
      <c r="H842" s="3166">
        <f t="shared" si="159"/>
        <v>0</v>
      </c>
      <c r="I842" s="3157">
        <f t="shared" si="160"/>
        <v>0</v>
      </c>
      <c r="J842" s="3167">
        <f t="shared" si="161"/>
        <v>0</v>
      </c>
      <c r="K842" s="3165">
        <f t="shared" si="162"/>
        <v>0</v>
      </c>
      <c r="L842" s="3167">
        <f t="shared" si="163"/>
        <v>0</v>
      </c>
      <c r="M842" s="2642">
        <f t="shared" si="164"/>
        <v>0</v>
      </c>
    </row>
    <row r="843" spans="1:13" x14ac:dyDescent="0.25">
      <c r="A843" s="2611">
        <v>33</v>
      </c>
      <c r="B843" s="2613">
        <f t="shared" ref="B843:B874" si="165">IF(AND($C267="inher-Life",OR($B267="W",$B267="FW")),$D267,0)</f>
        <v>0</v>
      </c>
      <c r="C843" s="408">
        <f t="shared" ref="C843:C874" si="166">IF(AND($C267="inher-Life",OR($B267="W",$B267="FW")),$G267,0)</f>
        <v>0</v>
      </c>
      <c r="D843" s="2612">
        <f t="shared" ref="D843:D874" si="167">IF(AND($I267="inher-Life",OR($H267="W",$H267="FW")),$J267,0)</f>
        <v>0</v>
      </c>
      <c r="E843" s="2583">
        <f t="shared" ref="E843:E874" si="168">IF(AND($I267="inher-Life",OR($H267="W",$H267="FW")),$M267,0)</f>
        <v>0</v>
      </c>
      <c r="F843" s="3164">
        <f t="shared" ref="F843:F874" si="169">IF(AND($C267="non-deduct",OR($B267="C",$B267="FC")),$D267,0)</f>
        <v>0</v>
      </c>
      <c r="G843" s="3165">
        <f t="shared" ref="G843:G874" si="170">IF(AND($C267="non-deduct",OR($B267="C",$B267="FC")),$G267,0)</f>
        <v>0</v>
      </c>
      <c r="H843" s="3166">
        <f t="shared" ref="H843:H874" si="171">IF(AND($C267="non-deduct",OR($B267="W",$B267="FW")),$D267,0)</f>
        <v>0</v>
      </c>
      <c r="I843" s="3157">
        <f t="shared" ref="I843:I874" si="172">IF(AND($C267="non-deduct",OR($B267="W",$B267="FW")),$G267,0)</f>
        <v>0</v>
      </c>
      <c r="J843" s="3167">
        <f t="shared" ref="J843:J874" si="173">IF(AND($I267="non-deduct",OR($H267="C",$H267="FC")),$J267,0)</f>
        <v>0</v>
      </c>
      <c r="K843" s="3165">
        <f t="shared" ref="K843:K874" si="174">IF(AND($I267="non-deduct",OR($H267="C",$H267="FC")),$M267,0)</f>
        <v>0</v>
      </c>
      <c r="L843" s="3167">
        <f t="shared" ref="L843:L874" si="175">IF(AND($I267="non-deduct",OR($H267="W",$H267="FW")),$J267,0)</f>
        <v>0</v>
      </c>
      <c r="M843" s="2642">
        <f t="shared" ref="M843:M874" si="176">IF(AND($I267="non-deduct",OR($H267="W",$H267="FW")),$M267,0)</f>
        <v>0</v>
      </c>
    </row>
    <row r="844" spans="1:13" x14ac:dyDescent="0.25">
      <c r="A844" s="2611">
        <v>34</v>
      </c>
      <c r="B844" s="2613">
        <f t="shared" si="165"/>
        <v>0</v>
      </c>
      <c r="C844" s="408">
        <f t="shared" si="166"/>
        <v>0</v>
      </c>
      <c r="D844" s="2612">
        <f t="shared" si="167"/>
        <v>0</v>
      </c>
      <c r="E844" s="2583">
        <f t="shared" si="168"/>
        <v>0</v>
      </c>
      <c r="F844" s="3164">
        <f t="shared" si="169"/>
        <v>0</v>
      </c>
      <c r="G844" s="3165">
        <f t="shared" si="170"/>
        <v>0</v>
      </c>
      <c r="H844" s="3166">
        <f t="shared" si="171"/>
        <v>0</v>
      </c>
      <c r="I844" s="3157">
        <f t="shared" si="172"/>
        <v>0</v>
      </c>
      <c r="J844" s="3167">
        <f t="shared" si="173"/>
        <v>0</v>
      </c>
      <c r="K844" s="3165">
        <f t="shared" si="174"/>
        <v>0</v>
      </c>
      <c r="L844" s="3167">
        <f t="shared" si="175"/>
        <v>0</v>
      </c>
      <c r="M844" s="2642">
        <f t="shared" si="176"/>
        <v>0</v>
      </c>
    </row>
    <row r="845" spans="1:13" x14ac:dyDescent="0.25">
      <c r="A845" s="2611">
        <v>35</v>
      </c>
      <c r="B845" s="2613">
        <f t="shared" si="165"/>
        <v>0</v>
      </c>
      <c r="C845" s="408">
        <f t="shared" si="166"/>
        <v>0</v>
      </c>
      <c r="D845" s="2612">
        <f t="shared" si="167"/>
        <v>0</v>
      </c>
      <c r="E845" s="2583">
        <f t="shared" si="168"/>
        <v>0</v>
      </c>
      <c r="F845" s="3164">
        <f t="shared" si="169"/>
        <v>0</v>
      </c>
      <c r="G845" s="3165">
        <f t="shared" si="170"/>
        <v>0</v>
      </c>
      <c r="H845" s="3166">
        <f t="shared" si="171"/>
        <v>0</v>
      </c>
      <c r="I845" s="3157">
        <f t="shared" si="172"/>
        <v>0</v>
      </c>
      <c r="J845" s="3167">
        <f t="shared" si="173"/>
        <v>0</v>
      </c>
      <c r="K845" s="3165">
        <f t="shared" si="174"/>
        <v>0</v>
      </c>
      <c r="L845" s="3167">
        <f t="shared" si="175"/>
        <v>0</v>
      </c>
      <c r="M845" s="2642">
        <f t="shared" si="176"/>
        <v>0</v>
      </c>
    </row>
    <row r="846" spans="1:13" x14ac:dyDescent="0.25">
      <c r="A846" s="2611">
        <v>36</v>
      </c>
      <c r="B846" s="2613">
        <f t="shared" si="165"/>
        <v>0</v>
      </c>
      <c r="C846" s="408">
        <f t="shared" si="166"/>
        <v>0</v>
      </c>
      <c r="D846" s="2612">
        <f t="shared" si="167"/>
        <v>0</v>
      </c>
      <c r="E846" s="2583">
        <f t="shared" si="168"/>
        <v>0</v>
      </c>
      <c r="F846" s="3164">
        <f t="shared" si="169"/>
        <v>0</v>
      </c>
      <c r="G846" s="3165">
        <f t="shared" si="170"/>
        <v>0</v>
      </c>
      <c r="H846" s="3166">
        <f t="shared" si="171"/>
        <v>0</v>
      </c>
      <c r="I846" s="3157">
        <f t="shared" si="172"/>
        <v>0</v>
      </c>
      <c r="J846" s="3167">
        <f t="shared" si="173"/>
        <v>0</v>
      </c>
      <c r="K846" s="3165">
        <f t="shared" si="174"/>
        <v>0</v>
      </c>
      <c r="L846" s="3167">
        <f t="shared" si="175"/>
        <v>0</v>
      </c>
      <c r="M846" s="2642">
        <f t="shared" si="176"/>
        <v>0</v>
      </c>
    </row>
    <row r="847" spans="1:13" x14ac:dyDescent="0.25">
      <c r="A847" s="2611">
        <v>37</v>
      </c>
      <c r="B847" s="2613">
        <f t="shared" si="165"/>
        <v>0</v>
      </c>
      <c r="C847" s="408">
        <f t="shared" si="166"/>
        <v>0</v>
      </c>
      <c r="D847" s="2612">
        <f t="shared" si="167"/>
        <v>0</v>
      </c>
      <c r="E847" s="2583">
        <f t="shared" si="168"/>
        <v>0</v>
      </c>
      <c r="F847" s="3164">
        <f t="shared" si="169"/>
        <v>0</v>
      </c>
      <c r="G847" s="3165">
        <f t="shared" si="170"/>
        <v>0</v>
      </c>
      <c r="H847" s="3166">
        <f t="shared" si="171"/>
        <v>0</v>
      </c>
      <c r="I847" s="3157">
        <f t="shared" si="172"/>
        <v>0</v>
      </c>
      <c r="J847" s="3167">
        <f t="shared" si="173"/>
        <v>0</v>
      </c>
      <c r="K847" s="3165">
        <f t="shared" si="174"/>
        <v>0</v>
      </c>
      <c r="L847" s="3167">
        <f t="shared" si="175"/>
        <v>0</v>
      </c>
      <c r="M847" s="2642">
        <f t="shared" si="176"/>
        <v>0</v>
      </c>
    </row>
    <row r="848" spans="1:13" x14ac:dyDescent="0.25">
      <c r="A848" s="2611">
        <v>38</v>
      </c>
      <c r="B848" s="2613">
        <f t="shared" si="165"/>
        <v>0</v>
      </c>
      <c r="C848" s="408">
        <f t="shared" si="166"/>
        <v>0</v>
      </c>
      <c r="D848" s="2612">
        <f t="shared" si="167"/>
        <v>0</v>
      </c>
      <c r="E848" s="2583">
        <f t="shared" si="168"/>
        <v>0</v>
      </c>
      <c r="F848" s="3164">
        <f t="shared" si="169"/>
        <v>0</v>
      </c>
      <c r="G848" s="3165">
        <f t="shared" si="170"/>
        <v>0</v>
      </c>
      <c r="H848" s="3166">
        <f t="shared" si="171"/>
        <v>0</v>
      </c>
      <c r="I848" s="3157">
        <f t="shared" si="172"/>
        <v>0</v>
      </c>
      <c r="J848" s="3167">
        <f t="shared" si="173"/>
        <v>0</v>
      </c>
      <c r="K848" s="3165">
        <f t="shared" si="174"/>
        <v>0</v>
      </c>
      <c r="L848" s="3167">
        <f t="shared" si="175"/>
        <v>0</v>
      </c>
      <c r="M848" s="2642">
        <f t="shared" si="176"/>
        <v>0</v>
      </c>
    </row>
    <row r="849" spans="1:13" x14ac:dyDescent="0.25">
      <c r="A849" s="2611">
        <v>39</v>
      </c>
      <c r="B849" s="2613">
        <f t="shared" si="165"/>
        <v>0</v>
      </c>
      <c r="C849" s="408">
        <f t="shared" si="166"/>
        <v>0</v>
      </c>
      <c r="D849" s="2612">
        <f t="shared" si="167"/>
        <v>0</v>
      </c>
      <c r="E849" s="2583">
        <f t="shared" si="168"/>
        <v>0</v>
      </c>
      <c r="F849" s="3164">
        <f t="shared" si="169"/>
        <v>0</v>
      </c>
      <c r="G849" s="3165">
        <f t="shared" si="170"/>
        <v>0</v>
      </c>
      <c r="H849" s="3166">
        <f t="shared" si="171"/>
        <v>0</v>
      </c>
      <c r="I849" s="3157">
        <f t="shared" si="172"/>
        <v>0</v>
      </c>
      <c r="J849" s="3167">
        <f t="shared" si="173"/>
        <v>0</v>
      </c>
      <c r="K849" s="3165">
        <f t="shared" si="174"/>
        <v>0</v>
      </c>
      <c r="L849" s="3167">
        <f t="shared" si="175"/>
        <v>0</v>
      </c>
      <c r="M849" s="2642">
        <f t="shared" si="176"/>
        <v>0</v>
      </c>
    </row>
    <row r="850" spans="1:13" x14ac:dyDescent="0.25">
      <c r="A850" s="2611">
        <v>40</v>
      </c>
      <c r="B850" s="2613">
        <f t="shared" si="165"/>
        <v>0</v>
      </c>
      <c r="C850" s="408">
        <f t="shared" si="166"/>
        <v>0</v>
      </c>
      <c r="D850" s="2612">
        <f t="shared" si="167"/>
        <v>0</v>
      </c>
      <c r="E850" s="2583">
        <f t="shared" si="168"/>
        <v>0</v>
      </c>
      <c r="F850" s="3164">
        <f t="shared" si="169"/>
        <v>0</v>
      </c>
      <c r="G850" s="3165">
        <f t="shared" si="170"/>
        <v>0</v>
      </c>
      <c r="H850" s="3166">
        <f t="shared" si="171"/>
        <v>0</v>
      </c>
      <c r="I850" s="3157">
        <f t="shared" si="172"/>
        <v>0</v>
      </c>
      <c r="J850" s="3167">
        <f t="shared" si="173"/>
        <v>0</v>
      </c>
      <c r="K850" s="3165">
        <f t="shared" si="174"/>
        <v>0</v>
      </c>
      <c r="L850" s="3167">
        <f t="shared" si="175"/>
        <v>0</v>
      </c>
      <c r="M850" s="2642">
        <f t="shared" si="176"/>
        <v>0</v>
      </c>
    </row>
    <row r="851" spans="1:13" x14ac:dyDescent="0.25">
      <c r="A851" s="2611">
        <v>41</v>
      </c>
      <c r="B851" s="2613">
        <f t="shared" si="165"/>
        <v>0</v>
      </c>
      <c r="C851" s="408">
        <f t="shared" si="166"/>
        <v>0</v>
      </c>
      <c r="D851" s="2612">
        <f t="shared" si="167"/>
        <v>0</v>
      </c>
      <c r="E851" s="2583">
        <f t="shared" si="168"/>
        <v>0</v>
      </c>
      <c r="F851" s="3164">
        <f t="shared" si="169"/>
        <v>0</v>
      </c>
      <c r="G851" s="3165">
        <f t="shared" si="170"/>
        <v>0</v>
      </c>
      <c r="H851" s="3166">
        <f t="shared" si="171"/>
        <v>0</v>
      </c>
      <c r="I851" s="3157">
        <f t="shared" si="172"/>
        <v>0</v>
      </c>
      <c r="J851" s="3167">
        <f t="shared" si="173"/>
        <v>0</v>
      </c>
      <c r="K851" s="3165">
        <f t="shared" si="174"/>
        <v>0</v>
      </c>
      <c r="L851" s="3167">
        <f t="shared" si="175"/>
        <v>0</v>
      </c>
      <c r="M851" s="2642">
        <f t="shared" si="176"/>
        <v>0</v>
      </c>
    </row>
    <row r="852" spans="1:13" x14ac:dyDescent="0.25">
      <c r="A852" s="2611">
        <v>42</v>
      </c>
      <c r="B852" s="2613">
        <f t="shared" si="165"/>
        <v>0</v>
      </c>
      <c r="C852" s="408">
        <f t="shared" si="166"/>
        <v>0</v>
      </c>
      <c r="D852" s="2612">
        <f t="shared" si="167"/>
        <v>0</v>
      </c>
      <c r="E852" s="2583">
        <f t="shared" si="168"/>
        <v>0</v>
      </c>
      <c r="F852" s="3164">
        <f t="shared" si="169"/>
        <v>0</v>
      </c>
      <c r="G852" s="3165">
        <f t="shared" si="170"/>
        <v>0</v>
      </c>
      <c r="H852" s="3166">
        <f t="shared" si="171"/>
        <v>0</v>
      </c>
      <c r="I852" s="3157">
        <f t="shared" si="172"/>
        <v>0</v>
      </c>
      <c r="J852" s="3167">
        <f t="shared" si="173"/>
        <v>0</v>
      </c>
      <c r="K852" s="3165">
        <f t="shared" si="174"/>
        <v>0</v>
      </c>
      <c r="L852" s="3167">
        <f t="shared" si="175"/>
        <v>0</v>
      </c>
      <c r="M852" s="2642">
        <f t="shared" si="176"/>
        <v>0</v>
      </c>
    </row>
    <row r="853" spans="1:13" x14ac:dyDescent="0.25">
      <c r="A853" s="2611">
        <v>43</v>
      </c>
      <c r="B853" s="2613">
        <f t="shared" si="165"/>
        <v>0</v>
      </c>
      <c r="C853" s="408">
        <f t="shared" si="166"/>
        <v>0</v>
      </c>
      <c r="D853" s="2612">
        <f t="shared" si="167"/>
        <v>0</v>
      </c>
      <c r="E853" s="2583">
        <f t="shared" si="168"/>
        <v>0</v>
      </c>
      <c r="F853" s="3164">
        <f t="shared" si="169"/>
        <v>0</v>
      </c>
      <c r="G853" s="3165">
        <f t="shared" si="170"/>
        <v>0</v>
      </c>
      <c r="H853" s="3166">
        <f t="shared" si="171"/>
        <v>0</v>
      </c>
      <c r="I853" s="3157">
        <f t="shared" si="172"/>
        <v>0</v>
      </c>
      <c r="J853" s="3167">
        <f t="shared" si="173"/>
        <v>0</v>
      </c>
      <c r="K853" s="3165">
        <f t="shared" si="174"/>
        <v>0</v>
      </c>
      <c r="L853" s="3167">
        <f t="shared" si="175"/>
        <v>0</v>
      </c>
      <c r="M853" s="2642">
        <f t="shared" si="176"/>
        <v>0</v>
      </c>
    </row>
    <row r="854" spans="1:13" x14ac:dyDescent="0.25">
      <c r="A854" s="2611">
        <v>44</v>
      </c>
      <c r="B854" s="2613">
        <f t="shared" si="165"/>
        <v>0</v>
      </c>
      <c r="C854" s="408">
        <f t="shared" si="166"/>
        <v>0</v>
      </c>
      <c r="D854" s="2612">
        <f t="shared" si="167"/>
        <v>0</v>
      </c>
      <c r="E854" s="2583">
        <f t="shared" si="168"/>
        <v>0</v>
      </c>
      <c r="F854" s="3164">
        <f t="shared" si="169"/>
        <v>0</v>
      </c>
      <c r="G854" s="3165">
        <f t="shared" si="170"/>
        <v>0</v>
      </c>
      <c r="H854" s="3166">
        <f t="shared" si="171"/>
        <v>0</v>
      </c>
      <c r="I854" s="3157">
        <f t="shared" si="172"/>
        <v>0</v>
      </c>
      <c r="J854" s="3167">
        <f t="shared" si="173"/>
        <v>0</v>
      </c>
      <c r="K854" s="3165">
        <f t="shared" si="174"/>
        <v>0</v>
      </c>
      <c r="L854" s="3167">
        <f t="shared" si="175"/>
        <v>0</v>
      </c>
      <c r="M854" s="2642">
        <f t="shared" si="176"/>
        <v>0</v>
      </c>
    </row>
    <row r="855" spans="1:13" x14ac:dyDescent="0.25">
      <c r="A855" s="2611">
        <v>45</v>
      </c>
      <c r="B855" s="2613">
        <f t="shared" si="165"/>
        <v>0</v>
      </c>
      <c r="C855" s="408">
        <f t="shared" si="166"/>
        <v>0</v>
      </c>
      <c r="D855" s="2612">
        <f t="shared" si="167"/>
        <v>0</v>
      </c>
      <c r="E855" s="2583">
        <f t="shared" si="168"/>
        <v>0</v>
      </c>
      <c r="F855" s="3164">
        <f t="shared" si="169"/>
        <v>0</v>
      </c>
      <c r="G855" s="3165">
        <f t="shared" si="170"/>
        <v>0</v>
      </c>
      <c r="H855" s="3166">
        <f t="shared" si="171"/>
        <v>0</v>
      </c>
      <c r="I855" s="3157">
        <f t="shared" si="172"/>
        <v>0</v>
      </c>
      <c r="J855" s="3167">
        <f t="shared" si="173"/>
        <v>0</v>
      </c>
      <c r="K855" s="3165">
        <f t="shared" si="174"/>
        <v>0</v>
      </c>
      <c r="L855" s="3167">
        <f t="shared" si="175"/>
        <v>0</v>
      </c>
      <c r="M855" s="2642">
        <f t="shared" si="176"/>
        <v>0</v>
      </c>
    </row>
    <row r="856" spans="1:13" x14ac:dyDescent="0.25">
      <c r="A856" s="2611">
        <v>46</v>
      </c>
      <c r="B856" s="2613">
        <f t="shared" si="165"/>
        <v>0</v>
      </c>
      <c r="C856" s="408">
        <f t="shared" si="166"/>
        <v>0</v>
      </c>
      <c r="D856" s="2612">
        <f t="shared" si="167"/>
        <v>0</v>
      </c>
      <c r="E856" s="2583">
        <f t="shared" si="168"/>
        <v>0</v>
      </c>
      <c r="F856" s="3164">
        <f t="shared" si="169"/>
        <v>0</v>
      </c>
      <c r="G856" s="3165">
        <f t="shared" si="170"/>
        <v>0</v>
      </c>
      <c r="H856" s="3166">
        <f t="shared" si="171"/>
        <v>0</v>
      </c>
      <c r="I856" s="3157">
        <f t="shared" si="172"/>
        <v>0</v>
      </c>
      <c r="J856" s="3167">
        <f t="shared" si="173"/>
        <v>0</v>
      </c>
      <c r="K856" s="3165">
        <f t="shared" si="174"/>
        <v>0</v>
      </c>
      <c r="L856" s="3167">
        <f t="shared" si="175"/>
        <v>0</v>
      </c>
      <c r="M856" s="2642">
        <f t="shared" si="176"/>
        <v>0</v>
      </c>
    </row>
    <row r="857" spans="1:13" x14ac:dyDescent="0.25">
      <c r="A857" s="2611">
        <v>47</v>
      </c>
      <c r="B857" s="2613">
        <f t="shared" si="165"/>
        <v>0</v>
      </c>
      <c r="C857" s="408">
        <f t="shared" si="166"/>
        <v>0</v>
      </c>
      <c r="D857" s="2612">
        <f t="shared" si="167"/>
        <v>0</v>
      </c>
      <c r="E857" s="2583">
        <f t="shared" si="168"/>
        <v>0</v>
      </c>
      <c r="F857" s="3164">
        <f t="shared" si="169"/>
        <v>0</v>
      </c>
      <c r="G857" s="3165">
        <f t="shared" si="170"/>
        <v>0</v>
      </c>
      <c r="H857" s="3166">
        <f t="shared" si="171"/>
        <v>0</v>
      </c>
      <c r="I857" s="3157">
        <f t="shared" si="172"/>
        <v>0</v>
      </c>
      <c r="J857" s="3167">
        <f t="shared" si="173"/>
        <v>0</v>
      </c>
      <c r="K857" s="3165">
        <f t="shared" si="174"/>
        <v>0</v>
      </c>
      <c r="L857" s="3167">
        <f t="shared" si="175"/>
        <v>0</v>
      </c>
      <c r="M857" s="2642">
        <f t="shared" si="176"/>
        <v>0</v>
      </c>
    </row>
    <row r="858" spans="1:13" x14ac:dyDescent="0.25">
      <c r="A858" s="2611">
        <v>48</v>
      </c>
      <c r="B858" s="2613">
        <f t="shared" si="165"/>
        <v>0</v>
      </c>
      <c r="C858" s="408">
        <f t="shared" si="166"/>
        <v>0</v>
      </c>
      <c r="D858" s="2612">
        <f t="shared" si="167"/>
        <v>0</v>
      </c>
      <c r="E858" s="2583">
        <f t="shared" si="168"/>
        <v>0</v>
      </c>
      <c r="F858" s="3164">
        <f t="shared" si="169"/>
        <v>0</v>
      </c>
      <c r="G858" s="3165">
        <f t="shared" si="170"/>
        <v>0</v>
      </c>
      <c r="H858" s="3166">
        <f t="shared" si="171"/>
        <v>0</v>
      </c>
      <c r="I858" s="3157">
        <f t="shared" si="172"/>
        <v>0</v>
      </c>
      <c r="J858" s="3167">
        <f t="shared" si="173"/>
        <v>0</v>
      </c>
      <c r="K858" s="3165">
        <f t="shared" si="174"/>
        <v>0</v>
      </c>
      <c r="L858" s="3167">
        <f t="shared" si="175"/>
        <v>0</v>
      </c>
      <c r="M858" s="2642">
        <f t="shared" si="176"/>
        <v>0</v>
      </c>
    </row>
    <row r="859" spans="1:13" x14ac:dyDescent="0.25">
      <c r="A859" s="2611">
        <v>49</v>
      </c>
      <c r="B859" s="2613">
        <f t="shared" si="165"/>
        <v>0</v>
      </c>
      <c r="C859" s="408">
        <f t="shared" si="166"/>
        <v>0</v>
      </c>
      <c r="D859" s="2612">
        <f t="shared" si="167"/>
        <v>0</v>
      </c>
      <c r="E859" s="2583">
        <f t="shared" si="168"/>
        <v>0</v>
      </c>
      <c r="F859" s="3164">
        <f t="shared" si="169"/>
        <v>0</v>
      </c>
      <c r="G859" s="3165">
        <f t="shared" si="170"/>
        <v>0</v>
      </c>
      <c r="H859" s="3166">
        <f t="shared" si="171"/>
        <v>0</v>
      </c>
      <c r="I859" s="3157">
        <f t="shared" si="172"/>
        <v>0</v>
      </c>
      <c r="J859" s="3167">
        <f t="shared" si="173"/>
        <v>0</v>
      </c>
      <c r="K859" s="3165">
        <f t="shared" si="174"/>
        <v>0</v>
      </c>
      <c r="L859" s="3167">
        <f t="shared" si="175"/>
        <v>0</v>
      </c>
      <c r="M859" s="2642">
        <f t="shared" si="176"/>
        <v>0</v>
      </c>
    </row>
    <row r="860" spans="1:13" x14ac:dyDescent="0.25">
      <c r="A860" s="2611">
        <v>50</v>
      </c>
      <c r="B860" s="2613">
        <f t="shared" si="165"/>
        <v>0</v>
      </c>
      <c r="C860" s="408">
        <f t="shared" si="166"/>
        <v>0</v>
      </c>
      <c r="D860" s="2612">
        <f t="shared" si="167"/>
        <v>0</v>
      </c>
      <c r="E860" s="2583">
        <f t="shared" si="168"/>
        <v>0</v>
      </c>
      <c r="F860" s="3164">
        <f t="shared" si="169"/>
        <v>0</v>
      </c>
      <c r="G860" s="3165">
        <f t="shared" si="170"/>
        <v>0</v>
      </c>
      <c r="H860" s="3166">
        <f t="shared" si="171"/>
        <v>0</v>
      </c>
      <c r="I860" s="3157">
        <f t="shared" si="172"/>
        <v>0</v>
      </c>
      <c r="J860" s="3167">
        <f t="shared" si="173"/>
        <v>0</v>
      </c>
      <c r="K860" s="3165">
        <f t="shared" si="174"/>
        <v>0</v>
      </c>
      <c r="L860" s="3167">
        <f t="shared" si="175"/>
        <v>0</v>
      </c>
      <c r="M860" s="2642">
        <f t="shared" si="176"/>
        <v>0</v>
      </c>
    </row>
    <row r="861" spans="1:13" x14ac:dyDescent="0.25">
      <c r="A861" s="2611">
        <v>51</v>
      </c>
      <c r="B861" s="2613">
        <f t="shared" si="165"/>
        <v>0</v>
      </c>
      <c r="C861" s="408">
        <f t="shared" si="166"/>
        <v>0</v>
      </c>
      <c r="D861" s="2612">
        <f t="shared" si="167"/>
        <v>0</v>
      </c>
      <c r="E861" s="2583">
        <f t="shared" si="168"/>
        <v>0</v>
      </c>
      <c r="F861" s="3164">
        <f t="shared" si="169"/>
        <v>0</v>
      </c>
      <c r="G861" s="3165">
        <f t="shared" si="170"/>
        <v>0</v>
      </c>
      <c r="H861" s="3166">
        <f t="shared" si="171"/>
        <v>0</v>
      </c>
      <c r="I861" s="3157">
        <f t="shared" si="172"/>
        <v>0</v>
      </c>
      <c r="J861" s="3167">
        <f t="shared" si="173"/>
        <v>0</v>
      </c>
      <c r="K861" s="3165">
        <f t="shared" si="174"/>
        <v>0</v>
      </c>
      <c r="L861" s="3167">
        <f t="shared" si="175"/>
        <v>0</v>
      </c>
      <c r="M861" s="2642">
        <f t="shared" si="176"/>
        <v>0</v>
      </c>
    </row>
    <row r="862" spans="1:13" x14ac:dyDescent="0.25">
      <c r="A862" s="2611">
        <v>52</v>
      </c>
      <c r="B862" s="2613">
        <f t="shared" si="165"/>
        <v>0</v>
      </c>
      <c r="C862" s="408">
        <f t="shared" si="166"/>
        <v>0</v>
      </c>
      <c r="D862" s="2612">
        <f t="shared" si="167"/>
        <v>0</v>
      </c>
      <c r="E862" s="2583">
        <f t="shared" si="168"/>
        <v>0</v>
      </c>
      <c r="F862" s="3164">
        <f t="shared" si="169"/>
        <v>0</v>
      </c>
      <c r="G862" s="3165">
        <f t="shared" si="170"/>
        <v>0</v>
      </c>
      <c r="H862" s="3166">
        <f t="shared" si="171"/>
        <v>0</v>
      </c>
      <c r="I862" s="3157">
        <f t="shared" si="172"/>
        <v>0</v>
      </c>
      <c r="J862" s="3167">
        <f t="shared" si="173"/>
        <v>0</v>
      </c>
      <c r="K862" s="3165">
        <f t="shared" si="174"/>
        <v>0</v>
      </c>
      <c r="L862" s="3167">
        <f t="shared" si="175"/>
        <v>0</v>
      </c>
      <c r="M862" s="2642">
        <f t="shared" si="176"/>
        <v>0</v>
      </c>
    </row>
    <row r="863" spans="1:13" x14ac:dyDescent="0.25">
      <c r="A863" s="2611">
        <v>53</v>
      </c>
      <c r="B863" s="2613">
        <f t="shared" si="165"/>
        <v>0</v>
      </c>
      <c r="C863" s="408">
        <f t="shared" si="166"/>
        <v>0</v>
      </c>
      <c r="D863" s="2612">
        <f t="shared" si="167"/>
        <v>0</v>
      </c>
      <c r="E863" s="2583">
        <f t="shared" si="168"/>
        <v>0</v>
      </c>
      <c r="F863" s="3164">
        <f t="shared" si="169"/>
        <v>0</v>
      </c>
      <c r="G863" s="3165">
        <f t="shared" si="170"/>
        <v>0</v>
      </c>
      <c r="H863" s="3166">
        <f t="shared" si="171"/>
        <v>0</v>
      </c>
      <c r="I863" s="3157">
        <f t="shared" si="172"/>
        <v>0</v>
      </c>
      <c r="J863" s="3167">
        <f t="shared" si="173"/>
        <v>0</v>
      </c>
      <c r="K863" s="3165">
        <f t="shared" si="174"/>
        <v>0</v>
      </c>
      <c r="L863" s="3167">
        <f t="shared" si="175"/>
        <v>0</v>
      </c>
      <c r="M863" s="2642">
        <f t="shared" si="176"/>
        <v>0</v>
      </c>
    </row>
    <row r="864" spans="1:13" x14ac:dyDescent="0.25">
      <c r="A864" s="2611">
        <v>54</v>
      </c>
      <c r="B864" s="2613">
        <f t="shared" si="165"/>
        <v>0</v>
      </c>
      <c r="C864" s="408">
        <f t="shared" si="166"/>
        <v>0</v>
      </c>
      <c r="D864" s="2612">
        <f t="shared" si="167"/>
        <v>0</v>
      </c>
      <c r="E864" s="2583">
        <f t="shared" si="168"/>
        <v>0</v>
      </c>
      <c r="F864" s="3164">
        <f t="shared" si="169"/>
        <v>0</v>
      </c>
      <c r="G864" s="3165">
        <f t="shared" si="170"/>
        <v>0</v>
      </c>
      <c r="H864" s="3166">
        <f t="shared" si="171"/>
        <v>0</v>
      </c>
      <c r="I864" s="3157">
        <f t="shared" si="172"/>
        <v>0</v>
      </c>
      <c r="J864" s="3167">
        <f t="shared" si="173"/>
        <v>0</v>
      </c>
      <c r="K864" s="3165">
        <f t="shared" si="174"/>
        <v>0</v>
      </c>
      <c r="L864" s="3167">
        <f t="shared" si="175"/>
        <v>0</v>
      </c>
      <c r="M864" s="2642">
        <f t="shared" si="176"/>
        <v>0</v>
      </c>
    </row>
    <row r="865" spans="1:13" x14ac:dyDescent="0.25">
      <c r="A865" s="2611">
        <v>55</v>
      </c>
      <c r="B865" s="2613">
        <f t="shared" si="165"/>
        <v>0</v>
      </c>
      <c r="C865" s="408">
        <f t="shared" si="166"/>
        <v>0</v>
      </c>
      <c r="D865" s="2612">
        <f t="shared" si="167"/>
        <v>0</v>
      </c>
      <c r="E865" s="2583">
        <f t="shared" si="168"/>
        <v>0</v>
      </c>
      <c r="F865" s="3164">
        <f t="shared" si="169"/>
        <v>0</v>
      </c>
      <c r="G865" s="3165">
        <f t="shared" si="170"/>
        <v>0</v>
      </c>
      <c r="H865" s="3166">
        <f t="shared" si="171"/>
        <v>0</v>
      </c>
      <c r="I865" s="3157">
        <f t="shared" si="172"/>
        <v>0</v>
      </c>
      <c r="J865" s="3167">
        <f t="shared" si="173"/>
        <v>0</v>
      </c>
      <c r="K865" s="3165">
        <f t="shared" si="174"/>
        <v>0</v>
      </c>
      <c r="L865" s="3167">
        <f t="shared" si="175"/>
        <v>0</v>
      </c>
      <c r="M865" s="2642">
        <f t="shared" si="176"/>
        <v>0</v>
      </c>
    </row>
    <row r="866" spans="1:13" x14ac:dyDescent="0.25">
      <c r="A866" s="2611">
        <v>56</v>
      </c>
      <c r="B866" s="2613">
        <f t="shared" si="165"/>
        <v>0</v>
      </c>
      <c r="C866" s="408">
        <f t="shared" si="166"/>
        <v>0</v>
      </c>
      <c r="D866" s="2612">
        <f t="shared" si="167"/>
        <v>0</v>
      </c>
      <c r="E866" s="2583">
        <f t="shared" si="168"/>
        <v>0</v>
      </c>
      <c r="F866" s="3164">
        <f t="shared" si="169"/>
        <v>0</v>
      </c>
      <c r="G866" s="3165">
        <f t="shared" si="170"/>
        <v>0</v>
      </c>
      <c r="H866" s="3166">
        <f t="shared" si="171"/>
        <v>0</v>
      </c>
      <c r="I866" s="3157">
        <f t="shared" si="172"/>
        <v>0</v>
      </c>
      <c r="J866" s="3167">
        <f t="shared" si="173"/>
        <v>0</v>
      </c>
      <c r="K866" s="3165">
        <f t="shared" si="174"/>
        <v>0</v>
      </c>
      <c r="L866" s="3167">
        <f t="shared" si="175"/>
        <v>0</v>
      </c>
      <c r="M866" s="2642">
        <f t="shared" si="176"/>
        <v>0</v>
      </c>
    </row>
    <row r="867" spans="1:13" x14ac:dyDescent="0.25">
      <c r="A867" s="2611">
        <v>57</v>
      </c>
      <c r="B867" s="2613">
        <f t="shared" si="165"/>
        <v>0</v>
      </c>
      <c r="C867" s="408">
        <f t="shared" si="166"/>
        <v>0</v>
      </c>
      <c r="D867" s="2612">
        <f t="shared" si="167"/>
        <v>0</v>
      </c>
      <c r="E867" s="2583">
        <f t="shared" si="168"/>
        <v>0</v>
      </c>
      <c r="F867" s="3164">
        <f t="shared" si="169"/>
        <v>0</v>
      </c>
      <c r="G867" s="3165">
        <f t="shared" si="170"/>
        <v>0</v>
      </c>
      <c r="H867" s="3166">
        <f t="shared" si="171"/>
        <v>0</v>
      </c>
      <c r="I867" s="3157">
        <f t="shared" si="172"/>
        <v>0</v>
      </c>
      <c r="J867" s="3167">
        <f t="shared" si="173"/>
        <v>0</v>
      </c>
      <c r="K867" s="3165">
        <f t="shared" si="174"/>
        <v>0</v>
      </c>
      <c r="L867" s="3167">
        <f t="shared" si="175"/>
        <v>0</v>
      </c>
      <c r="M867" s="2642">
        <f t="shared" si="176"/>
        <v>0</v>
      </c>
    </row>
    <row r="868" spans="1:13" x14ac:dyDescent="0.25">
      <c r="A868" s="2611">
        <v>58</v>
      </c>
      <c r="B868" s="2613">
        <f t="shared" si="165"/>
        <v>0</v>
      </c>
      <c r="C868" s="408">
        <f t="shared" si="166"/>
        <v>0</v>
      </c>
      <c r="D868" s="2612">
        <f t="shared" si="167"/>
        <v>0</v>
      </c>
      <c r="E868" s="2583">
        <f t="shared" si="168"/>
        <v>0</v>
      </c>
      <c r="F868" s="3164">
        <f t="shared" si="169"/>
        <v>0</v>
      </c>
      <c r="G868" s="3165">
        <f t="shared" si="170"/>
        <v>0</v>
      </c>
      <c r="H868" s="3166">
        <f t="shared" si="171"/>
        <v>0</v>
      </c>
      <c r="I868" s="3157">
        <f t="shared" si="172"/>
        <v>0</v>
      </c>
      <c r="J868" s="3167">
        <f t="shared" si="173"/>
        <v>0</v>
      </c>
      <c r="K868" s="3165">
        <f t="shared" si="174"/>
        <v>0</v>
      </c>
      <c r="L868" s="3167">
        <f t="shared" si="175"/>
        <v>0</v>
      </c>
      <c r="M868" s="2642">
        <f t="shared" si="176"/>
        <v>0</v>
      </c>
    </row>
    <row r="869" spans="1:13" x14ac:dyDescent="0.25">
      <c r="A869" s="2611">
        <v>59</v>
      </c>
      <c r="B869" s="2613">
        <f t="shared" si="165"/>
        <v>0</v>
      </c>
      <c r="C869" s="408">
        <f t="shared" si="166"/>
        <v>0</v>
      </c>
      <c r="D869" s="2612">
        <f t="shared" si="167"/>
        <v>0</v>
      </c>
      <c r="E869" s="2583">
        <f t="shared" si="168"/>
        <v>0</v>
      </c>
      <c r="F869" s="3164">
        <f t="shared" si="169"/>
        <v>0</v>
      </c>
      <c r="G869" s="3165">
        <f t="shared" si="170"/>
        <v>0</v>
      </c>
      <c r="H869" s="3166">
        <f t="shared" si="171"/>
        <v>0</v>
      </c>
      <c r="I869" s="3157">
        <f t="shared" si="172"/>
        <v>0</v>
      </c>
      <c r="J869" s="3167">
        <f t="shared" si="173"/>
        <v>0</v>
      </c>
      <c r="K869" s="3165">
        <f t="shared" si="174"/>
        <v>0</v>
      </c>
      <c r="L869" s="3167">
        <f t="shared" si="175"/>
        <v>0</v>
      </c>
      <c r="M869" s="2642">
        <f t="shared" si="176"/>
        <v>0</v>
      </c>
    </row>
    <row r="870" spans="1:13" x14ac:dyDescent="0.25">
      <c r="A870" s="2611">
        <v>60</v>
      </c>
      <c r="B870" s="2613">
        <f t="shared" si="165"/>
        <v>0</v>
      </c>
      <c r="C870" s="408">
        <f t="shared" si="166"/>
        <v>0</v>
      </c>
      <c r="D870" s="2612">
        <f t="shared" si="167"/>
        <v>0</v>
      </c>
      <c r="E870" s="2583">
        <f t="shared" si="168"/>
        <v>0</v>
      </c>
      <c r="F870" s="3164">
        <f t="shared" si="169"/>
        <v>0</v>
      </c>
      <c r="G870" s="3165">
        <f t="shared" si="170"/>
        <v>0</v>
      </c>
      <c r="H870" s="3166">
        <f t="shared" si="171"/>
        <v>0</v>
      </c>
      <c r="I870" s="3157">
        <f t="shared" si="172"/>
        <v>0</v>
      </c>
      <c r="J870" s="3167">
        <f t="shared" si="173"/>
        <v>0</v>
      </c>
      <c r="K870" s="3165">
        <f t="shared" si="174"/>
        <v>0</v>
      </c>
      <c r="L870" s="3167">
        <f t="shared" si="175"/>
        <v>0</v>
      </c>
      <c r="M870" s="2642">
        <f t="shared" si="176"/>
        <v>0</v>
      </c>
    </row>
    <row r="871" spans="1:13" x14ac:dyDescent="0.25">
      <c r="A871" s="2611">
        <v>61</v>
      </c>
      <c r="B871" s="2613">
        <f t="shared" si="165"/>
        <v>0</v>
      </c>
      <c r="C871" s="408">
        <f t="shared" si="166"/>
        <v>0</v>
      </c>
      <c r="D871" s="2612">
        <f t="shared" si="167"/>
        <v>0</v>
      </c>
      <c r="E871" s="2583">
        <f t="shared" si="168"/>
        <v>0</v>
      </c>
      <c r="F871" s="3164">
        <f t="shared" si="169"/>
        <v>0</v>
      </c>
      <c r="G871" s="3165">
        <f t="shared" si="170"/>
        <v>0</v>
      </c>
      <c r="H871" s="3166">
        <f t="shared" si="171"/>
        <v>0</v>
      </c>
      <c r="I871" s="3157">
        <f t="shared" si="172"/>
        <v>0</v>
      </c>
      <c r="J871" s="3167">
        <f t="shared" si="173"/>
        <v>0</v>
      </c>
      <c r="K871" s="3165">
        <f t="shared" si="174"/>
        <v>0</v>
      </c>
      <c r="L871" s="3167">
        <f t="shared" si="175"/>
        <v>0</v>
      </c>
      <c r="M871" s="2642">
        <f t="shared" si="176"/>
        <v>0</v>
      </c>
    </row>
    <row r="872" spans="1:13" x14ac:dyDescent="0.25">
      <c r="A872" s="2611">
        <v>62</v>
      </c>
      <c r="B872" s="2613">
        <f t="shared" si="165"/>
        <v>0</v>
      </c>
      <c r="C872" s="408">
        <f t="shared" si="166"/>
        <v>0</v>
      </c>
      <c r="D872" s="2612">
        <f t="shared" si="167"/>
        <v>0</v>
      </c>
      <c r="E872" s="2583">
        <f t="shared" si="168"/>
        <v>0</v>
      </c>
      <c r="F872" s="3164">
        <f t="shared" si="169"/>
        <v>0</v>
      </c>
      <c r="G872" s="3165">
        <f t="shared" si="170"/>
        <v>0</v>
      </c>
      <c r="H872" s="3166">
        <f t="shared" si="171"/>
        <v>0</v>
      </c>
      <c r="I872" s="3157">
        <f t="shared" si="172"/>
        <v>0</v>
      </c>
      <c r="J872" s="3167">
        <f t="shared" si="173"/>
        <v>0</v>
      </c>
      <c r="K872" s="3165">
        <f t="shared" si="174"/>
        <v>0</v>
      </c>
      <c r="L872" s="3167">
        <f t="shared" si="175"/>
        <v>0</v>
      </c>
      <c r="M872" s="2642">
        <f t="shared" si="176"/>
        <v>0</v>
      </c>
    </row>
    <row r="873" spans="1:13" x14ac:dyDescent="0.25">
      <c r="A873" s="2611">
        <v>63</v>
      </c>
      <c r="B873" s="2613">
        <f t="shared" si="165"/>
        <v>0</v>
      </c>
      <c r="C873" s="408">
        <f t="shared" si="166"/>
        <v>0</v>
      </c>
      <c r="D873" s="2612">
        <f t="shared" si="167"/>
        <v>0</v>
      </c>
      <c r="E873" s="2583">
        <f t="shared" si="168"/>
        <v>0</v>
      </c>
      <c r="F873" s="3164">
        <f t="shared" si="169"/>
        <v>0</v>
      </c>
      <c r="G873" s="3165">
        <f t="shared" si="170"/>
        <v>0</v>
      </c>
      <c r="H873" s="3166">
        <f t="shared" si="171"/>
        <v>0</v>
      </c>
      <c r="I873" s="3157">
        <f t="shared" si="172"/>
        <v>0</v>
      </c>
      <c r="J873" s="3167">
        <f t="shared" si="173"/>
        <v>0</v>
      </c>
      <c r="K873" s="3165">
        <f t="shared" si="174"/>
        <v>0</v>
      </c>
      <c r="L873" s="3167">
        <f t="shared" si="175"/>
        <v>0</v>
      </c>
      <c r="M873" s="2642">
        <f t="shared" si="176"/>
        <v>0</v>
      </c>
    </row>
    <row r="874" spans="1:13" x14ac:dyDescent="0.25">
      <c r="A874" s="2611">
        <v>64</v>
      </c>
      <c r="B874" s="2613">
        <f t="shared" si="165"/>
        <v>0</v>
      </c>
      <c r="C874" s="408">
        <f t="shared" si="166"/>
        <v>0</v>
      </c>
      <c r="D874" s="2612">
        <f t="shared" si="167"/>
        <v>0</v>
      </c>
      <c r="E874" s="2583">
        <f t="shared" si="168"/>
        <v>0</v>
      </c>
      <c r="F874" s="3164">
        <f t="shared" si="169"/>
        <v>0</v>
      </c>
      <c r="G874" s="3165">
        <f t="shared" si="170"/>
        <v>0</v>
      </c>
      <c r="H874" s="3166">
        <f t="shared" si="171"/>
        <v>0</v>
      </c>
      <c r="I874" s="3157">
        <f t="shared" si="172"/>
        <v>0</v>
      </c>
      <c r="J874" s="3167">
        <f t="shared" si="173"/>
        <v>0</v>
      </c>
      <c r="K874" s="3165">
        <f t="shared" si="174"/>
        <v>0</v>
      </c>
      <c r="L874" s="3167">
        <f t="shared" si="175"/>
        <v>0</v>
      </c>
      <c r="M874" s="2642">
        <f t="shared" si="176"/>
        <v>0</v>
      </c>
    </row>
    <row r="875" spans="1:13" x14ac:dyDescent="0.25">
      <c r="A875" s="2611">
        <v>65</v>
      </c>
      <c r="B875" s="2613">
        <f t="shared" ref="B875:B906" si="177">IF(AND($C299="inher-Life",OR($B299="W",$B299="FW")),$D299,0)</f>
        <v>0</v>
      </c>
      <c r="C875" s="408">
        <f t="shared" ref="C875:C906" si="178">IF(AND($C299="inher-Life",OR($B299="W",$B299="FW")),$G299,0)</f>
        <v>0</v>
      </c>
      <c r="D875" s="2612">
        <f t="shared" ref="D875:D906" si="179">IF(AND($I299="inher-Life",OR($H299="W",$H299="FW")),$J299,0)</f>
        <v>0</v>
      </c>
      <c r="E875" s="2583">
        <f t="shared" ref="E875:E906" si="180">IF(AND($I299="inher-Life",OR($H299="W",$H299="FW")),$M299,0)</f>
        <v>0</v>
      </c>
      <c r="F875" s="3164">
        <f t="shared" ref="F875:F906" si="181">IF(AND($C299="non-deduct",OR($B299="C",$B299="FC")),$D299,0)</f>
        <v>0</v>
      </c>
      <c r="G875" s="3165">
        <f t="shared" ref="G875:G906" si="182">IF(AND($C299="non-deduct",OR($B299="C",$B299="FC")),$G299,0)</f>
        <v>0</v>
      </c>
      <c r="H875" s="3166">
        <f t="shared" ref="H875:H906" si="183">IF(AND($C299="non-deduct",OR($B299="W",$B299="FW")),$D299,0)</f>
        <v>0</v>
      </c>
      <c r="I875" s="3157">
        <f t="shared" ref="I875:I906" si="184">IF(AND($C299="non-deduct",OR($B299="W",$B299="FW")),$G299,0)</f>
        <v>0</v>
      </c>
      <c r="J875" s="3167">
        <f t="shared" ref="J875:J906" si="185">IF(AND($I299="non-deduct",OR($H299="C",$H299="FC")),$J299,0)</f>
        <v>0</v>
      </c>
      <c r="K875" s="3165">
        <f t="shared" ref="K875:K906" si="186">IF(AND($I299="non-deduct",OR($H299="C",$H299="FC")),$M299,0)</f>
        <v>0</v>
      </c>
      <c r="L875" s="3167">
        <f t="shared" ref="L875:L906" si="187">IF(AND($I299="non-deduct",OR($H299="W",$H299="FW")),$J299,0)</f>
        <v>0</v>
      </c>
      <c r="M875" s="2642">
        <f t="shared" ref="M875:M906" si="188">IF(AND($I299="non-deduct",OR($H299="W",$H299="FW")),$M299,0)</f>
        <v>0</v>
      </c>
    </row>
    <row r="876" spans="1:13" x14ac:dyDescent="0.25">
      <c r="A876" s="2611">
        <v>66</v>
      </c>
      <c r="B876" s="2613">
        <f t="shared" si="177"/>
        <v>0</v>
      </c>
      <c r="C876" s="408">
        <f t="shared" si="178"/>
        <v>0</v>
      </c>
      <c r="D876" s="2612">
        <f t="shared" si="179"/>
        <v>0</v>
      </c>
      <c r="E876" s="2583">
        <f t="shared" si="180"/>
        <v>0</v>
      </c>
      <c r="F876" s="3164">
        <f t="shared" si="181"/>
        <v>0</v>
      </c>
      <c r="G876" s="3165">
        <f t="shared" si="182"/>
        <v>0</v>
      </c>
      <c r="H876" s="3166">
        <f t="shared" si="183"/>
        <v>0</v>
      </c>
      <c r="I876" s="3157">
        <f t="shared" si="184"/>
        <v>0</v>
      </c>
      <c r="J876" s="3167">
        <f t="shared" si="185"/>
        <v>0</v>
      </c>
      <c r="K876" s="3165">
        <f t="shared" si="186"/>
        <v>0</v>
      </c>
      <c r="L876" s="3167">
        <f t="shared" si="187"/>
        <v>0</v>
      </c>
      <c r="M876" s="2642">
        <f t="shared" si="188"/>
        <v>0</v>
      </c>
    </row>
    <row r="877" spans="1:13" x14ac:dyDescent="0.25">
      <c r="A877" s="2611">
        <v>67</v>
      </c>
      <c r="B877" s="2613">
        <f t="shared" si="177"/>
        <v>0</v>
      </c>
      <c r="C877" s="408">
        <f t="shared" si="178"/>
        <v>0</v>
      </c>
      <c r="D877" s="2612">
        <f t="shared" si="179"/>
        <v>0</v>
      </c>
      <c r="E877" s="2583">
        <f t="shared" si="180"/>
        <v>0</v>
      </c>
      <c r="F877" s="3164">
        <f t="shared" si="181"/>
        <v>0</v>
      </c>
      <c r="G877" s="3165">
        <f t="shared" si="182"/>
        <v>0</v>
      </c>
      <c r="H877" s="3166">
        <f t="shared" si="183"/>
        <v>0</v>
      </c>
      <c r="I877" s="3157">
        <f t="shared" si="184"/>
        <v>0</v>
      </c>
      <c r="J877" s="3167">
        <f t="shared" si="185"/>
        <v>0</v>
      </c>
      <c r="K877" s="3165">
        <f t="shared" si="186"/>
        <v>0</v>
      </c>
      <c r="L877" s="3167">
        <f t="shared" si="187"/>
        <v>0</v>
      </c>
      <c r="M877" s="2642">
        <f t="shared" si="188"/>
        <v>0</v>
      </c>
    </row>
    <row r="878" spans="1:13" x14ac:dyDescent="0.25">
      <c r="A878" s="2611">
        <v>68</v>
      </c>
      <c r="B878" s="2613">
        <f t="shared" si="177"/>
        <v>0</v>
      </c>
      <c r="C878" s="408">
        <f t="shared" si="178"/>
        <v>0</v>
      </c>
      <c r="D878" s="2612">
        <f t="shared" si="179"/>
        <v>0</v>
      </c>
      <c r="E878" s="2583">
        <f t="shared" si="180"/>
        <v>0</v>
      </c>
      <c r="F878" s="3164">
        <f t="shared" si="181"/>
        <v>0</v>
      </c>
      <c r="G878" s="3165">
        <f t="shared" si="182"/>
        <v>0</v>
      </c>
      <c r="H878" s="3166">
        <f t="shared" si="183"/>
        <v>0</v>
      </c>
      <c r="I878" s="3157">
        <f t="shared" si="184"/>
        <v>0</v>
      </c>
      <c r="J878" s="3167">
        <f t="shared" si="185"/>
        <v>0</v>
      </c>
      <c r="K878" s="3165">
        <f t="shared" si="186"/>
        <v>0</v>
      </c>
      <c r="L878" s="3167">
        <f t="shared" si="187"/>
        <v>0</v>
      </c>
      <c r="M878" s="2642">
        <f t="shared" si="188"/>
        <v>0</v>
      </c>
    </row>
    <row r="879" spans="1:13" x14ac:dyDescent="0.25">
      <c r="A879" s="2611">
        <v>69</v>
      </c>
      <c r="B879" s="2613">
        <f t="shared" si="177"/>
        <v>0</v>
      </c>
      <c r="C879" s="408">
        <f t="shared" si="178"/>
        <v>0</v>
      </c>
      <c r="D879" s="2612">
        <f t="shared" si="179"/>
        <v>0</v>
      </c>
      <c r="E879" s="2583">
        <f t="shared" si="180"/>
        <v>0</v>
      </c>
      <c r="F879" s="3164">
        <f t="shared" si="181"/>
        <v>0</v>
      </c>
      <c r="G879" s="3165">
        <f t="shared" si="182"/>
        <v>0</v>
      </c>
      <c r="H879" s="3166">
        <f t="shared" si="183"/>
        <v>0</v>
      </c>
      <c r="I879" s="3157">
        <f t="shared" si="184"/>
        <v>0</v>
      </c>
      <c r="J879" s="3167">
        <f t="shared" si="185"/>
        <v>0</v>
      </c>
      <c r="K879" s="3165">
        <f t="shared" si="186"/>
        <v>0</v>
      </c>
      <c r="L879" s="3167">
        <f t="shared" si="187"/>
        <v>0</v>
      </c>
      <c r="M879" s="2642">
        <f t="shared" si="188"/>
        <v>0</v>
      </c>
    </row>
    <row r="880" spans="1:13" x14ac:dyDescent="0.25">
      <c r="A880" s="2611">
        <v>70</v>
      </c>
      <c r="B880" s="2613">
        <f t="shared" si="177"/>
        <v>0</v>
      </c>
      <c r="C880" s="408">
        <f t="shared" si="178"/>
        <v>0</v>
      </c>
      <c r="D880" s="2612">
        <f t="shared" si="179"/>
        <v>0</v>
      </c>
      <c r="E880" s="2583">
        <f t="shared" si="180"/>
        <v>0</v>
      </c>
      <c r="F880" s="3164">
        <f t="shared" si="181"/>
        <v>0</v>
      </c>
      <c r="G880" s="3165">
        <f t="shared" si="182"/>
        <v>0</v>
      </c>
      <c r="H880" s="3166">
        <f t="shared" si="183"/>
        <v>0</v>
      </c>
      <c r="I880" s="3157">
        <f t="shared" si="184"/>
        <v>0</v>
      </c>
      <c r="J880" s="3167">
        <f t="shared" si="185"/>
        <v>0</v>
      </c>
      <c r="K880" s="3165">
        <f t="shared" si="186"/>
        <v>0</v>
      </c>
      <c r="L880" s="3167">
        <f t="shared" si="187"/>
        <v>0</v>
      </c>
      <c r="M880" s="2642">
        <f t="shared" si="188"/>
        <v>0</v>
      </c>
    </row>
    <row r="881" spans="1:13" x14ac:dyDescent="0.25">
      <c r="A881" s="2611">
        <v>71</v>
      </c>
      <c r="B881" s="2613">
        <f t="shared" si="177"/>
        <v>0</v>
      </c>
      <c r="C881" s="408">
        <f t="shared" si="178"/>
        <v>0</v>
      </c>
      <c r="D881" s="2612">
        <f t="shared" si="179"/>
        <v>0</v>
      </c>
      <c r="E881" s="2583">
        <f t="shared" si="180"/>
        <v>0</v>
      </c>
      <c r="F881" s="3164">
        <f t="shared" si="181"/>
        <v>0</v>
      </c>
      <c r="G881" s="3165">
        <f t="shared" si="182"/>
        <v>0</v>
      </c>
      <c r="H881" s="3166">
        <f t="shared" si="183"/>
        <v>0</v>
      </c>
      <c r="I881" s="3157">
        <f t="shared" si="184"/>
        <v>0</v>
      </c>
      <c r="J881" s="3167">
        <f t="shared" si="185"/>
        <v>0</v>
      </c>
      <c r="K881" s="3165">
        <f t="shared" si="186"/>
        <v>0</v>
      </c>
      <c r="L881" s="3167">
        <f t="shared" si="187"/>
        <v>0</v>
      </c>
      <c r="M881" s="2642">
        <f t="shared" si="188"/>
        <v>0</v>
      </c>
    </row>
    <row r="882" spans="1:13" x14ac:dyDescent="0.25">
      <c r="A882" s="2611">
        <v>72</v>
      </c>
      <c r="B882" s="2613">
        <f t="shared" si="177"/>
        <v>0</v>
      </c>
      <c r="C882" s="408">
        <f t="shared" si="178"/>
        <v>0</v>
      </c>
      <c r="D882" s="2612">
        <f t="shared" si="179"/>
        <v>0</v>
      </c>
      <c r="E882" s="2583">
        <f t="shared" si="180"/>
        <v>0</v>
      </c>
      <c r="F882" s="3164">
        <f t="shared" si="181"/>
        <v>0</v>
      </c>
      <c r="G882" s="3165">
        <f t="shared" si="182"/>
        <v>0</v>
      </c>
      <c r="H882" s="3166">
        <f t="shared" si="183"/>
        <v>0</v>
      </c>
      <c r="I882" s="3157">
        <f t="shared" si="184"/>
        <v>0</v>
      </c>
      <c r="J882" s="3167">
        <f t="shared" si="185"/>
        <v>0</v>
      </c>
      <c r="K882" s="3165">
        <f t="shared" si="186"/>
        <v>0</v>
      </c>
      <c r="L882" s="3167">
        <f t="shared" si="187"/>
        <v>0</v>
      </c>
      <c r="M882" s="2642">
        <f t="shared" si="188"/>
        <v>0</v>
      </c>
    </row>
    <row r="883" spans="1:13" x14ac:dyDescent="0.25">
      <c r="A883" s="2611">
        <v>73</v>
      </c>
      <c r="B883" s="2613">
        <f t="shared" si="177"/>
        <v>0</v>
      </c>
      <c r="C883" s="408">
        <f t="shared" si="178"/>
        <v>0</v>
      </c>
      <c r="D883" s="2612">
        <f t="shared" si="179"/>
        <v>0</v>
      </c>
      <c r="E883" s="2583">
        <f t="shared" si="180"/>
        <v>0</v>
      </c>
      <c r="F883" s="3164">
        <f t="shared" si="181"/>
        <v>0</v>
      </c>
      <c r="G883" s="3165">
        <f t="shared" si="182"/>
        <v>0</v>
      </c>
      <c r="H883" s="3166">
        <f t="shared" si="183"/>
        <v>0</v>
      </c>
      <c r="I883" s="3157">
        <f t="shared" si="184"/>
        <v>0</v>
      </c>
      <c r="J883" s="3167">
        <f t="shared" si="185"/>
        <v>0</v>
      </c>
      <c r="K883" s="3165">
        <f t="shared" si="186"/>
        <v>0</v>
      </c>
      <c r="L883" s="3167">
        <f t="shared" si="187"/>
        <v>0</v>
      </c>
      <c r="M883" s="2642">
        <f t="shared" si="188"/>
        <v>0</v>
      </c>
    </row>
    <row r="884" spans="1:13" x14ac:dyDescent="0.25">
      <c r="A884" s="2611">
        <v>74</v>
      </c>
      <c r="B884" s="2613">
        <f t="shared" si="177"/>
        <v>0</v>
      </c>
      <c r="C884" s="408">
        <f t="shared" si="178"/>
        <v>0</v>
      </c>
      <c r="D884" s="2612">
        <f t="shared" si="179"/>
        <v>0</v>
      </c>
      <c r="E884" s="2583">
        <f t="shared" si="180"/>
        <v>0</v>
      </c>
      <c r="F884" s="3164">
        <f t="shared" si="181"/>
        <v>0</v>
      </c>
      <c r="G884" s="3165">
        <f t="shared" si="182"/>
        <v>0</v>
      </c>
      <c r="H884" s="3166">
        <f t="shared" si="183"/>
        <v>0</v>
      </c>
      <c r="I884" s="3157">
        <f t="shared" si="184"/>
        <v>0</v>
      </c>
      <c r="J884" s="3167">
        <f t="shared" si="185"/>
        <v>0</v>
      </c>
      <c r="K884" s="3165">
        <f t="shared" si="186"/>
        <v>0</v>
      </c>
      <c r="L884" s="3167">
        <f t="shared" si="187"/>
        <v>0</v>
      </c>
      <c r="M884" s="2642">
        <f t="shared" si="188"/>
        <v>0</v>
      </c>
    </row>
    <row r="885" spans="1:13" x14ac:dyDescent="0.25">
      <c r="A885" s="2611">
        <v>75</v>
      </c>
      <c r="B885" s="2613">
        <f t="shared" si="177"/>
        <v>0</v>
      </c>
      <c r="C885" s="408">
        <f t="shared" si="178"/>
        <v>0</v>
      </c>
      <c r="D885" s="2612">
        <f t="shared" si="179"/>
        <v>0</v>
      </c>
      <c r="E885" s="2583">
        <f t="shared" si="180"/>
        <v>0</v>
      </c>
      <c r="F885" s="3164">
        <f t="shared" si="181"/>
        <v>0</v>
      </c>
      <c r="G885" s="3165">
        <f t="shared" si="182"/>
        <v>0</v>
      </c>
      <c r="H885" s="3166">
        <f t="shared" si="183"/>
        <v>0</v>
      </c>
      <c r="I885" s="3157">
        <f t="shared" si="184"/>
        <v>0</v>
      </c>
      <c r="J885" s="3167">
        <f t="shared" si="185"/>
        <v>0</v>
      </c>
      <c r="K885" s="3165">
        <f t="shared" si="186"/>
        <v>0</v>
      </c>
      <c r="L885" s="3167">
        <f t="shared" si="187"/>
        <v>0</v>
      </c>
      <c r="M885" s="2642">
        <f t="shared" si="188"/>
        <v>0</v>
      </c>
    </row>
    <row r="886" spans="1:13" x14ac:dyDescent="0.25">
      <c r="A886" s="2611">
        <v>76</v>
      </c>
      <c r="B886" s="2613">
        <f t="shared" si="177"/>
        <v>0</v>
      </c>
      <c r="C886" s="408">
        <f t="shared" si="178"/>
        <v>0</v>
      </c>
      <c r="D886" s="2612">
        <f t="shared" si="179"/>
        <v>0</v>
      </c>
      <c r="E886" s="2583">
        <f t="shared" si="180"/>
        <v>0</v>
      </c>
      <c r="F886" s="3164">
        <f t="shared" si="181"/>
        <v>0</v>
      </c>
      <c r="G886" s="3165">
        <f t="shared" si="182"/>
        <v>0</v>
      </c>
      <c r="H886" s="3166">
        <f t="shared" si="183"/>
        <v>0</v>
      </c>
      <c r="I886" s="3157">
        <f t="shared" si="184"/>
        <v>0</v>
      </c>
      <c r="J886" s="3167">
        <f t="shared" si="185"/>
        <v>0</v>
      </c>
      <c r="K886" s="3165">
        <f t="shared" si="186"/>
        <v>0</v>
      </c>
      <c r="L886" s="3167">
        <f t="shared" si="187"/>
        <v>0</v>
      </c>
      <c r="M886" s="2642">
        <f t="shared" si="188"/>
        <v>0</v>
      </c>
    </row>
    <row r="887" spans="1:13" x14ac:dyDescent="0.25">
      <c r="A887" s="2611">
        <v>77</v>
      </c>
      <c r="B887" s="2613">
        <f t="shared" si="177"/>
        <v>0</v>
      </c>
      <c r="C887" s="408">
        <f t="shared" si="178"/>
        <v>0</v>
      </c>
      <c r="D887" s="2612">
        <f t="shared" si="179"/>
        <v>0</v>
      </c>
      <c r="E887" s="2583">
        <f t="shared" si="180"/>
        <v>0</v>
      </c>
      <c r="F887" s="3164">
        <f t="shared" si="181"/>
        <v>0</v>
      </c>
      <c r="G887" s="3165">
        <f t="shared" si="182"/>
        <v>0</v>
      </c>
      <c r="H887" s="3166">
        <f t="shared" si="183"/>
        <v>0</v>
      </c>
      <c r="I887" s="3157">
        <f t="shared" si="184"/>
        <v>0</v>
      </c>
      <c r="J887" s="3167">
        <f t="shared" si="185"/>
        <v>0</v>
      </c>
      <c r="K887" s="3165">
        <f t="shared" si="186"/>
        <v>0</v>
      </c>
      <c r="L887" s="3167">
        <f t="shared" si="187"/>
        <v>0</v>
      </c>
      <c r="M887" s="2642">
        <f t="shared" si="188"/>
        <v>0</v>
      </c>
    </row>
    <row r="888" spans="1:13" x14ac:dyDescent="0.25">
      <c r="A888" s="2611">
        <v>78</v>
      </c>
      <c r="B888" s="2613">
        <f t="shared" si="177"/>
        <v>0</v>
      </c>
      <c r="C888" s="408">
        <f t="shared" si="178"/>
        <v>0</v>
      </c>
      <c r="D888" s="2612">
        <f t="shared" si="179"/>
        <v>0</v>
      </c>
      <c r="E888" s="2583">
        <f t="shared" si="180"/>
        <v>0</v>
      </c>
      <c r="F888" s="3164">
        <f t="shared" si="181"/>
        <v>0</v>
      </c>
      <c r="G888" s="3165">
        <f t="shared" si="182"/>
        <v>0</v>
      </c>
      <c r="H888" s="3166">
        <f t="shared" si="183"/>
        <v>0</v>
      </c>
      <c r="I888" s="3157">
        <f t="shared" si="184"/>
        <v>0</v>
      </c>
      <c r="J888" s="3167">
        <f t="shared" si="185"/>
        <v>0</v>
      </c>
      <c r="K888" s="3165">
        <f t="shared" si="186"/>
        <v>0</v>
      </c>
      <c r="L888" s="3167">
        <f t="shared" si="187"/>
        <v>0</v>
      </c>
      <c r="M888" s="2642">
        <f t="shared" si="188"/>
        <v>0</v>
      </c>
    </row>
    <row r="889" spans="1:13" x14ac:dyDescent="0.25">
      <c r="A889" s="2611">
        <v>79</v>
      </c>
      <c r="B889" s="2613">
        <f t="shared" si="177"/>
        <v>0</v>
      </c>
      <c r="C889" s="408">
        <f t="shared" si="178"/>
        <v>0</v>
      </c>
      <c r="D889" s="2612">
        <f t="shared" si="179"/>
        <v>0</v>
      </c>
      <c r="E889" s="2583">
        <f t="shared" si="180"/>
        <v>0</v>
      </c>
      <c r="F889" s="3164">
        <f t="shared" si="181"/>
        <v>0</v>
      </c>
      <c r="G889" s="3165">
        <f t="shared" si="182"/>
        <v>0</v>
      </c>
      <c r="H889" s="3166">
        <f t="shared" si="183"/>
        <v>0</v>
      </c>
      <c r="I889" s="3157">
        <f t="shared" si="184"/>
        <v>0</v>
      </c>
      <c r="J889" s="3167">
        <f t="shared" si="185"/>
        <v>0</v>
      </c>
      <c r="K889" s="3165">
        <f t="shared" si="186"/>
        <v>0</v>
      </c>
      <c r="L889" s="3167">
        <f t="shared" si="187"/>
        <v>0</v>
      </c>
      <c r="M889" s="2642">
        <f t="shared" si="188"/>
        <v>0</v>
      </c>
    </row>
    <row r="890" spans="1:13" x14ac:dyDescent="0.25">
      <c r="A890" s="2611">
        <v>80</v>
      </c>
      <c r="B890" s="2613">
        <f t="shared" si="177"/>
        <v>0</v>
      </c>
      <c r="C890" s="408">
        <f t="shared" si="178"/>
        <v>0</v>
      </c>
      <c r="D890" s="2612">
        <f t="shared" si="179"/>
        <v>0</v>
      </c>
      <c r="E890" s="2583">
        <f t="shared" si="180"/>
        <v>0</v>
      </c>
      <c r="F890" s="3164">
        <f t="shared" si="181"/>
        <v>0</v>
      </c>
      <c r="G890" s="3165">
        <f t="shared" si="182"/>
        <v>0</v>
      </c>
      <c r="H890" s="3166">
        <f t="shared" si="183"/>
        <v>0</v>
      </c>
      <c r="I890" s="3157">
        <f t="shared" si="184"/>
        <v>0</v>
      </c>
      <c r="J890" s="3167">
        <f t="shared" si="185"/>
        <v>0</v>
      </c>
      <c r="K890" s="3165">
        <f t="shared" si="186"/>
        <v>0</v>
      </c>
      <c r="L890" s="3167">
        <f t="shared" si="187"/>
        <v>0</v>
      </c>
      <c r="M890" s="2642">
        <f t="shared" si="188"/>
        <v>0</v>
      </c>
    </row>
    <row r="891" spans="1:13" x14ac:dyDescent="0.25">
      <c r="A891" s="2611">
        <v>81</v>
      </c>
      <c r="B891" s="2613">
        <f t="shared" si="177"/>
        <v>0</v>
      </c>
      <c r="C891" s="408">
        <f t="shared" si="178"/>
        <v>0</v>
      </c>
      <c r="D891" s="2612">
        <f t="shared" si="179"/>
        <v>0</v>
      </c>
      <c r="E891" s="2583">
        <f t="shared" si="180"/>
        <v>0</v>
      </c>
      <c r="F891" s="3164">
        <f t="shared" si="181"/>
        <v>0</v>
      </c>
      <c r="G891" s="3165">
        <f t="shared" si="182"/>
        <v>0</v>
      </c>
      <c r="H891" s="3166">
        <f t="shared" si="183"/>
        <v>0</v>
      </c>
      <c r="I891" s="3157">
        <f t="shared" si="184"/>
        <v>0</v>
      </c>
      <c r="J891" s="3167">
        <f t="shared" si="185"/>
        <v>0</v>
      </c>
      <c r="K891" s="3165">
        <f t="shared" si="186"/>
        <v>0</v>
      </c>
      <c r="L891" s="3167">
        <f t="shared" si="187"/>
        <v>0</v>
      </c>
      <c r="M891" s="2642">
        <f t="shared" si="188"/>
        <v>0</v>
      </c>
    </row>
    <row r="892" spans="1:13" x14ac:dyDescent="0.25">
      <c r="A892" s="2611">
        <v>82</v>
      </c>
      <c r="B892" s="2613">
        <f t="shared" si="177"/>
        <v>0</v>
      </c>
      <c r="C892" s="408">
        <f t="shared" si="178"/>
        <v>0</v>
      </c>
      <c r="D892" s="2612">
        <f t="shared" si="179"/>
        <v>0</v>
      </c>
      <c r="E892" s="2583">
        <f t="shared" si="180"/>
        <v>0</v>
      </c>
      <c r="F892" s="3164">
        <f t="shared" si="181"/>
        <v>0</v>
      </c>
      <c r="G892" s="3165">
        <f t="shared" si="182"/>
        <v>0</v>
      </c>
      <c r="H892" s="3166">
        <f t="shared" si="183"/>
        <v>0</v>
      </c>
      <c r="I892" s="3157">
        <f t="shared" si="184"/>
        <v>0</v>
      </c>
      <c r="J892" s="3167">
        <f t="shared" si="185"/>
        <v>0</v>
      </c>
      <c r="K892" s="3165">
        <f t="shared" si="186"/>
        <v>0</v>
      </c>
      <c r="L892" s="3167">
        <f t="shared" si="187"/>
        <v>0</v>
      </c>
      <c r="M892" s="2642">
        <f t="shared" si="188"/>
        <v>0</v>
      </c>
    </row>
    <row r="893" spans="1:13" x14ac:dyDescent="0.25">
      <c r="A893" s="2611">
        <v>83</v>
      </c>
      <c r="B893" s="2613">
        <f t="shared" si="177"/>
        <v>0</v>
      </c>
      <c r="C893" s="408">
        <f t="shared" si="178"/>
        <v>0</v>
      </c>
      <c r="D893" s="2612">
        <f t="shared" si="179"/>
        <v>0</v>
      </c>
      <c r="E893" s="2583">
        <f t="shared" si="180"/>
        <v>0</v>
      </c>
      <c r="F893" s="3164">
        <f t="shared" si="181"/>
        <v>0</v>
      </c>
      <c r="G893" s="3165">
        <f t="shared" si="182"/>
        <v>0</v>
      </c>
      <c r="H893" s="3166">
        <f t="shared" si="183"/>
        <v>0</v>
      </c>
      <c r="I893" s="3157">
        <f t="shared" si="184"/>
        <v>0</v>
      </c>
      <c r="J893" s="3167">
        <f t="shared" si="185"/>
        <v>0</v>
      </c>
      <c r="K893" s="3165">
        <f t="shared" si="186"/>
        <v>0</v>
      </c>
      <c r="L893" s="3167">
        <f t="shared" si="187"/>
        <v>0</v>
      </c>
      <c r="M893" s="2642">
        <f t="shared" si="188"/>
        <v>0</v>
      </c>
    </row>
    <row r="894" spans="1:13" x14ac:dyDescent="0.25">
      <c r="A894" s="2611">
        <v>84</v>
      </c>
      <c r="B894" s="2613">
        <f t="shared" si="177"/>
        <v>0</v>
      </c>
      <c r="C894" s="408">
        <f t="shared" si="178"/>
        <v>0</v>
      </c>
      <c r="D894" s="2612">
        <f t="shared" si="179"/>
        <v>0</v>
      </c>
      <c r="E894" s="2583">
        <f t="shared" si="180"/>
        <v>0</v>
      </c>
      <c r="F894" s="3164">
        <f t="shared" si="181"/>
        <v>0</v>
      </c>
      <c r="G894" s="3165">
        <f t="shared" si="182"/>
        <v>0</v>
      </c>
      <c r="H894" s="3166">
        <f t="shared" si="183"/>
        <v>0</v>
      </c>
      <c r="I894" s="3157">
        <f t="shared" si="184"/>
        <v>0</v>
      </c>
      <c r="J894" s="3167">
        <f t="shared" si="185"/>
        <v>0</v>
      </c>
      <c r="K894" s="3165">
        <f t="shared" si="186"/>
        <v>0</v>
      </c>
      <c r="L894" s="3167">
        <f t="shared" si="187"/>
        <v>0</v>
      </c>
      <c r="M894" s="2642">
        <f t="shared" si="188"/>
        <v>0</v>
      </c>
    </row>
    <row r="895" spans="1:13" x14ac:dyDescent="0.25">
      <c r="A895" s="2611">
        <v>85</v>
      </c>
      <c r="B895" s="2613">
        <f t="shared" si="177"/>
        <v>0</v>
      </c>
      <c r="C895" s="408">
        <f t="shared" si="178"/>
        <v>0</v>
      </c>
      <c r="D895" s="2612">
        <f t="shared" si="179"/>
        <v>0</v>
      </c>
      <c r="E895" s="2583">
        <f t="shared" si="180"/>
        <v>0</v>
      </c>
      <c r="F895" s="3164">
        <f t="shared" si="181"/>
        <v>0</v>
      </c>
      <c r="G895" s="3165">
        <f t="shared" si="182"/>
        <v>0</v>
      </c>
      <c r="H895" s="3166">
        <f t="shared" si="183"/>
        <v>0</v>
      </c>
      <c r="I895" s="3157">
        <f t="shared" si="184"/>
        <v>0</v>
      </c>
      <c r="J895" s="3167">
        <f t="shared" si="185"/>
        <v>0</v>
      </c>
      <c r="K895" s="3165">
        <f t="shared" si="186"/>
        <v>0</v>
      </c>
      <c r="L895" s="3167">
        <f t="shared" si="187"/>
        <v>0</v>
      </c>
      <c r="M895" s="2642">
        <f t="shared" si="188"/>
        <v>0</v>
      </c>
    </row>
    <row r="896" spans="1:13" x14ac:dyDescent="0.25">
      <c r="A896" s="2611">
        <v>86</v>
      </c>
      <c r="B896" s="2613">
        <f t="shared" si="177"/>
        <v>0</v>
      </c>
      <c r="C896" s="408">
        <f t="shared" si="178"/>
        <v>0</v>
      </c>
      <c r="D896" s="2612">
        <f t="shared" si="179"/>
        <v>0</v>
      </c>
      <c r="E896" s="2583">
        <f t="shared" si="180"/>
        <v>0</v>
      </c>
      <c r="F896" s="3164">
        <f t="shared" si="181"/>
        <v>0</v>
      </c>
      <c r="G896" s="3165">
        <f t="shared" si="182"/>
        <v>0</v>
      </c>
      <c r="H896" s="3166">
        <f t="shared" si="183"/>
        <v>0</v>
      </c>
      <c r="I896" s="3157">
        <f t="shared" si="184"/>
        <v>0</v>
      </c>
      <c r="J896" s="3167">
        <f t="shared" si="185"/>
        <v>0</v>
      </c>
      <c r="K896" s="3165">
        <f t="shared" si="186"/>
        <v>0</v>
      </c>
      <c r="L896" s="3167">
        <f t="shared" si="187"/>
        <v>0</v>
      </c>
      <c r="M896" s="2642">
        <f t="shared" si="188"/>
        <v>0</v>
      </c>
    </row>
    <row r="897" spans="1:13" x14ac:dyDescent="0.25">
      <c r="A897" s="2611">
        <v>87</v>
      </c>
      <c r="B897" s="2613">
        <f t="shared" si="177"/>
        <v>0</v>
      </c>
      <c r="C897" s="408">
        <f t="shared" si="178"/>
        <v>0</v>
      </c>
      <c r="D897" s="2612">
        <f t="shared" si="179"/>
        <v>0</v>
      </c>
      <c r="E897" s="2583">
        <f t="shared" si="180"/>
        <v>0</v>
      </c>
      <c r="F897" s="3164">
        <f t="shared" si="181"/>
        <v>0</v>
      </c>
      <c r="G897" s="3165">
        <f t="shared" si="182"/>
        <v>0</v>
      </c>
      <c r="H897" s="3166">
        <f t="shared" si="183"/>
        <v>0</v>
      </c>
      <c r="I897" s="3157">
        <f t="shared" si="184"/>
        <v>0</v>
      </c>
      <c r="J897" s="3167">
        <f t="shared" si="185"/>
        <v>0</v>
      </c>
      <c r="K897" s="3165">
        <f t="shared" si="186"/>
        <v>0</v>
      </c>
      <c r="L897" s="3167">
        <f t="shared" si="187"/>
        <v>0</v>
      </c>
      <c r="M897" s="2642">
        <f t="shared" si="188"/>
        <v>0</v>
      </c>
    </row>
    <row r="898" spans="1:13" x14ac:dyDescent="0.25">
      <c r="A898" s="2611">
        <v>88</v>
      </c>
      <c r="B898" s="2613">
        <f t="shared" si="177"/>
        <v>0</v>
      </c>
      <c r="C898" s="408">
        <f t="shared" si="178"/>
        <v>0</v>
      </c>
      <c r="D898" s="2612">
        <f t="shared" si="179"/>
        <v>0</v>
      </c>
      <c r="E898" s="2583">
        <f t="shared" si="180"/>
        <v>0</v>
      </c>
      <c r="F898" s="3164">
        <f t="shared" si="181"/>
        <v>0</v>
      </c>
      <c r="G898" s="3165">
        <f t="shared" si="182"/>
        <v>0</v>
      </c>
      <c r="H898" s="3166">
        <f t="shared" si="183"/>
        <v>0</v>
      </c>
      <c r="I898" s="3157">
        <f t="shared" si="184"/>
        <v>0</v>
      </c>
      <c r="J898" s="3167">
        <f t="shared" si="185"/>
        <v>0</v>
      </c>
      <c r="K898" s="3165">
        <f t="shared" si="186"/>
        <v>0</v>
      </c>
      <c r="L898" s="3167">
        <f t="shared" si="187"/>
        <v>0</v>
      </c>
      <c r="M898" s="2642">
        <f t="shared" si="188"/>
        <v>0</v>
      </c>
    </row>
    <row r="899" spans="1:13" x14ac:dyDescent="0.25">
      <c r="A899" s="2611">
        <v>89</v>
      </c>
      <c r="B899" s="2613">
        <f t="shared" si="177"/>
        <v>0</v>
      </c>
      <c r="C899" s="408">
        <f t="shared" si="178"/>
        <v>0</v>
      </c>
      <c r="D899" s="2612">
        <f t="shared" si="179"/>
        <v>0</v>
      </c>
      <c r="E899" s="2583">
        <f t="shared" si="180"/>
        <v>0</v>
      </c>
      <c r="F899" s="3164">
        <f t="shared" si="181"/>
        <v>0</v>
      </c>
      <c r="G899" s="3165">
        <f t="shared" si="182"/>
        <v>0</v>
      </c>
      <c r="H899" s="3166">
        <f t="shared" si="183"/>
        <v>0</v>
      </c>
      <c r="I899" s="3157">
        <f t="shared" si="184"/>
        <v>0</v>
      </c>
      <c r="J899" s="3167">
        <f t="shared" si="185"/>
        <v>0</v>
      </c>
      <c r="K899" s="3165">
        <f t="shared" si="186"/>
        <v>0</v>
      </c>
      <c r="L899" s="3167">
        <f t="shared" si="187"/>
        <v>0</v>
      </c>
      <c r="M899" s="2642">
        <f t="shared" si="188"/>
        <v>0</v>
      </c>
    </row>
    <row r="900" spans="1:13" x14ac:dyDescent="0.25">
      <c r="A900" s="2611">
        <v>90</v>
      </c>
      <c r="B900" s="2613">
        <f t="shared" si="177"/>
        <v>0</v>
      </c>
      <c r="C900" s="408">
        <f t="shared" si="178"/>
        <v>0</v>
      </c>
      <c r="D900" s="2612">
        <f t="shared" si="179"/>
        <v>0</v>
      </c>
      <c r="E900" s="2583">
        <f t="shared" si="180"/>
        <v>0</v>
      </c>
      <c r="F900" s="3164">
        <f t="shared" si="181"/>
        <v>0</v>
      </c>
      <c r="G900" s="3165">
        <f t="shared" si="182"/>
        <v>0</v>
      </c>
      <c r="H900" s="3166">
        <f t="shared" si="183"/>
        <v>0</v>
      </c>
      <c r="I900" s="3157">
        <f t="shared" si="184"/>
        <v>0</v>
      </c>
      <c r="J900" s="3167">
        <f t="shared" si="185"/>
        <v>0</v>
      </c>
      <c r="K900" s="3165">
        <f t="shared" si="186"/>
        <v>0</v>
      </c>
      <c r="L900" s="3167">
        <f t="shared" si="187"/>
        <v>0</v>
      </c>
      <c r="M900" s="2642">
        <f t="shared" si="188"/>
        <v>0</v>
      </c>
    </row>
    <row r="901" spans="1:13" x14ac:dyDescent="0.25">
      <c r="A901" s="2611">
        <v>91</v>
      </c>
      <c r="B901" s="2613">
        <f t="shared" si="177"/>
        <v>0</v>
      </c>
      <c r="C901" s="408">
        <f t="shared" si="178"/>
        <v>0</v>
      </c>
      <c r="D901" s="2612">
        <f t="shared" si="179"/>
        <v>0</v>
      </c>
      <c r="E901" s="2583">
        <f t="shared" si="180"/>
        <v>0</v>
      </c>
      <c r="F901" s="3164">
        <f t="shared" si="181"/>
        <v>0</v>
      </c>
      <c r="G901" s="3165">
        <f t="shared" si="182"/>
        <v>0</v>
      </c>
      <c r="H901" s="3166">
        <f t="shared" si="183"/>
        <v>0</v>
      </c>
      <c r="I901" s="3157">
        <f t="shared" si="184"/>
        <v>0</v>
      </c>
      <c r="J901" s="3167">
        <f t="shared" si="185"/>
        <v>0</v>
      </c>
      <c r="K901" s="3165">
        <f t="shared" si="186"/>
        <v>0</v>
      </c>
      <c r="L901" s="3167">
        <f t="shared" si="187"/>
        <v>0</v>
      </c>
      <c r="M901" s="2642">
        <f t="shared" si="188"/>
        <v>0</v>
      </c>
    </row>
    <row r="902" spans="1:13" x14ac:dyDescent="0.25">
      <c r="A902" s="2611">
        <v>92</v>
      </c>
      <c r="B902" s="2613">
        <f t="shared" si="177"/>
        <v>0</v>
      </c>
      <c r="C902" s="408">
        <f t="shared" si="178"/>
        <v>0</v>
      </c>
      <c r="D902" s="2612">
        <f t="shared" si="179"/>
        <v>0</v>
      </c>
      <c r="E902" s="2583">
        <f t="shared" si="180"/>
        <v>0</v>
      </c>
      <c r="F902" s="3164">
        <f t="shared" si="181"/>
        <v>0</v>
      </c>
      <c r="G902" s="3165">
        <f t="shared" si="182"/>
        <v>0</v>
      </c>
      <c r="H902" s="3166">
        <f t="shared" si="183"/>
        <v>0</v>
      </c>
      <c r="I902" s="3157">
        <f t="shared" si="184"/>
        <v>0</v>
      </c>
      <c r="J902" s="3167">
        <f t="shared" si="185"/>
        <v>0</v>
      </c>
      <c r="K902" s="3165">
        <f t="shared" si="186"/>
        <v>0</v>
      </c>
      <c r="L902" s="3167">
        <f t="shared" si="187"/>
        <v>0</v>
      </c>
      <c r="M902" s="2642">
        <f t="shared" si="188"/>
        <v>0</v>
      </c>
    </row>
    <row r="903" spans="1:13" x14ac:dyDescent="0.25">
      <c r="A903" s="2611">
        <v>93</v>
      </c>
      <c r="B903" s="2613">
        <f t="shared" si="177"/>
        <v>0</v>
      </c>
      <c r="C903" s="408">
        <f t="shared" si="178"/>
        <v>0</v>
      </c>
      <c r="D903" s="2612">
        <f t="shared" si="179"/>
        <v>0</v>
      </c>
      <c r="E903" s="2583">
        <f t="shared" si="180"/>
        <v>0</v>
      </c>
      <c r="F903" s="3164">
        <f t="shared" si="181"/>
        <v>0</v>
      </c>
      <c r="G903" s="3165">
        <f t="shared" si="182"/>
        <v>0</v>
      </c>
      <c r="H903" s="3166">
        <f t="shared" si="183"/>
        <v>0</v>
      </c>
      <c r="I903" s="3157">
        <f t="shared" si="184"/>
        <v>0</v>
      </c>
      <c r="J903" s="3167">
        <f t="shared" si="185"/>
        <v>0</v>
      </c>
      <c r="K903" s="3165">
        <f t="shared" si="186"/>
        <v>0</v>
      </c>
      <c r="L903" s="3167">
        <f t="shared" si="187"/>
        <v>0</v>
      </c>
      <c r="M903" s="2642">
        <f t="shared" si="188"/>
        <v>0</v>
      </c>
    </row>
    <row r="904" spans="1:13" x14ac:dyDescent="0.25">
      <c r="A904" s="2611">
        <v>94</v>
      </c>
      <c r="B904" s="2613">
        <f t="shared" si="177"/>
        <v>0</v>
      </c>
      <c r="C904" s="408">
        <f t="shared" si="178"/>
        <v>0</v>
      </c>
      <c r="D904" s="2612">
        <f t="shared" si="179"/>
        <v>0</v>
      </c>
      <c r="E904" s="2583">
        <f t="shared" si="180"/>
        <v>0</v>
      </c>
      <c r="F904" s="3164">
        <f t="shared" si="181"/>
        <v>0</v>
      </c>
      <c r="G904" s="3165">
        <f t="shared" si="182"/>
        <v>0</v>
      </c>
      <c r="H904" s="3166">
        <f t="shared" si="183"/>
        <v>0</v>
      </c>
      <c r="I904" s="3157">
        <f t="shared" si="184"/>
        <v>0</v>
      </c>
      <c r="J904" s="3167">
        <f t="shared" si="185"/>
        <v>0</v>
      </c>
      <c r="K904" s="3165">
        <f t="shared" si="186"/>
        <v>0</v>
      </c>
      <c r="L904" s="3167">
        <f t="shared" si="187"/>
        <v>0</v>
      </c>
      <c r="M904" s="2642">
        <f t="shared" si="188"/>
        <v>0</v>
      </c>
    </row>
    <row r="905" spans="1:13" x14ac:dyDescent="0.25">
      <c r="A905" s="2611">
        <v>95</v>
      </c>
      <c r="B905" s="2613">
        <f t="shared" si="177"/>
        <v>0</v>
      </c>
      <c r="C905" s="408">
        <f t="shared" si="178"/>
        <v>0</v>
      </c>
      <c r="D905" s="2612">
        <f t="shared" si="179"/>
        <v>0</v>
      </c>
      <c r="E905" s="2583">
        <f t="shared" si="180"/>
        <v>0</v>
      </c>
      <c r="F905" s="3164">
        <f t="shared" si="181"/>
        <v>0</v>
      </c>
      <c r="G905" s="3165">
        <f t="shared" si="182"/>
        <v>0</v>
      </c>
      <c r="H905" s="3166">
        <f t="shared" si="183"/>
        <v>0</v>
      </c>
      <c r="I905" s="3157">
        <f t="shared" si="184"/>
        <v>0</v>
      </c>
      <c r="J905" s="3167">
        <f t="shared" si="185"/>
        <v>0</v>
      </c>
      <c r="K905" s="3165">
        <f t="shared" si="186"/>
        <v>0</v>
      </c>
      <c r="L905" s="3167">
        <f t="shared" si="187"/>
        <v>0</v>
      </c>
      <c r="M905" s="2642">
        <f t="shared" si="188"/>
        <v>0</v>
      </c>
    </row>
    <row r="906" spans="1:13" x14ac:dyDescent="0.25">
      <c r="A906" s="2611">
        <v>96</v>
      </c>
      <c r="B906" s="2613">
        <f t="shared" si="177"/>
        <v>0</v>
      </c>
      <c r="C906" s="408">
        <f t="shared" si="178"/>
        <v>0</v>
      </c>
      <c r="D906" s="2612">
        <f t="shared" si="179"/>
        <v>0</v>
      </c>
      <c r="E906" s="2583">
        <f t="shared" si="180"/>
        <v>0</v>
      </c>
      <c r="F906" s="3164">
        <f t="shared" si="181"/>
        <v>0</v>
      </c>
      <c r="G906" s="3165">
        <f t="shared" si="182"/>
        <v>0</v>
      </c>
      <c r="H906" s="3166">
        <f t="shared" si="183"/>
        <v>0</v>
      </c>
      <c r="I906" s="3157">
        <f t="shared" si="184"/>
        <v>0</v>
      </c>
      <c r="J906" s="3167">
        <f t="shared" si="185"/>
        <v>0</v>
      </c>
      <c r="K906" s="3165">
        <f t="shared" si="186"/>
        <v>0</v>
      </c>
      <c r="L906" s="3167">
        <f t="shared" si="187"/>
        <v>0</v>
      </c>
      <c r="M906" s="2642">
        <f t="shared" si="188"/>
        <v>0</v>
      </c>
    </row>
    <row r="907" spans="1:13" x14ac:dyDescent="0.25">
      <c r="A907" s="2611">
        <v>97</v>
      </c>
      <c r="B907" s="2613">
        <f t="shared" ref="B907:B913" si="189">IF(AND($C331="inher-Life",OR($B331="W",$B331="FW")),$D331,0)</f>
        <v>0</v>
      </c>
      <c r="C907" s="408">
        <f t="shared" ref="C907:C913" si="190">IF(AND($C331="inher-Life",OR($B331="W",$B331="FW")),$G331,0)</f>
        <v>0</v>
      </c>
      <c r="D907" s="2612">
        <f t="shared" ref="D907:D913" si="191">IF(AND($I331="inher-Life",OR($H331="W",$H331="FW")),$J331,0)</f>
        <v>0</v>
      </c>
      <c r="E907" s="2583">
        <f t="shared" ref="E907:E913" si="192">IF(AND($I331="inher-Life",OR($H331="W",$H331="FW")),$M331,0)</f>
        <v>0</v>
      </c>
      <c r="F907" s="3164">
        <f t="shared" ref="F907:F913" si="193">IF(AND($C331="non-deduct",OR($B331="C",$B331="FC")),$D331,0)</f>
        <v>0</v>
      </c>
      <c r="G907" s="3165">
        <f t="shared" ref="G907:G913" si="194">IF(AND($C331="non-deduct",OR($B331="C",$B331="FC")),$G331,0)</f>
        <v>0</v>
      </c>
      <c r="H907" s="3166">
        <f t="shared" ref="H907:H913" si="195">IF(AND($C331="non-deduct",OR($B331="W",$B331="FW")),$D331,0)</f>
        <v>0</v>
      </c>
      <c r="I907" s="3157">
        <f t="shared" ref="I907:I913" si="196">IF(AND($C331="non-deduct",OR($B331="W",$B331="FW")),$G331,0)</f>
        <v>0</v>
      </c>
      <c r="J907" s="3167">
        <f t="shared" ref="J907:J913" si="197">IF(AND($I331="non-deduct",OR($H331="C",$H331="FC")),$J331,0)</f>
        <v>0</v>
      </c>
      <c r="K907" s="3165">
        <f t="shared" ref="K907:K913" si="198">IF(AND($I331="non-deduct",OR($H331="C",$H331="FC")),$M331,0)</f>
        <v>0</v>
      </c>
      <c r="L907" s="3167">
        <f t="shared" ref="L907:L913" si="199">IF(AND($I331="non-deduct",OR($H331="W",$H331="FW")),$J331,0)</f>
        <v>0</v>
      </c>
      <c r="M907" s="2642">
        <f t="shared" ref="M907:M913" si="200">IF(AND($I331="non-deduct",OR($H331="W",$H331="FW")),$M331,0)</f>
        <v>0</v>
      </c>
    </row>
    <row r="908" spans="1:13" x14ac:dyDescent="0.25">
      <c r="A908" s="2611">
        <v>98</v>
      </c>
      <c r="B908" s="2613">
        <f t="shared" si="189"/>
        <v>0</v>
      </c>
      <c r="C908" s="408">
        <f t="shared" si="190"/>
        <v>0</v>
      </c>
      <c r="D908" s="2612">
        <f t="shared" si="191"/>
        <v>0</v>
      </c>
      <c r="E908" s="2583">
        <f t="shared" si="192"/>
        <v>0</v>
      </c>
      <c r="F908" s="3164">
        <f t="shared" si="193"/>
        <v>0</v>
      </c>
      <c r="G908" s="3165">
        <f t="shared" si="194"/>
        <v>0</v>
      </c>
      <c r="H908" s="3166">
        <f t="shared" si="195"/>
        <v>0</v>
      </c>
      <c r="I908" s="3157">
        <f t="shared" si="196"/>
        <v>0</v>
      </c>
      <c r="J908" s="3167">
        <f t="shared" si="197"/>
        <v>0</v>
      </c>
      <c r="K908" s="3165">
        <f t="shared" si="198"/>
        <v>0</v>
      </c>
      <c r="L908" s="3167">
        <f t="shared" si="199"/>
        <v>0</v>
      </c>
      <c r="M908" s="2642">
        <f t="shared" si="200"/>
        <v>0</v>
      </c>
    </row>
    <row r="909" spans="1:13" x14ac:dyDescent="0.25">
      <c r="A909" s="2611">
        <v>99</v>
      </c>
      <c r="B909" s="2613">
        <f t="shared" si="189"/>
        <v>0</v>
      </c>
      <c r="C909" s="408">
        <f t="shared" si="190"/>
        <v>0</v>
      </c>
      <c r="D909" s="2612">
        <f t="shared" si="191"/>
        <v>0</v>
      </c>
      <c r="E909" s="2583">
        <f t="shared" si="192"/>
        <v>0</v>
      </c>
      <c r="F909" s="3164">
        <f t="shared" si="193"/>
        <v>0</v>
      </c>
      <c r="G909" s="3165">
        <f t="shared" si="194"/>
        <v>0</v>
      </c>
      <c r="H909" s="3166">
        <f t="shared" si="195"/>
        <v>0</v>
      </c>
      <c r="I909" s="3157">
        <f t="shared" si="196"/>
        <v>0</v>
      </c>
      <c r="J909" s="3167">
        <f t="shared" si="197"/>
        <v>0</v>
      </c>
      <c r="K909" s="3165">
        <f t="shared" si="198"/>
        <v>0</v>
      </c>
      <c r="L909" s="3167">
        <f t="shared" si="199"/>
        <v>0</v>
      </c>
      <c r="M909" s="2642">
        <f t="shared" si="200"/>
        <v>0</v>
      </c>
    </row>
    <row r="910" spans="1:13" x14ac:dyDescent="0.25">
      <c r="A910" s="2611">
        <v>100</v>
      </c>
      <c r="B910" s="2613">
        <f t="shared" si="189"/>
        <v>0</v>
      </c>
      <c r="C910" s="408">
        <f t="shared" si="190"/>
        <v>0</v>
      </c>
      <c r="D910" s="2612">
        <f t="shared" si="191"/>
        <v>0</v>
      </c>
      <c r="E910" s="2583">
        <f t="shared" si="192"/>
        <v>0</v>
      </c>
      <c r="F910" s="3164">
        <f t="shared" si="193"/>
        <v>0</v>
      </c>
      <c r="G910" s="3165">
        <f t="shared" si="194"/>
        <v>0</v>
      </c>
      <c r="H910" s="3166">
        <f t="shared" si="195"/>
        <v>0</v>
      </c>
      <c r="I910" s="3157">
        <f t="shared" si="196"/>
        <v>0</v>
      </c>
      <c r="J910" s="3167">
        <f t="shared" si="197"/>
        <v>0</v>
      </c>
      <c r="K910" s="3165">
        <f t="shared" si="198"/>
        <v>0</v>
      </c>
      <c r="L910" s="3167">
        <f t="shared" si="199"/>
        <v>0</v>
      </c>
      <c r="M910" s="2642">
        <f t="shared" si="200"/>
        <v>0</v>
      </c>
    </row>
    <row r="911" spans="1:13" x14ac:dyDescent="0.25">
      <c r="A911" s="2611">
        <v>101</v>
      </c>
      <c r="B911" s="2613">
        <f t="shared" si="189"/>
        <v>0</v>
      </c>
      <c r="C911" s="408">
        <f t="shared" si="190"/>
        <v>0</v>
      </c>
      <c r="D911" s="2612">
        <f t="shared" si="191"/>
        <v>0</v>
      </c>
      <c r="E911" s="2583">
        <f t="shared" si="192"/>
        <v>0</v>
      </c>
      <c r="F911" s="3164">
        <f t="shared" si="193"/>
        <v>0</v>
      </c>
      <c r="G911" s="3165">
        <f t="shared" si="194"/>
        <v>0</v>
      </c>
      <c r="H911" s="3166">
        <f t="shared" si="195"/>
        <v>0</v>
      </c>
      <c r="I911" s="3157">
        <f t="shared" si="196"/>
        <v>0</v>
      </c>
      <c r="J911" s="3167">
        <f t="shared" si="197"/>
        <v>0</v>
      </c>
      <c r="K911" s="3165">
        <f t="shared" si="198"/>
        <v>0</v>
      </c>
      <c r="L911" s="3167">
        <f t="shared" si="199"/>
        <v>0</v>
      </c>
      <c r="M911" s="2642">
        <f t="shared" si="200"/>
        <v>0</v>
      </c>
    </row>
    <row r="912" spans="1:13" x14ac:dyDescent="0.25">
      <c r="A912" s="2611">
        <v>102</v>
      </c>
      <c r="B912" s="2613">
        <f t="shared" si="189"/>
        <v>0</v>
      </c>
      <c r="C912" s="408">
        <f t="shared" si="190"/>
        <v>0</v>
      </c>
      <c r="D912" s="2612">
        <f t="shared" si="191"/>
        <v>0</v>
      </c>
      <c r="E912" s="2583">
        <f t="shared" si="192"/>
        <v>0</v>
      </c>
      <c r="F912" s="3164">
        <f t="shared" si="193"/>
        <v>0</v>
      </c>
      <c r="G912" s="3165">
        <f t="shared" si="194"/>
        <v>0</v>
      </c>
      <c r="H912" s="3166">
        <f t="shared" si="195"/>
        <v>0</v>
      </c>
      <c r="I912" s="3157">
        <f t="shared" si="196"/>
        <v>0</v>
      </c>
      <c r="J912" s="3167">
        <f t="shared" si="197"/>
        <v>0</v>
      </c>
      <c r="K912" s="3165">
        <f t="shared" si="198"/>
        <v>0</v>
      </c>
      <c r="L912" s="3167">
        <f t="shared" si="199"/>
        <v>0</v>
      </c>
      <c r="M912" s="2642">
        <f t="shared" si="200"/>
        <v>0</v>
      </c>
    </row>
    <row r="913" spans="1:13" ht="15.75" thickBot="1" x14ac:dyDescent="0.3">
      <c r="A913" s="2614">
        <v>103</v>
      </c>
      <c r="B913" s="2617">
        <f t="shared" si="189"/>
        <v>0</v>
      </c>
      <c r="C913" s="2393">
        <f t="shared" si="190"/>
        <v>0</v>
      </c>
      <c r="D913" s="2616">
        <f t="shared" si="191"/>
        <v>0</v>
      </c>
      <c r="E913" s="2585">
        <f t="shared" si="192"/>
        <v>0</v>
      </c>
      <c r="F913" s="3168">
        <f t="shared" si="193"/>
        <v>0</v>
      </c>
      <c r="G913" s="3169">
        <f t="shared" si="194"/>
        <v>0</v>
      </c>
      <c r="H913" s="3170">
        <f t="shared" si="195"/>
        <v>0</v>
      </c>
      <c r="I913" s="3159">
        <f t="shared" si="196"/>
        <v>0</v>
      </c>
      <c r="J913" s="3171">
        <f t="shared" si="197"/>
        <v>0</v>
      </c>
      <c r="K913" s="3169">
        <f t="shared" si="198"/>
        <v>0</v>
      </c>
      <c r="L913" s="3171">
        <f t="shared" si="199"/>
        <v>0</v>
      </c>
      <c r="M913" s="2644">
        <f t="shared" si="200"/>
        <v>0</v>
      </c>
    </row>
    <row r="914" spans="1:13" ht="15.75" thickTop="1" x14ac:dyDescent="0.25">
      <c r="A914" s="684"/>
      <c r="B914" s="684"/>
      <c r="C914" s="550"/>
      <c r="D914" s="550"/>
      <c r="E914" s="550"/>
      <c r="F914" s="550"/>
      <c r="G914" s="550"/>
      <c r="H914" s="550"/>
      <c r="I914" s="33"/>
      <c r="J914" s="33"/>
      <c r="K914" s="33"/>
      <c r="L914" s="33"/>
      <c r="M914" s="33"/>
    </row>
    <row r="916" spans="1:13" ht="15.75" x14ac:dyDescent="0.25">
      <c r="A916" s="1382"/>
      <c r="B916" s="1383" t="s">
        <v>1120</v>
      </c>
      <c r="C916" s="1382"/>
      <c r="D916" s="1382"/>
      <c r="E916" s="1382"/>
      <c r="F916" s="1382"/>
      <c r="G916" s="1383" t="s">
        <v>1121</v>
      </c>
      <c r="H916" s="1382"/>
      <c r="I916" s="1382"/>
      <c r="J916" s="1382"/>
    </row>
    <row r="917" spans="1:13" ht="16.5" thickBot="1" x14ac:dyDescent="0.3">
      <c r="A917" s="1382"/>
      <c r="B917" s="1379"/>
      <c r="C917" s="1382"/>
      <c r="D917" s="1382"/>
      <c r="E917" s="1382"/>
      <c r="F917" s="1382"/>
      <c r="G917" s="1379"/>
      <c r="H917" s="1382"/>
      <c r="I917" s="1382"/>
      <c r="J917" s="1384"/>
    </row>
    <row r="918" spans="1:13" ht="19.5" thickTop="1" x14ac:dyDescent="0.3">
      <c r="A918" s="960" t="s">
        <v>486</v>
      </c>
      <c r="B918" s="946"/>
      <c r="C918" s="946"/>
      <c r="D918" s="947"/>
      <c r="E918" s="947"/>
      <c r="F918" s="946"/>
      <c r="G918" s="946"/>
      <c r="H918" s="949"/>
    </row>
    <row r="919" spans="1:13" ht="15.75" x14ac:dyDescent="0.25">
      <c r="A919" s="964" t="s">
        <v>736</v>
      </c>
      <c r="B919" s="944"/>
      <c r="C919" s="944"/>
      <c r="D919" s="945"/>
      <c r="E919" s="945"/>
      <c r="F919" s="944"/>
      <c r="G919" s="944"/>
      <c r="H919" s="950"/>
    </row>
    <row r="920" spans="1:13" x14ac:dyDescent="0.25">
      <c r="A920" s="1054"/>
      <c r="B920" s="943" t="s">
        <v>326</v>
      </c>
      <c r="C920" s="945"/>
      <c r="D920" s="945"/>
      <c r="E920" s="945"/>
      <c r="F920" s="944"/>
      <c r="G920" s="944"/>
      <c r="H920" s="950"/>
    </row>
    <row r="921" spans="1:13" x14ac:dyDescent="0.25">
      <c r="A921" s="1054"/>
      <c r="B921" s="1356" t="s">
        <v>870</v>
      </c>
      <c r="C921" s="1357"/>
      <c r="D921" s="1357"/>
      <c r="E921" s="945"/>
      <c r="F921" s="944"/>
      <c r="G921" s="944"/>
      <c r="H921" s="950"/>
    </row>
    <row r="922" spans="1:13" x14ac:dyDescent="0.25">
      <c r="A922" s="1054"/>
      <c r="B922" s="942" t="s">
        <v>1103</v>
      </c>
      <c r="C922" s="945"/>
      <c r="D922" s="945"/>
      <c r="E922" s="945"/>
      <c r="F922" s="944"/>
      <c r="G922" s="944"/>
      <c r="H922" s="950"/>
    </row>
    <row r="923" spans="1:13" x14ac:dyDescent="0.25">
      <c r="A923" s="1054" t="s">
        <v>154</v>
      </c>
      <c r="B923" s="942" t="s">
        <v>1104</v>
      </c>
      <c r="C923" s="945"/>
      <c r="D923" s="945"/>
      <c r="E923" s="945"/>
      <c r="F923" s="944"/>
      <c r="G923" s="944"/>
      <c r="H923" s="950"/>
    </row>
    <row r="924" spans="1:13" x14ac:dyDescent="0.25">
      <c r="A924" s="1054"/>
      <c r="B924" s="942" t="s">
        <v>1105</v>
      </c>
      <c r="C924" s="945"/>
      <c r="D924" s="945"/>
      <c r="E924" s="945"/>
      <c r="F924" s="944"/>
      <c r="G924" s="944"/>
      <c r="H924" s="950"/>
    </row>
    <row r="925" spans="1:13" x14ac:dyDescent="0.25">
      <c r="A925" s="1890"/>
      <c r="B925" s="942" t="s">
        <v>1106</v>
      </c>
      <c r="C925" s="1019"/>
      <c r="D925" s="945"/>
      <c r="E925" s="945"/>
      <c r="F925" s="944"/>
      <c r="G925" s="944"/>
      <c r="H925" s="950"/>
    </row>
    <row r="926" spans="1:13" x14ac:dyDescent="0.25">
      <c r="A926" s="1890"/>
      <c r="B926" s="942" t="s">
        <v>1449</v>
      </c>
      <c r="C926" s="1019"/>
      <c r="D926" s="945"/>
      <c r="E926" s="945"/>
      <c r="F926" s="944"/>
      <c r="G926" s="944"/>
      <c r="H926" s="950"/>
    </row>
    <row r="927" spans="1:13" x14ac:dyDescent="0.25">
      <c r="A927" s="1890"/>
      <c r="B927" s="942" t="s">
        <v>1462</v>
      </c>
      <c r="C927" s="1019"/>
      <c r="D927" s="945"/>
      <c r="E927" s="945"/>
      <c r="F927" s="944"/>
      <c r="G927" s="944"/>
      <c r="H927" s="950"/>
    </row>
    <row r="928" spans="1:13" x14ac:dyDescent="0.25">
      <c r="A928" s="1890"/>
      <c r="B928" s="942" t="s">
        <v>1450</v>
      </c>
      <c r="C928" s="1019"/>
      <c r="D928" s="945"/>
      <c r="E928" s="945"/>
      <c r="F928" s="944"/>
      <c r="G928" s="944"/>
      <c r="H928" s="950"/>
    </row>
    <row r="929" spans="1:8" x14ac:dyDescent="0.25">
      <c r="A929" s="1890"/>
      <c r="B929" s="942" t="s">
        <v>1107</v>
      </c>
      <c r="C929" s="1019"/>
      <c r="D929" s="945"/>
      <c r="E929" s="945"/>
      <c r="F929" s="944"/>
      <c r="G929" s="944"/>
      <c r="H929" s="950"/>
    </row>
    <row r="930" spans="1:8" x14ac:dyDescent="0.25">
      <c r="A930" s="1890"/>
      <c r="B930" s="943" t="s">
        <v>1108</v>
      </c>
      <c r="C930" s="1019"/>
      <c r="D930" s="945"/>
      <c r="E930" s="945"/>
      <c r="F930" s="944"/>
      <c r="G930" s="944"/>
      <c r="H930" s="950"/>
    </row>
    <row r="931" spans="1:8" x14ac:dyDescent="0.25">
      <c r="A931" s="1890"/>
      <c r="B931" s="943" t="s">
        <v>1100</v>
      </c>
      <c r="C931" s="1019"/>
      <c r="D931" s="945"/>
      <c r="E931" s="945"/>
      <c r="F931" s="944"/>
      <c r="G931" s="944"/>
      <c r="H931" s="950"/>
    </row>
    <row r="932" spans="1:8" x14ac:dyDescent="0.25">
      <c r="A932" s="1054"/>
      <c r="B932" s="943" t="s">
        <v>1099</v>
      </c>
      <c r="C932" s="945"/>
      <c r="D932" s="945"/>
      <c r="E932" s="945"/>
      <c r="F932" s="944"/>
      <c r="G932" s="944"/>
      <c r="H932" s="950"/>
    </row>
    <row r="933" spans="1:8" x14ac:dyDescent="0.25">
      <c r="A933" s="1054"/>
      <c r="B933" s="943" t="s">
        <v>1098</v>
      </c>
      <c r="C933" s="945"/>
      <c r="D933" s="945"/>
      <c r="E933" s="945"/>
      <c r="F933" s="944"/>
      <c r="G933" s="944"/>
      <c r="H933" s="950"/>
    </row>
    <row r="934" spans="1:8" x14ac:dyDescent="0.25">
      <c r="A934" s="1054"/>
      <c r="B934" s="942" t="s">
        <v>1097</v>
      </c>
      <c r="C934" s="945"/>
      <c r="D934" s="945"/>
      <c r="E934" s="945"/>
      <c r="F934" s="944"/>
      <c r="G934" s="944"/>
      <c r="H934" s="950"/>
    </row>
    <row r="935" spans="1:8" x14ac:dyDescent="0.25">
      <c r="A935" s="1054"/>
      <c r="B935" s="943" t="s">
        <v>1101</v>
      </c>
      <c r="C935" s="945"/>
      <c r="D935" s="945"/>
      <c r="E935" s="945"/>
      <c r="F935" s="944"/>
      <c r="G935" s="944"/>
      <c r="H935" s="950"/>
    </row>
    <row r="936" spans="1:8" x14ac:dyDescent="0.25">
      <c r="A936" s="1054"/>
      <c r="B936" s="943" t="s">
        <v>1102</v>
      </c>
      <c r="C936" s="945"/>
      <c r="D936" s="1019" t="s">
        <v>1762</v>
      </c>
      <c r="E936" s="945"/>
      <c r="F936" s="944"/>
      <c r="G936" s="944"/>
      <c r="H936" s="950"/>
    </row>
    <row r="937" spans="1:8" x14ac:dyDescent="0.25">
      <c r="A937" s="1083"/>
      <c r="B937" s="1081" t="s">
        <v>719</v>
      </c>
      <c r="C937" s="945"/>
      <c r="D937" s="1019" t="s">
        <v>1764</v>
      </c>
      <c r="E937" s="945"/>
      <c r="F937" s="944"/>
      <c r="G937" s="944"/>
      <c r="H937" s="950"/>
    </row>
    <row r="938" spans="1:8" x14ac:dyDescent="0.25">
      <c r="A938" s="1083"/>
      <c r="B938" s="1081" t="s">
        <v>720</v>
      </c>
      <c r="C938" s="945"/>
      <c r="D938" s="1019" t="s">
        <v>1289</v>
      </c>
      <c r="E938" s="945"/>
      <c r="F938" s="945"/>
      <c r="G938" s="945"/>
      <c r="H938" s="950"/>
    </row>
    <row r="939" spans="1:8" x14ac:dyDescent="0.25">
      <c r="A939" s="1083"/>
      <c r="B939" s="1081" t="s">
        <v>721</v>
      </c>
      <c r="C939" s="945"/>
      <c r="D939" s="945" t="s">
        <v>722</v>
      </c>
      <c r="E939" s="945"/>
      <c r="F939" s="945"/>
      <c r="G939" s="945"/>
      <c r="H939" s="950"/>
    </row>
    <row r="940" spans="1:8" x14ac:dyDescent="0.25">
      <c r="A940" s="1083"/>
      <c r="B940" s="1081" t="s">
        <v>725</v>
      </c>
      <c r="C940" s="945"/>
      <c r="D940" s="1019" t="s">
        <v>1763</v>
      </c>
      <c r="E940" s="945"/>
      <c r="F940" s="945"/>
      <c r="G940" s="945"/>
      <c r="H940" s="950"/>
    </row>
    <row r="941" spans="1:8" ht="15.75" thickBot="1" x14ac:dyDescent="0.3">
      <c r="A941" s="1088"/>
      <c r="B941" s="1089" t="s">
        <v>577</v>
      </c>
      <c r="C941" s="948"/>
      <c r="D941" s="1087" t="s">
        <v>578</v>
      </c>
      <c r="E941" s="948"/>
      <c r="F941" s="948"/>
      <c r="G941" s="948"/>
      <c r="H941" s="951"/>
    </row>
    <row r="942" spans="1:8" ht="15.75" thickTop="1" x14ac:dyDescent="0.25"/>
  </sheetData>
  <sheetProtection sheet="1" objects="1" scenarios="1"/>
  <phoneticPr fontId="0" type="noConversion"/>
  <dataValidations count="4">
    <dataValidation type="list" allowBlank="1" showInputMessage="1" showErrorMessage="1" sqref="B339:B340 H339:H340">
      <formula1>"C,W,U"</formula1>
    </dataValidation>
    <dataValidation type="list" allowBlank="1" showInputMessage="1" showErrorMessage="1" sqref="B235:B338 H235:H338">
      <formula1>"C,W,FC,FW,U"</formula1>
    </dataValidation>
    <dataValidation type="list" allowBlank="1" showInputMessage="1" showErrorMessage="1" sqref="C235:C338 I235:I338">
      <formula1>"IRA, inher-5Yr,inher-Life,non-deduct"</formula1>
    </dataValidation>
    <dataValidation type="list" allowBlank="1" showInputMessage="1" showErrorMessage="1" sqref="K186 K189 K180 K183">
      <formula1>"70,71"</formula1>
    </dataValidation>
  </dataValidations>
  <hyperlinks>
    <hyperlink ref="B916" location="'6. AnnuityData'!A1" display="Previous worksheet (6. AnnuityData)"/>
    <hyperlink ref="G916" location="'8. RothData'!A1" display="Next worksheet (8. RothData)"/>
    <hyperlink ref="B1" location="'6. AnnuityData'!A1" display="Previous worksheet (6. AnnuityData)"/>
    <hyperlink ref="G1" location="'8. RothData'!A1" display="Next worksheet (8. RothData)"/>
    <hyperlink ref="I17" location="'S. Setup'!A1" display="S. Setup"/>
    <hyperlink ref="I145" location="'S. Setup'!A1" display="S. Setup"/>
    <hyperlink ref="B923" location="'S. Setup'!A1" display="Setup"/>
    <hyperlink ref="B924" location="'1. AgeData'!A1" display="AgeData"/>
    <hyperlink ref="B925" location="'2. TaxData'!A1" display="TaxData"/>
    <hyperlink ref="B927" location="'4. PensionData'!A1" display="4. PensionData"/>
    <hyperlink ref="B928" location="'5. SocSecData'!A1" display="5. SocSecData"/>
    <hyperlink ref="B926" location="'3. WorkData'!A1" display="3. WorkData"/>
    <hyperlink ref="B929" location="'6. AnnuityData'!A1" display="AnnuityData"/>
    <hyperlink ref="B930" location="'7. IRAdata'!A1" display="IRAdata"/>
    <hyperlink ref="B931" location="'8. RothData'!A1" display="RothData"/>
    <hyperlink ref="B932" location="'9. SavingsData'!A1" display="SavingsData"/>
    <hyperlink ref="B922" location="'R. Results'!A1" display="Results"/>
    <hyperlink ref="B934" location="'11. CashData'!A1" display="CashData"/>
    <hyperlink ref="B933" location="'10. ExpensesData'!A1" display="ExpensesData"/>
    <hyperlink ref="B935" location="'12. RMDtable'!A1" display="RMDtable"/>
    <hyperlink ref="B920" location="Introduction!A1" display="Introduction"/>
    <hyperlink ref="B940" location="'Appendix D'!A1" display="Appendix D"/>
    <hyperlink ref="B937" location="'Appendix A'!A1" display="Appendix A"/>
    <hyperlink ref="B938" location="'Appendix B'!A1" display="Appendix B"/>
    <hyperlink ref="B939" location="'Appendix C'!A1" display="Appendix C"/>
    <hyperlink ref="B941" location="FAQ!A1" display="FAQ"/>
    <hyperlink ref="B921" location="Assumptions!A1" display="Assumptions"/>
    <hyperlink ref="B936" location="'RS. Resources'!A1" display="Resources"/>
    <hyperlink ref="F98" r:id="rId1"/>
    <hyperlink ref="G91" location="'1. AgeData'!A1" display="1. AgeData"/>
    <hyperlink ref="A647" r:id="rId2"/>
    <hyperlink ref="I203" location="'S. Setup'!A1" display="S. Setup"/>
    <hyperlink ref="C99" r:id="rId3"/>
    <hyperlink ref="B153" r:id="rId4"/>
  </hyperlinks>
  <printOptions headings="1" gridLines="1"/>
  <pageMargins left="0.7" right="0.7" top="0.75" bottom="0.75" header="0.3" footer="0.3"/>
  <pageSetup orientation="landscape" horizontalDpi="1200" verticalDpi="1200" r:id="rId5"/>
  <headerFooter>
    <oddHeader>&amp;L&amp;F&amp;C   &amp;D &amp;T&amp;R&amp;A &amp;P</oddHeader>
  </headerFooter>
  <drawing r:id="rId6"/>
  <legacyDrawing r:id="rId7"/>
  <oleObjects>
    <mc:AlternateContent xmlns:mc="http://schemas.openxmlformats.org/markup-compatibility/2006">
      <mc:Choice Requires="x14">
        <oleObject shapeId="31747" r:id="rId8">
          <objectPr defaultSize="0" autoPict="0" r:id="rId9">
            <anchor moveWithCells="1">
              <from>
                <xdr:col>4</xdr:col>
                <xdr:colOff>504825</xdr:colOff>
                <xdr:row>219</xdr:row>
                <xdr:rowOff>38100</xdr:rowOff>
              </from>
              <to>
                <xdr:col>5</xdr:col>
                <xdr:colOff>381000</xdr:colOff>
                <xdr:row>222</xdr:row>
                <xdr:rowOff>114300</xdr:rowOff>
              </to>
            </anchor>
          </objectPr>
        </oleObject>
      </mc:Choice>
      <mc:Fallback>
        <oleObject shapeId="31747" r:id="rId8"/>
      </mc:Fallback>
    </mc:AlternateContent>
    <mc:AlternateContent xmlns:mc="http://schemas.openxmlformats.org/markup-compatibility/2006">
      <mc:Choice Requires="x14">
        <oleObject shapeId="31750" r:id="rId10">
          <objectPr defaultSize="0" autoPict="0" r:id="rId11">
            <anchor moveWithCells="1">
              <from>
                <xdr:col>4</xdr:col>
                <xdr:colOff>428625</xdr:colOff>
                <xdr:row>225</xdr:row>
                <xdr:rowOff>57150</xdr:rowOff>
              </from>
              <to>
                <xdr:col>5</xdr:col>
                <xdr:colOff>581025</xdr:colOff>
                <xdr:row>228</xdr:row>
                <xdr:rowOff>114300</xdr:rowOff>
              </to>
            </anchor>
          </objectPr>
        </oleObject>
      </mc:Choice>
      <mc:Fallback>
        <oleObject shapeId="31750" r:id="rId10"/>
      </mc:Fallback>
    </mc:AlternateContent>
  </oleObjects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1:P874"/>
  <sheetViews>
    <sheetView zoomScaleNormal="100" workbookViewId="0">
      <selection activeCell="L8" sqref="L8"/>
    </sheetView>
  </sheetViews>
  <sheetFormatPr defaultRowHeight="15" x14ac:dyDescent="0.25"/>
  <cols>
    <col min="1" max="1" width="6.28515625" customWidth="1"/>
    <col min="2" max="2" width="5.7109375" customWidth="1"/>
    <col min="3" max="3" width="10.7109375" customWidth="1"/>
    <col min="4" max="4" width="9.42578125" customWidth="1"/>
    <col min="5" max="5" width="8.7109375" customWidth="1"/>
    <col min="6" max="6" width="9.42578125" customWidth="1"/>
    <col min="7" max="7" width="8.5703125" customWidth="1"/>
    <col min="8" max="8" width="10.28515625" customWidth="1"/>
    <col min="9" max="9" width="8.7109375" customWidth="1"/>
    <col min="10" max="10" width="8.28515625" customWidth="1"/>
    <col min="11" max="11" width="8.140625" customWidth="1"/>
    <col min="12" max="12" width="9.42578125" customWidth="1"/>
    <col min="13" max="13" width="12.5703125" customWidth="1"/>
    <col min="15" max="15" width="11" bestFit="1" customWidth="1"/>
  </cols>
  <sheetData>
    <row r="1" spans="1:14" s="1382" customFormat="1" ht="15.75" x14ac:dyDescent="0.25">
      <c r="B1" s="1383" t="s">
        <v>1118</v>
      </c>
      <c r="G1" s="1383" t="s">
        <v>1119</v>
      </c>
    </row>
    <row r="2" spans="1:14" s="1382" customFormat="1" ht="15.75" x14ac:dyDescent="0.25">
      <c r="A2" s="1408"/>
      <c r="B2" s="1409"/>
      <c r="C2" s="1408"/>
      <c r="D2" s="1408"/>
      <c r="E2" s="1408"/>
      <c r="F2" s="1408"/>
      <c r="G2" s="1409"/>
      <c r="H2" s="1408"/>
      <c r="I2" s="1408"/>
      <c r="J2" s="1408"/>
      <c r="K2" s="1408"/>
      <c r="L2" s="1408"/>
      <c r="M2" s="1408"/>
      <c r="N2"/>
    </row>
    <row r="4" spans="1:14" ht="18.75" x14ac:dyDescent="0.3">
      <c r="A4" s="144" t="s">
        <v>2044</v>
      </c>
      <c r="B4" s="6"/>
      <c r="C4" s="3"/>
      <c r="D4" s="25"/>
      <c r="E4" s="6"/>
      <c r="F4" s="6"/>
      <c r="G4" s="6"/>
      <c r="H4" s="6"/>
      <c r="I4" s="6"/>
      <c r="J4" s="6"/>
      <c r="K4" s="6"/>
      <c r="L4" s="6"/>
    </row>
    <row r="5" spans="1:14" ht="18.75" x14ac:dyDescent="0.3">
      <c r="A5" s="144"/>
      <c r="B5" s="6"/>
      <c r="C5" s="3"/>
      <c r="D5" s="25"/>
      <c r="E5" s="6"/>
      <c r="F5" s="6"/>
      <c r="G5" s="6"/>
      <c r="H5" s="6"/>
      <c r="I5" s="6"/>
      <c r="J5" s="6"/>
      <c r="K5" s="6"/>
      <c r="L5" s="6"/>
    </row>
    <row r="6" spans="1:14" ht="15.75" x14ac:dyDescent="0.25">
      <c r="A6" s="1582" t="s">
        <v>2989</v>
      </c>
      <c r="B6" s="6"/>
      <c r="C6" s="3"/>
      <c r="D6" s="25"/>
      <c r="E6" s="6"/>
      <c r="F6" s="6"/>
      <c r="G6" s="6"/>
      <c r="H6" s="6"/>
      <c r="I6" s="6"/>
      <c r="J6" s="6"/>
      <c r="K6" s="6"/>
      <c r="L6" s="6"/>
    </row>
    <row r="7" spans="1:14" x14ac:dyDescent="0.25">
      <c r="A7" s="1296" t="s">
        <v>3360</v>
      </c>
      <c r="B7" s="6"/>
      <c r="C7" s="3"/>
      <c r="D7" s="25"/>
      <c r="E7" s="6"/>
      <c r="F7" s="6"/>
      <c r="G7" s="6"/>
      <c r="H7" s="6"/>
      <c r="I7" s="6"/>
      <c r="J7" s="6"/>
      <c r="K7" s="6"/>
      <c r="L7" s="6"/>
    </row>
    <row r="8" spans="1:14" ht="16.5" thickBot="1" x14ac:dyDescent="0.3">
      <c r="A8" s="1582"/>
      <c r="B8" s="6"/>
      <c r="C8" s="3"/>
      <c r="D8" s="25"/>
      <c r="E8" s="6"/>
      <c r="F8" s="6"/>
      <c r="G8" s="6"/>
      <c r="H8" s="6"/>
      <c r="I8" s="6"/>
      <c r="J8" s="6"/>
      <c r="K8" s="6"/>
      <c r="L8" s="6"/>
    </row>
    <row r="9" spans="1:14" ht="19.5" thickBot="1" x14ac:dyDescent="0.35">
      <c r="A9" s="94"/>
      <c r="B9" s="627" t="str">
        <f>IF('S. Setup'!$K$40="used","You MUST edit this worksheet","You DO NOT HAVE TO edit this worksheet")</f>
        <v>You MUST edit this worksheet</v>
      </c>
      <c r="C9" s="628"/>
      <c r="D9" s="628"/>
      <c r="E9" s="628"/>
      <c r="F9" s="628"/>
      <c r="G9" s="629"/>
      <c r="H9" s="628"/>
      <c r="I9" s="2637" t="str">
        <f>'S. Setup'!$K$40</f>
        <v>used</v>
      </c>
      <c r="J9" s="713"/>
    </row>
    <row r="10" spans="1:14" ht="19.5" thickBot="1" x14ac:dyDescent="0.35">
      <c r="A10" s="94"/>
      <c r="B10" s="2362" t="s">
        <v>2671</v>
      </c>
      <c r="C10" s="2363"/>
      <c r="D10" s="2364"/>
      <c r="E10" s="2364"/>
      <c r="F10" s="2364"/>
      <c r="G10" s="2365"/>
      <c r="H10" s="2365"/>
      <c r="I10" s="2366" t="str">
        <f>'S. Setup'!$J$80</f>
        <v>yes</v>
      </c>
      <c r="J10" s="713"/>
    </row>
    <row r="11" spans="1:14" ht="19.5" thickBot="1" x14ac:dyDescent="0.35">
      <c r="A11" s="94"/>
      <c r="B11" s="2362" t="s">
        <v>2672</v>
      </c>
      <c r="C11" s="2363"/>
      <c r="D11" s="2364"/>
      <c r="E11" s="2364"/>
      <c r="F11" s="2364"/>
      <c r="G11" s="2365"/>
      <c r="H11" s="2365"/>
      <c r="I11" s="2366" t="str">
        <f>'S. Setup'!$J$59</f>
        <v>yes</v>
      </c>
      <c r="J11" s="713"/>
    </row>
    <row r="12" spans="1:14" ht="18.75" x14ac:dyDescent="0.3">
      <c r="A12" s="94"/>
      <c r="B12" s="1095" t="s">
        <v>60</v>
      </c>
      <c r="C12" s="1095"/>
      <c r="D12" s="1095"/>
      <c r="E12" s="1095"/>
      <c r="F12" s="1095"/>
      <c r="G12" s="1095"/>
      <c r="H12" s="1095"/>
      <c r="I12" s="1473" t="s">
        <v>1104</v>
      </c>
      <c r="J12" s="713"/>
      <c r="K12" s="33"/>
      <c r="L12" s="714"/>
    </row>
    <row r="13" spans="1:14" ht="18.75" x14ac:dyDescent="0.3">
      <c r="A13" s="94"/>
      <c r="B13" s="1095"/>
      <c r="C13" s="1095"/>
      <c r="D13" s="1095"/>
      <c r="E13" s="1095"/>
      <c r="F13" s="1095"/>
      <c r="G13" s="1095"/>
      <c r="H13" s="1095"/>
      <c r="I13" s="1096"/>
      <c r="J13" s="713"/>
      <c r="K13" s="33"/>
      <c r="L13" s="714"/>
    </row>
    <row r="14" spans="1:14" ht="18.75" x14ac:dyDescent="0.3">
      <c r="A14" s="671" t="s">
        <v>253</v>
      </c>
      <c r="B14" s="760"/>
      <c r="C14" s="750"/>
      <c r="D14" s="750"/>
      <c r="E14" s="750"/>
      <c r="F14" s="750"/>
      <c r="G14" s="750"/>
      <c r="H14" s="750"/>
      <c r="I14" s="750"/>
      <c r="J14" s="2470"/>
      <c r="K14" s="750"/>
      <c r="L14" s="749"/>
      <c r="M14" s="676"/>
      <c r="N14" s="6"/>
    </row>
    <row r="15" spans="1:14" ht="18.75" x14ac:dyDescent="0.3">
      <c r="A15" s="676" t="s">
        <v>2044</v>
      </c>
      <c r="B15" s="748"/>
      <c r="C15" s="122"/>
      <c r="D15" s="33"/>
      <c r="E15" s="33"/>
      <c r="F15" s="33"/>
      <c r="G15" s="33"/>
      <c r="H15" s="33"/>
      <c r="I15" s="33"/>
      <c r="J15" s="713"/>
      <c r="K15" s="33"/>
      <c r="L15" s="714"/>
      <c r="M15" s="676"/>
      <c r="N15" s="6"/>
    </row>
    <row r="16" spans="1:14" ht="18.75" x14ac:dyDescent="0.3">
      <c r="A16" s="676" t="s">
        <v>2045</v>
      </c>
      <c r="B16" s="748"/>
      <c r="C16" s="122"/>
      <c r="D16" s="33"/>
      <c r="E16" s="33"/>
      <c r="F16" s="33"/>
      <c r="G16" s="33"/>
      <c r="H16" s="33"/>
      <c r="I16" s="33"/>
      <c r="J16" s="713"/>
      <c r="K16" s="33"/>
      <c r="L16" s="714"/>
      <c r="M16" s="676"/>
    </row>
    <row r="17" spans="1:14" ht="18.75" x14ac:dyDescent="0.3">
      <c r="A17" s="676" t="s">
        <v>3361</v>
      </c>
      <c r="B17" s="748"/>
      <c r="C17" s="122"/>
      <c r="D17" s="33"/>
      <c r="E17" s="33"/>
      <c r="F17" s="33"/>
      <c r="G17" s="33"/>
      <c r="H17" s="33"/>
      <c r="I17" s="33"/>
      <c r="J17" s="713"/>
      <c r="K17" s="33"/>
      <c r="L17" s="714"/>
      <c r="M17" s="676"/>
      <c r="N17" s="6"/>
    </row>
    <row r="18" spans="1:14" ht="18.75" x14ac:dyDescent="0.3">
      <c r="A18" s="676" t="s">
        <v>2047</v>
      </c>
      <c r="B18" s="748"/>
      <c r="C18" s="122"/>
      <c r="D18" s="33"/>
      <c r="E18" s="33"/>
      <c r="F18" s="33"/>
      <c r="G18" s="33"/>
      <c r="H18" s="33"/>
      <c r="I18" s="33"/>
      <c r="J18" s="713"/>
      <c r="K18" s="33"/>
      <c r="L18" s="714"/>
      <c r="M18" s="676"/>
      <c r="N18" s="6"/>
    </row>
    <row r="19" spans="1:14" ht="18.75" x14ac:dyDescent="0.3">
      <c r="A19" s="676" t="s">
        <v>2046</v>
      </c>
      <c r="B19" s="748"/>
      <c r="C19" s="122"/>
      <c r="D19" s="33"/>
      <c r="E19" s="33"/>
      <c r="F19" s="33"/>
      <c r="G19" s="33"/>
      <c r="H19" s="33"/>
      <c r="I19" s="33"/>
      <c r="J19" s="713"/>
      <c r="K19" s="33"/>
      <c r="L19" s="714"/>
      <c r="M19" s="676"/>
      <c r="N19" s="6"/>
    </row>
    <row r="20" spans="1:14" ht="18.75" x14ac:dyDescent="0.3">
      <c r="A20" s="676" t="s">
        <v>2063</v>
      </c>
      <c r="B20" s="748"/>
      <c r="C20" s="122"/>
      <c r="D20" s="33"/>
      <c r="E20" s="33"/>
      <c r="F20" s="33"/>
      <c r="G20" s="33"/>
      <c r="H20" s="33"/>
      <c r="I20" s="33"/>
      <c r="J20" s="713"/>
      <c r="K20" s="698"/>
      <c r="L20" s="714"/>
      <c r="M20" s="676"/>
      <c r="N20" s="6"/>
    </row>
    <row r="21" spans="1:14" ht="18.75" x14ac:dyDescent="0.3">
      <c r="A21" s="676" t="s">
        <v>2048</v>
      </c>
      <c r="B21" s="748"/>
      <c r="C21" s="122"/>
      <c r="D21" s="33"/>
      <c r="E21" s="33"/>
      <c r="F21" s="33"/>
      <c r="G21" s="33"/>
      <c r="H21" s="33"/>
      <c r="I21" s="33"/>
      <c r="J21" s="713"/>
      <c r="K21" s="33"/>
      <c r="L21" s="714"/>
      <c r="M21" s="676"/>
      <c r="N21" s="6"/>
    </row>
    <row r="22" spans="1:14" ht="18.75" x14ac:dyDescent="0.3">
      <c r="A22" s="676" t="s">
        <v>2049</v>
      </c>
      <c r="B22" s="748"/>
      <c r="C22" s="122"/>
      <c r="D22" s="33"/>
      <c r="E22" s="33"/>
      <c r="F22" s="33"/>
      <c r="G22" s="33"/>
      <c r="H22" s="33"/>
      <c r="I22" s="33"/>
      <c r="J22" s="713"/>
      <c r="K22" s="33"/>
      <c r="L22" s="714"/>
      <c r="M22" s="676"/>
      <c r="N22" s="6"/>
    </row>
    <row r="23" spans="1:14" ht="18.75" x14ac:dyDescent="0.3">
      <c r="A23" s="676" t="s">
        <v>2050</v>
      </c>
      <c r="B23" s="748"/>
      <c r="C23" s="122"/>
      <c r="D23" s="33"/>
      <c r="E23" s="33"/>
      <c r="F23" s="33"/>
      <c r="G23" s="33"/>
      <c r="H23" s="33"/>
      <c r="I23" s="33"/>
      <c r="J23" s="713"/>
      <c r="K23" s="33"/>
      <c r="L23" s="714"/>
      <c r="M23" s="676"/>
      <c r="N23" s="6"/>
    </row>
    <row r="24" spans="1:14" ht="18" customHeight="1" x14ac:dyDescent="0.3">
      <c r="A24" s="676" t="s">
        <v>2051</v>
      </c>
      <c r="B24" s="748"/>
      <c r="C24" s="122"/>
      <c r="D24" s="33"/>
      <c r="E24" s="33"/>
      <c r="F24" s="33"/>
      <c r="G24" s="33"/>
      <c r="H24" s="33"/>
      <c r="I24" s="33"/>
      <c r="J24" s="713"/>
      <c r="K24" s="33"/>
      <c r="L24" s="6"/>
      <c r="M24" s="676"/>
      <c r="N24" s="17"/>
    </row>
    <row r="25" spans="1:14" ht="18.75" x14ac:dyDescent="0.3">
      <c r="A25" s="676" t="s">
        <v>2053</v>
      </c>
      <c r="B25" s="748"/>
      <c r="C25" s="122"/>
      <c r="D25" s="33"/>
      <c r="E25" s="33"/>
      <c r="F25" s="33"/>
      <c r="G25" s="33"/>
      <c r="H25" s="33"/>
      <c r="I25" s="33"/>
      <c r="J25" s="713"/>
      <c r="K25" s="33"/>
      <c r="L25" s="714"/>
      <c r="M25" s="676"/>
      <c r="N25" s="6"/>
    </row>
    <row r="26" spans="1:14" ht="18.75" x14ac:dyDescent="0.3">
      <c r="A26" s="676" t="s">
        <v>2052</v>
      </c>
      <c r="B26" s="748"/>
      <c r="C26" s="122"/>
      <c r="D26" s="33"/>
      <c r="E26" s="33"/>
      <c r="F26" s="33"/>
      <c r="G26" s="33"/>
      <c r="H26" s="33"/>
      <c r="I26" s="33"/>
      <c r="J26" s="713"/>
      <c r="K26" s="33"/>
      <c r="L26" s="6"/>
      <c r="M26" s="676"/>
      <c r="N26" s="3"/>
    </row>
    <row r="27" spans="1:14" ht="18.75" x14ac:dyDescent="0.3">
      <c r="A27" s="676" t="s">
        <v>2054</v>
      </c>
      <c r="B27" s="748"/>
      <c r="C27" s="122"/>
      <c r="D27" s="33"/>
      <c r="E27" s="33"/>
      <c r="F27" s="33"/>
      <c r="G27" s="33"/>
      <c r="H27" s="33"/>
      <c r="I27" s="33"/>
      <c r="J27" s="713"/>
      <c r="K27" s="33"/>
      <c r="L27" s="6"/>
      <c r="M27" s="676"/>
      <c r="N27" s="3"/>
    </row>
    <row r="28" spans="1:14" ht="18.75" x14ac:dyDescent="0.3">
      <c r="A28" s="6" t="s">
        <v>2061</v>
      </c>
      <c r="B28" s="748"/>
      <c r="C28" s="122"/>
      <c r="D28" s="33"/>
      <c r="E28" s="33"/>
      <c r="F28" s="33"/>
      <c r="G28" s="33"/>
      <c r="H28" s="33"/>
      <c r="I28" s="33"/>
      <c r="J28" s="713"/>
      <c r="K28" s="33"/>
      <c r="L28" s="6"/>
      <c r="M28" s="676"/>
      <c r="N28" s="3"/>
    </row>
    <row r="29" spans="1:14" ht="18.75" x14ac:dyDescent="0.3">
      <c r="A29" s="676" t="s">
        <v>2057</v>
      </c>
      <c r="B29" s="748"/>
      <c r="C29" s="122"/>
      <c r="D29" s="33"/>
      <c r="E29" s="33"/>
      <c r="F29" s="33"/>
      <c r="G29" s="33"/>
      <c r="H29" s="33"/>
      <c r="I29" s="33"/>
      <c r="J29" s="713"/>
      <c r="K29" s="33"/>
      <c r="L29" s="6"/>
      <c r="M29" s="676"/>
      <c r="N29" s="3"/>
    </row>
    <row r="30" spans="1:14" ht="18.75" x14ac:dyDescent="0.3">
      <c r="A30" s="676" t="s">
        <v>2058</v>
      </c>
      <c r="B30" s="748"/>
      <c r="C30" s="122"/>
      <c r="D30" s="33"/>
      <c r="E30" s="33"/>
      <c r="F30" s="33"/>
      <c r="G30" s="33"/>
      <c r="H30" s="33"/>
      <c r="I30" s="33"/>
      <c r="J30" s="713"/>
      <c r="K30" s="33"/>
      <c r="L30" s="6"/>
      <c r="M30" s="676"/>
      <c r="N30" s="3"/>
    </row>
    <row r="31" spans="1:14" ht="18.75" x14ac:dyDescent="0.3">
      <c r="A31" s="676" t="s">
        <v>2059</v>
      </c>
      <c r="B31" s="748"/>
      <c r="C31" s="122"/>
      <c r="D31" s="33"/>
      <c r="E31" s="33"/>
      <c r="F31" s="33"/>
      <c r="G31" s="33"/>
      <c r="H31" s="33"/>
      <c r="I31" s="33"/>
      <c r="J31" s="713"/>
      <c r="K31" s="33"/>
      <c r="L31" s="6"/>
      <c r="M31" s="676"/>
      <c r="N31" s="3"/>
    </row>
    <row r="32" spans="1:14" ht="18.75" x14ac:dyDescent="0.3">
      <c r="A32" s="1046" t="s">
        <v>2060</v>
      </c>
      <c r="B32" s="752"/>
      <c r="C32" s="1428"/>
      <c r="D32" s="753"/>
      <c r="E32" s="753"/>
      <c r="F32" s="753"/>
      <c r="G32" s="753"/>
      <c r="H32" s="753"/>
      <c r="I32" s="753"/>
      <c r="J32" s="2471"/>
      <c r="K32" s="753"/>
      <c r="L32" s="680"/>
      <c r="M32" s="676"/>
      <c r="N32" s="3"/>
    </row>
    <row r="33" spans="1:16" ht="18.75" x14ac:dyDescent="0.3">
      <c r="A33" s="6"/>
      <c r="B33" s="748"/>
      <c r="C33" s="122"/>
      <c r="D33" s="33"/>
      <c r="E33" s="33"/>
      <c r="F33" s="33"/>
      <c r="G33" s="33"/>
      <c r="H33" s="33"/>
      <c r="I33" s="33"/>
      <c r="J33" s="713"/>
      <c r="K33" s="33"/>
      <c r="L33" s="6"/>
      <c r="M33" s="6"/>
      <c r="N33" s="3"/>
    </row>
    <row r="34" spans="1:16" x14ac:dyDescent="0.25">
      <c r="A34" s="1296" t="s">
        <v>3371</v>
      </c>
      <c r="B34" s="6"/>
      <c r="C34" s="3"/>
      <c r="D34" s="25"/>
      <c r="E34" s="6"/>
      <c r="F34" s="6"/>
      <c r="G34" s="6"/>
      <c r="H34" s="6"/>
      <c r="I34" s="6"/>
      <c r="J34" s="6"/>
      <c r="K34" s="6"/>
      <c r="L34" s="6"/>
    </row>
    <row r="35" spans="1:16" x14ac:dyDescent="0.25">
      <c r="A35" s="1296" t="s">
        <v>3372</v>
      </c>
      <c r="B35" s="6"/>
      <c r="C35" s="3"/>
      <c r="D35" s="25"/>
      <c r="E35" s="6"/>
      <c r="F35" s="6"/>
      <c r="G35" s="6"/>
      <c r="H35" s="6"/>
      <c r="I35" s="6"/>
      <c r="J35" s="6"/>
      <c r="K35" s="6"/>
      <c r="L35" s="6"/>
    </row>
    <row r="36" spans="1:16" x14ac:dyDescent="0.25">
      <c r="A36" s="1503" t="s">
        <v>3373</v>
      </c>
      <c r="F36" s="6"/>
      <c r="G36" s="6"/>
      <c r="H36" s="6"/>
      <c r="I36" s="6"/>
      <c r="J36" s="6"/>
      <c r="K36" s="6"/>
      <c r="L36" s="6"/>
    </row>
    <row r="37" spans="1:16" x14ac:dyDescent="0.25">
      <c r="A37" s="6" t="s">
        <v>3374</v>
      </c>
      <c r="B37" s="6"/>
      <c r="C37" s="3"/>
      <c r="D37" s="25"/>
      <c r="E37" s="6"/>
      <c r="F37" s="6"/>
      <c r="G37" s="6"/>
      <c r="H37" s="6"/>
      <c r="I37" s="6"/>
      <c r="J37" s="6"/>
      <c r="K37" s="6"/>
      <c r="L37" s="6"/>
    </row>
    <row r="38" spans="1:16" x14ac:dyDescent="0.25">
      <c r="A38" s="1351" t="s">
        <v>3375</v>
      </c>
      <c r="B38" s="6"/>
      <c r="C38" s="3"/>
      <c r="D38" s="25"/>
      <c r="E38" s="6"/>
      <c r="F38" s="6"/>
      <c r="G38" s="6"/>
      <c r="H38" s="6"/>
      <c r="I38" s="6"/>
      <c r="J38" s="6"/>
      <c r="K38" s="6"/>
      <c r="L38" s="6"/>
    </row>
    <row r="39" spans="1:16" x14ac:dyDescent="0.25">
      <c r="A39" s="1351" t="s">
        <v>3376</v>
      </c>
      <c r="B39" s="6"/>
      <c r="C39" s="3"/>
      <c r="D39" s="25"/>
      <c r="E39" s="6"/>
      <c r="F39" s="6"/>
      <c r="G39" s="6"/>
      <c r="H39" s="6"/>
      <c r="I39" s="6"/>
      <c r="J39" s="6"/>
      <c r="K39" s="6"/>
      <c r="L39" s="6"/>
    </row>
    <row r="40" spans="1:16" x14ac:dyDescent="0.25">
      <c r="A40" s="6" t="s">
        <v>3377</v>
      </c>
      <c r="B40" s="6"/>
      <c r="C40" s="3"/>
      <c r="D40" s="25"/>
      <c r="E40" s="6"/>
      <c r="F40" s="6"/>
      <c r="G40" s="6"/>
      <c r="H40" s="6"/>
      <c r="I40" s="6"/>
      <c r="J40" s="6"/>
      <c r="K40" s="6"/>
      <c r="L40" s="6"/>
    </row>
    <row r="41" spans="1:16" x14ac:dyDescent="0.25">
      <c r="A41" s="1351" t="s">
        <v>3413</v>
      </c>
      <c r="B41" s="6"/>
      <c r="C41" s="3"/>
      <c r="D41" s="25"/>
      <c r="E41" s="6"/>
      <c r="F41" s="6"/>
      <c r="G41" s="6"/>
      <c r="H41" s="6"/>
      <c r="I41" s="6"/>
      <c r="J41" s="6"/>
      <c r="K41" s="6"/>
      <c r="L41" s="6"/>
    </row>
    <row r="42" spans="1:16" x14ac:dyDescent="0.25">
      <c r="A42" s="1351" t="s">
        <v>3378</v>
      </c>
      <c r="B42" s="6"/>
      <c r="C42" s="3"/>
      <c r="D42" s="25"/>
      <c r="E42" s="6"/>
      <c r="F42" s="6"/>
      <c r="G42" s="6"/>
      <c r="H42" s="6"/>
      <c r="I42" s="6"/>
      <c r="J42" s="6"/>
      <c r="K42" s="6"/>
      <c r="L42" s="6"/>
    </row>
    <row r="43" spans="1:16" x14ac:dyDescent="0.25">
      <c r="A43" s="1296" t="s">
        <v>3379</v>
      </c>
      <c r="B43" s="6"/>
      <c r="C43" s="3"/>
      <c r="D43" s="25"/>
      <c r="E43" s="6"/>
      <c r="F43" s="6"/>
      <c r="G43" s="6"/>
      <c r="H43" s="6"/>
      <c r="I43" s="6"/>
      <c r="J43" s="6"/>
      <c r="K43" s="6"/>
      <c r="L43" s="6"/>
    </row>
    <row r="44" spans="1:16" x14ac:dyDescent="0.25">
      <c r="A44" s="1296" t="s">
        <v>3380</v>
      </c>
      <c r="B44" s="6"/>
      <c r="C44" s="3"/>
      <c r="D44" s="25"/>
      <c r="E44" s="6"/>
      <c r="F44" s="6"/>
      <c r="G44" s="6"/>
      <c r="H44" s="6"/>
      <c r="I44" s="6"/>
      <c r="J44" s="6"/>
      <c r="K44" s="6"/>
      <c r="L44" s="6"/>
    </row>
    <row r="45" spans="1:16" x14ac:dyDescent="0.25">
      <c r="A45" s="1351" t="s">
        <v>3381</v>
      </c>
      <c r="B45" s="6"/>
      <c r="C45" s="3"/>
      <c r="D45" s="25"/>
      <c r="E45" s="6"/>
      <c r="F45" s="6"/>
      <c r="G45" s="6"/>
      <c r="H45" s="6"/>
      <c r="I45" s="6"/>
      <c r="J45" s="6"/>
      <c r="K45" s="6"/>
      <c r="L45" s="6"/>
    </row>
    <row r="46" spans="1:16" x14ac:dyDescent="0.25">
      <c r="A46" s="64"/>
      <c r="B46" s="6"/>
      <c r="C46" s="3"/>
      <c r="D46" s="25"/>
      <c r="E46" s="6"/>
      <c r="F46" s="6"/>
      <c r="G46" s="6"/>
      <c r="H46" s="6"/>
      <c r="I46" s="6"/>
      <c r="J46" s="6"/>
      <c r="K46" s="6"/>
      <c r="L46" s="6"/>
    </row>
    <row r="47" spans="1:16" x14ac:dyDescent="0.25">
      <c r="A47" s="1351" t="s">
        <v>3383</v>
      </c>
      <c r="B47" s="33"/>
      <c r="C47" s="1442"/>
      <c r="D47" s="1093"/>
      <c r="E47" s="33"/>
      <c r="F47" s="33"/>
      <c r="G47" s="33"/>
      <c r="H47" s="33"/>
      <c r="I47" s="33"/>
      <c r="J47" s="33"/>
      <c r="K47" s="33"/>
      <c r="L47" s="33"/>
      <c r="M47" s="215"/>
      <c r="P47" s="122"/>
    </row>
    <row r="48" spans="1:16" x14ac:dyDescent="0.25">
      <c r="A48" s="1351" t="s">
        <v>3384</v>
      </c>
      <c r="B48" s="33"/>
      <c r="C48" s="215"/>
      <c r="D48" s="1093"/>
      <c r="E48" s="33"/>
      <c r="F48" s="33"/>
      <c r="G48" s="33"/>
      <c r="H48" s="33"/>
      <c r="I48" s="33"/>
      <c r="J48" s="33"/>
      <c r="K48" s="33"/>
      <c r="L48" s="33"/>
      <c r="M48" s="215"/>
      <c r="P48" s="122"/>
    </row>
    <row r="49" spans="1:16" x14ac:dyDescent="0.25">
      <c r="A49" s="1351" t="s">
        <v>3331</v>
      </c>
      <c r="B49" s="33"/>
      <c r="C49" s="1442"/>
      <c r="D49" s="1093"/>
      <c r="E49" s="33"/>
      <c r="F49" s="33"/>
      <c r="G49" s="33"/>
      <c r="H49" s="33"/>
      <c r="I49" s="33"/>
      <c r="J49" s="33"/>
      <c r="K49" s="33"/>
      <c r="L49" s="33"/>
      <c r="M49" s="215"/>
      <c r="P49" s="122"/>
    </row>
    <row r="50" spans="1:16" x14ac:dyDescent="0.25">
      <c r="A50" s="1351" t="s">
        <v>3387</v>
      </c>
      <c r="B50" s="33"/>
      <c r="C50" s="1442"/>
      <c r="D50" s="1093"/>
      <c r="E50" s="33"/>
      <c r="F50" s="33"/>
      <c r="G50" s="33"/>
      <c r="H50" s="33"/>
      <c r="I50" s="33"/>
      <c r="J50" s="33"/>
      <c r="K50" s="33"/>
      <c r="L50" s="33"/>
      <c r="M50" s="215"/>
      <c r="P50" s="122"/>
    </row>
    <row r="51" spans="1:16" x14ac:dyDescent="0.25">
      <c r="A51" s="1351" t="s">
        <v>2224</v>
      </c>
      <c r="B51" s="33"/>
      <c r="C51" s="1442"/>
      <c r="D51" s="1093"/>
      <c r="E51" s="33"/>
      <c r="F51" s="33"/>
      <c r="G51" s="33"/>
      <c r="H51" s="33"/>
      <c r="I51" s="33"/>
      <c r="J51" s="33"/>
      <c r="K51" s="33"/>
      <c r="L51" s="33"/>
      <c r="M51" s="215"/>
      <c r="P51" s="122"/>
    </row>
    <row r="52" spans="1:16" x14ac:dyDescent="0.25">
      <c r="A52" s="1351" t="s">
        <v>3333</v>
      </c>
      <c r="B52" s="33"/>
      <c r="C52" s="1442"/>
      <c r="D52" s="1093"/>
      <c r="E52" s="33"/>
      <c r="F52" s="33"/>
      <c r="G52" s="33"/>
      <c r="H52" s="33"/>
      <c r="I52" s="33"/>
      <c r="J52" s="33"/>
      <c r="K52" s="33"/>
      <c r="L52" s="33"/>
      <c r="M52" s="215"/>
      <c r="P52" s="122"/>
    </row>
    <row r="53" spans="1:16" x14ac:dyDescent="0.25">
      <c r="A53" s="1351" t="s">
        <v>3386</v>
      </c>
      <c r="B53" s="33"/>
      <c r="C53" s="1442"/>
      <c r="D53" s="1093"/>
      <c r="E53" s="33"/>
      <c r="F53" s="33"/>
      <c r="G53" s="33"/>
      <c r="H53" s="33"/>
      <c r="I53" s="33"/>
      <c r="J53" s="33"/>
      <c r="K53" s="33"/>
      <c r="L53" s="33"/>
      <c r="M53" s="215"/>
      <c r="P53" s="122"/>
    </row>
    <row r="54" spans="1:16" x14ac:dyDescent="0.25">
      <c r="A54" s="1351" t="s">
        <v>3335</v>
      </c>
      <c r="B54" s="33"/>
      <c r="C54" s="1442"/>
      <c r="D54" s="1093"/>
      <c r="E54" s="33"/>
      <c r="F54" s="33"/>
      <c r="G54" s="33"/>
      <c r="H54" s="33"/>
      <c r="I54" s="33"/>
      <c r="J54" s="33"/>
      <c r="K54" s="33"/>
      <c r="L54" s="33"/>
      <c r="M54" s="215"/>
      <c r="P54" s="122"/>
    </row>
    <row r="55" spans="1:16" x14ac:dyDescent="0.25">
      <c r="A55" s="1351" t="s">
        <v>3336</v>
      </c>
      <c r="B55" s="33"/>
      <c r="C55" s="1442"/>
      <c r="D55" s="1093"/>
      <c r="E55" s="33"/>
      <c r="F55" s="33"/>
      <c r="G55" s="33"/>
      <c r="H55" s="33"/>
      <c r="I55" s="33"/>
      <c r="J55" s="33"/>
      <c r="K55" s="33"/>
      <c r="L55" s="33"/>
      <c r="M55" s="215"/>
      <c r="P55" s="122"/>
    </row>
    <row r="56" spans="1:16" x14ac:dyDescent="0.25">
      <c r="A56" s="1351" t="s">
        <v>3385</v>
      </c>
      <c r="B56" s="33"/>
      <c r="C56" s="1442"/>
      <c r="D56" s="1093"/>
      <c r="E56" s="33"/>
      <c r="F56" s="33"/>
      <c r="G56" s="33"/>
      <c r="H56" s="33"/>
      <c r="I56" s="33"/>
      <c r="J56" s="33"/>
      <c r="K56" s="33"/>
      <c r="L56" s="33"/>
      <c r="M56" s="215"/>
      <c r="P56" s="122"/>
    </row>
    <row r="57" spans="1:16" x14ac:dyDescent="0.25">
      <c r="A57" s="1351" t="s">
        <v>3338</v>
      </c>
      <c r="B57" s="33"/>
      <c r="C57" s="93"/>
      <c r="D57" s="1093"/>
      <c r="E57" s="33"/>
      <c r="F57" s="33"/>
      <c r="G57" s="33"/>
      <c r="H57" s="33"/>
      <c r="I57" s="33"/>
      <c r="J57" s="33"/>
      <c r="K57" s="33"/>
      <c r="L57" s="33"/>
      <c r="M57" s="215"/>
      <c r="P57" s="122"/>
    </row>
    <row r="58" spans="1:16" x14ac:dyDescent="0.25">
      <c r="A58" s="1351" t="s">
        <v>3388</v>
      </c>
      <c r="B58" s="33"/>
      <c r="C58" s="93"/>
      <c r="D58" s="1093"/>
      <c r="E58" s="33"/>
      <c r="F58" s="33"/>
      <c r="G58" s="33"/>
      <c r="H58" s="33"/>
      <c r="I58" s="33"/>
      <c r="J58" s="33"/>
      <c r="K58" s="33"/>
      <c r="L58" s="33"/>
      <c r="M58" s="215"/>
      <c r="P58" s="122"/>
    </row>
    <row r="59" spans="1:16" x14ac:dyDescent="0.25">
      <c r="A59" s="1351" t="s">
        <v>3389</v>
      </c>
      <c r="B59" s="33"/>
      <c r="C59" s="93"/>
      <c r="D59" s="1093"/>
      <c r="E59" s="33"/>
      <c r="F59" s="33"/>
      <c r="G59" s="33"/>
      <c r="H59" s="33"/>
      <c r="I59" s="33"/>
      <c r="J59" s="33"/>
      <c r="K59" s="33"/>
      <c r="L59" s="33"/>
      <c r="M59" s="215"/>
      <c r="P59" s="122"/>
    </row>
    <row r="60" spans="1:16" x14ac:dyDescent="0.25">
      <c r="A60" s="1351"/>
      <c r="B60" s="33"/>
      <c r="C60" s="1442"/>
      <c r="D60" s="1093"/>
      <c r="E60" s="33"/>
      <c r="F60" s="33"/>
      <c r="G60" s="2472"/>
      <c r="H60" s="33"/>
      <c r="I60" s="33"/>
      <c r="J60" s="33"/>
      <c r="K60" s="33"/>
      <c r="L60" s="33"/>
      <c r="M60" s="215"/>
    </row>
    <row r="61" spans="1:16" ht="15.75" thickBot="1" x14ac:dyDescent="0.3">
      <c r="A61" s="165"/>
      <c r="B61" s="66"/>
      <c r="C61" s="66"/>
      <c r="D61" s="66"/>
      <c r="E61" s="66"/>
      <c r="F61" s="6"/>
      <c r="G61" s="6"/>
      <c r="H61" s="6"/>
      <c r="I61" s="6"/>
      <c r="J61" s="6"/>
      <c r="K61" s="6"/>
      <c r="L61" s="6"/>
      <c r="M61" s="6"/>
      <c r="N61" s="6"/>
    </row>
    <row r="62" spans="1:16" ht="19.5" thickTop="1" x14ac:dyDescent="0.3">
      <c r="A62" s="2238" t="s">
        <v>2043</v>
      </c>
      <c r="B62" s="1635"/>
      <c r="C62" s="2405"/>
      <c r="D62" s="2406"/>
      <c r="E62" s="1635"/>
      <c r="F62" s="1635"/>
      <c r="G62" s="1635"/>
      <c r="H62" s="1635"/>
      <c r="I62" s="1635"/>
      <c r="J62" s="1635"/>
      <c r="K62" s="1635"/>
      <c r="L62" s="1635"/>
      <c r="M62" s="1636"/>
      <c r="N62" s="6"/>
    </row>
    <row r="63" spans="1:16" x14ac:dyDescent="0.25">
      <c r="A63" s="2241"/>
      <c r="B63" s="122"/>
      <c r="C63" s="1441"/>
      <c r="D63" s="122"/>
      <c r="E63" s="122"/>
      <c r="F63" s="33"/>
      <c r="G63" s="33"/>
      <c r="H63" s="33"/>
      <c r="I63" s="33"/>
      <c r="J63" s="33"/>
      <c r="K63" s="33"/>
      <c r="L63" s="2249"/>
      <c r="M63" s="1454"/>
      <c r="N63" s="6"/>
    </row>
    <row r="64" spans="1:16" ht="15.75" x14ac:dyDescent="0.25">
      <c r="A64" s="2052" t="s">
        <v>3390</v>
      </c>
      <c r="B64" s="33"/>
      <c r="C64" s="1442"/>
      <c r="D64" s="1093"/>
      <c r="E64" s="33"/>
      <c r="F64" s="22"/>
      <c r="G64" s="1486"/>
      <c r="H64" s="1486"/>
      <c r="I64" s="1486"/>
      <c r="J64" s="33"/>
      <c r="K64" s="1454"/>
      <c r="L64" s="2249"/>
      <c r="M64" s="1454"/>
      <c r="N64" s="6"/>
    </row>
    <row r="65" spans="1:14" ht="15.75" x14ac:dyDescent="0.25">
      <c r="A65" s="2052" t="s">
        <v>3391</v>
      </c>
      <c r="B65" s="33"/>
      <c r="C65" s="1442"/>
      <c r="D65" s="1093"/>
      <c r="E65" s="33"/>
      <c r="F65" s="22"/>
      <c r="G65" s="1486"/>
      <c r="H65" s="1486"/>
      <c r="I65" s="1486"/>
      <c r="J65" s="33"/>
      <c r="K65" s="33"/>
      <c r="L65" s="2249"/>
      <c r="M65" s="1454"/>
      <c r="N65" s="6"/>
    </row>
    <row r="66" spans="1:14" ht="15.75" x14ac:dyDescent="0.25">
      <c r="A66" s="2052" t="s">
        <v>1973</v>
      </c>
      <c r="B66" s="33"/>
      <c r="C66" s="1442"/>
      <c r="D66" s="1093"/>
      <c r="E66" s="33"/>
      <c r="F66" s="22"/>
      <c r="G66" s="1486"/>
      <c r="H66" s="1486"/>
      <c r="I66" s="1486"/>
      <c r="J66" s="33"/>
      <c r="K66" s="33"/>
      <c r="L66" s="2249"/>
      <c r="M66" s="1454"/>
      <c r="N66" s="6"/>
    </row>
    <row r="67" spans="1:14" ht="15.75" x14ac:dyDescent="0.25">
      <c r="A67" s="2052" t="s">
        <v>1974</v>
      </c>
      <c r="B67" s="33"/>
      <c r="C67" s="1442"/>
      <c r="D67" s="1093"/>
      <c r="E67" s="33"/>
      <c r="F67" s="22"/>
      <c r="G67" s="1486"/>
      <c r="H67" s="1486"/>
      <c r="I67" s="1486"/>
      <c r="J67" s="33"/>
      <c r="K67" s="33"/>
      <c r="L67" s="2249"/>
      <c r="M67" s="1454"/>
      <c r="N67" s="6"/>
    </row>
    <row r="68" spans="1:14" ht="15.75" x14ac:dyDescent="0.25">
      <c r="A68" s="2052" t="s">
        <v>1975</v>
      </c>
      <c r="B68" s="33"/>
      <c r="C68" s="1442"/>
      <c r="D68" s="1093"/>
      <c r="E68" s="33"/>
      <c r="F68" s="22"/>
      <c r="G68" s="1486"/>
      <c r="H68" s="1486"/>
      <c r="I68" s="1486"/>
      <c r="J68" s="33"/>
      <c r="K68" s="33"/>
      <c r="L68" s="2249"/>
      <c r="M68" s="1454"/>
      <c r="N68" s="6"/>
    </row>
    <row r="69" spans="1:14" ht="15.75" x14ac:dyDescent="0.25">
      <c r="A69" s="2052" t="s">
        <v>2887</v>
      </c>
      <c r="B69" s="33"/>
      <c r="C69" s="1442"/>
      <c r="D69" s="1093"/>
      <c r="E69" s="33"/>
      <c r="F69" s="22"/>
      <c r="G69" s="1486"/>
      <c r="H69" s="1486"/>
      <c r="I69" s="1486"/>
      <c r="J69" s="33"/>
      <c r="K69" s="33"/>
      <c r="L69" s="2249"/>
      <c r="M69" s="1454"/>
      <c r="N69" s="6"/>
    </row>
    <row r="70" spans="1:14" ht="15.75" x14ac:dyDescent="0.25">
      <c r="A70" s="2052" t="s">
        <v>2102</v>
      </c>
      <c r="B70" s="33"/>
      <c r="C70" s="1442"/>
      <c r="D70" s="1093"/>
      <c r="E70" s="33"/>
      <c r="F70" s="22"/>
      <c r="G70" s="1486"/>
      <c r="H70" s="1486"/>
      <c r="I70" s="1486"/>
      <c r="J70" s="33"/>
      <c r="K70" s="33"/>
      <c r="L70" s="2249"/>
      <c r="M70" s="1454"/>
      <c r="N70" s="6"/>
    </row>
    <row r="71" spans="1:14" ht="15.75" x14ac:dyDescent="0.25">
      <c r="A71" s="2052"/>
      <c r="B71" s="33"/>
      <c r="C71" s="1442"/>
      <c r="D71" s="1093"/>
      <c r="E71" s="33"/>
      <c r="F71" s="22"/>
      <c r="G71" s="1486"/>
      <c r="H71" s="1486"/>
      <c r="I71" s="1486"/>
      <c r="J71" s="33"/>
      <c r="K71" s="33"/>
      <c r="L71" s="2249"/>
      <c r="M71" s="1454"/>
      <c r="N71" s="6"/>
    </row>
    <row r="72" spans="1:14" ht="15.75" x14ac:dyDescent="0.25">
      <c r="A72" s="2052" t="s">
        <v>3392</v>
      </c>
      <c r="B72" s="33"/>
      <c r="C72" s="1442"/>
      <c r="D72" s="1093"/>
      <c r="E72" s="33"/>
      <c r="F72" s="22"/>
      <c r="G72" s="1486"/>
      <c r="H72" s="1486"/>
      <c r="I72" s="1486"/>
      <c r="J72" s="33"/>
      <c r="K72" s="33"/>
      <c r="L72" s="2249"/>
      <c r="M72" s="1454"/>
      <c r="N72" s="6"/>
    </row>
    <row r="73" spans="1:14" ht="15.75" x14ac:dyDescent="0.25">
      <c r="A73" s="2052" t="s">
        <v>3414</v>
      </c>
      <c r="B73" s="33"/>
      <c r="C73" s="1442"/>
      <c r="D73" s="1093"/>
      <c r="E73" s="33"/>
      <c r="F73" s="22"/>
      <c r="G73" s="1486"/>
      <c r="H73" s="1486"/>
      <c r="I73" s="1486"/>
      <c r="J73" s="33"/>
      <c r="K73" s="33"/>
      <c r="L73" s="2249"/>
      <c r="M73" s="1454"/>
      <c r="N73" s="6"/>
    </row>
    <row r="74" spans="1:14" ht="15.75" x14ac:dyDescent="0.25">
      <c r="A74" s="2052" t="s">
        <v>3393</v>
      </c>
      <c r="B74" s="33"/>
      <c r="C74" s="1442"/>
      <c r="D74" s="1093"/>
      <c r="E74" s="33"/>
      <c r="F74" s="22"/>
      <c r="G74" s="1486"/>
      <c r="H74" s="1486"/>
      <c r="I74" s="1486"/>
      <c r="J74" s="33"/>
      <c r="K74" s="33"/>
      <c r="L74" s="2249"/>
      <c r="M74" s="1454"/>
      <c r="N74" s="6"/>
    </row>
    <row r="75" spans="1:14" ht="15.75" x14ac:dyDescent="0.25">
      <c r="A75" s="2052" t="s">
        <v>1842</v>
      </c>
      <c r="B75" s="33"/>
      <c r="C75" s="1442"/>
      <c r="D75" s="1093"/>
      <c r="E75" s="33"/>
      <c r="F75" s="22"/>
      <c r="G75" s="1486"/>
      <c r="H75" s="1486"/>
      <c r="I75" s="1486"/>
      <c r="J75" s="33"/>
      <c r="K75" s="33"/>
      <c r="L75" s="2249"/>
      <c r="M75" s="1454"/>
      <c r="N75" s="6"/>
    </row>
    <row r="76" spans="1:14" ht="15.75" x14ac:dyDescent="0.25">
      <c r="A76" s="2052"/>
      <c r="B76" s="33"/>
      <c r="C76" s="1442"/>
      <c r="D76" s="1093"/>
      <c r="E76" s="33"/>
      <c r="F76" s="22"/>
      <c r="G76" s="1486"/>
      <c r="H76" s="1486"/>
      <c r="I76" s="1486"/>
      <c r="J76" s="33"/>
      <c r="K76" s="33"/>
      <c r="L76" s="2249"/>
      <c r="M76" s="1454"/>
      <c r="N76" s="6"/>
    </row>
    <row r="77" spans="1:14" ht="15.75" x14ac:dyDescent="0.25">
      <c r="A77" s="1353" t="s">
        <v>869</v>
      </c>
      <c r="B77" s="33"/>
      <c r="C77" s="33"/>
      <c r="D77" s="33"/>
      <c r="E77" s="33"/>
      <c r="F77" s="33"/>
      <c r="G77" s="1388" t="s">
        <v>1105</v>
      </c>
      <c r="H77" s="1486"/>
      <c r="I77" s="1486"/>
      <c r="J77" s="33"/>
      <c r="K77" s="33"/>
      <c r="L77" s="2249"/>
      <c r="M77" s="1454"/>
      <c r="N77" s="6"/>
    </row>
    <row r="78" spans="1:14" x14ac:dyDescent="0.25">
      <c r="A78" s="1753" t="s">
        <v>1793</v>
      </c>
      <c r="B78" s="2228"/>
      <c r="C78" s="2228"/>
      <c r="D78" s="2228"/>
      <c r="E78" s="33"/>
      <c r="F78" s="2229">
        <f>'1. AgeData'!$E$50</f>
        <v>4.4999999999999998E-2</v>
      </c>
      <c r="G78" s="1351" t="s">
        <v>1362</v>
      </c>
      <c r="H78" s="1486"/>
      <c r="I78" s="1486"/>
      <c r="J78" s="33"/>
      <c r="K78" s="33"/>
      <c r="L78" s="2249"/>
      <c r="M78" s="1454"/>
      <c r="N78" s="6"/>
    </row>
    <row r="79" spans="1:14" x14ac:dyDescent="0.25">
      <c r="A79" s="1753" t="s">
        <v>1794</v>
      </c>
      <c r="B79" s="2228"/>
      <c r="C79" s="2228"/>
      <c r="D79" s="2228"/>
      <c r="E79" s="33"/>
      <c r="F79" s="2229">
        <f>'1. AgeData'!$E$51</f>
        <v>1.7500000000000002E-2</v>
      </c>
      <c r="G79" s="1351" t="s">
        <v>1361</v>
      </c>
      <c r="H79" s="1486"/>
      <c r="I79" s="1486"/>
      <c r="J79" s="33"/>
      <c r="K79" s="33"/>
      <c r="L79" s="2249"/>
      <c r="M79" s="1454"/>
      <c r="N79" s="6"/>
    </row>
    <row r="80" spans="1:14" x14ac:dyDescent="0.25">
      <c r="A80" s="1753"/>
      <c r="B80" s="2228"/>
      <c r="C80" s="2228"/>
      <c r="D80" s="2228"/>
      <c r="E80" s="33"/>
      <c r="F80" s="2229"/>
      <c r="G80" s="1351"/>
      <c r="H80" s="1486"/>
      <c r="I80" s="1486"/>
      <c r="J80" s="33"/>
      <c r="K80" s="33"/>
      <c r="L80" s="2249"/>
      <c r="M80" s="1454"/>
      <c r="N80" s="6"/>
    </row>
    <row r="81" spans="1:14" x14ac:dyDescent="0.25">
      <c r="A81" s="3148" t="s">
        <v>2417</v>
      </c>
      <c r="B81" s="1295"/>
      <c r="C81" s="1026"/>
      <c r="D81" s="3150">
        <f>'1. AgeData'!$D$30</f>
        <v>60</v>
      </c>
      <c r="E81" s="3150">
        <f>'1. AgeData'!$I$30</f>
        <v>85</v>
      </c>
      <c r="F81" s="1155" t="s">
        <v>2414</v>
      </c>
      <c r="G81" s="3149"/>
      <c r="H81" s="1026"/>
      <c r="I81" s="3150">
        <f>'1. AgeData'!$D$31</f>
        <v>55</v>
      </c>
      <c r="J81" s="3150">
        <f>'1. AgeData'!$I$31</f>
        <v>87</v>
      </c>
      <c r="K81" s="1155" t="s">
        <v>2416</v>
      </c>
      <c r="L81" s="2249"/>
      <c r="M81" s="1454"/>
      <c r="N81" s="6"/>
    </row>
    <row r="82" spans="1:14" ht="15.75" x14ac:dyDescent="0.25">
      <c r="A82" s="2052"/>
      <c r="B82" s="33"/>
      <c r="C82" s="1442"/>
      <c r="D82" s="1093"/>
      <c r="E82" s="33"/>
      <c r="F82" s="22"/>
      <c r="G82" s="1486"/>
      <c r="H82" s="1486"/>
      <c r="I82" s="1486"/>
      <c r="J82" s="33"/>
      <c r="K82" s="33"/>
      <c r="L82" s="2249"/>
      <c r="M82" s="1454"/>
      <c r="N82" s="6"/>
    </row>
    <row r="83" spans="1:14" ht="15.75" x14ac:dyDescent="0.25">
      <c r="A83" s="2230" t="s">
        <v>3370</v>
      </c>
      <c r="B83" s="33"/>
      <c r="C83" s="1442"/>
      <c r="D83" s="1093"/>
      <c r="E83" s="33"/>
      <c r="F83" s="22"/>
      <c r="G83" s="1486"/>
      <c r="H83" s="1486"/>
      <c r="I83" s="1486"/>
      <c r="J83" s="33"/>
      <c r="K83" s="33"/>
      <c r="L83" s="2249"/>
      <c r="M83" s="1454"/>
      <c r="N83" s="6"/>
    </row>
    <row r="84" spans="1:14" x14ac:dyDescent="0.25">
      <c r="A84" s="2231" t="s">
        <v>1792</v>
      </c>
      <c r="B84" s="418"/>
      <c r="C84" s="2232"/>
      <c r="D84" s="2233"/>
      <c r="E84" s="2234"/>
      <c r="F84" s="2235" t="s">
        <v>2422</v>
      </c>
      <c r="G84" s="2236"/>
      <c r="H84" s="2237"/>
      <c r="I84" s="2237"/>
      <c r="J84" s="2234"/>
      <c r="K84" s="2234"/>
      <c r="L84" s="2249"/>
      <c r="M84" s="1454"/>
      <c r="N84" s="6"/>
    </row>
    <row r="85" spans="1:14" x14ac:dyDescent="0.25">
      <c r="A85" s="1416" t="s">
        <v>1882</v>
      </c>
      <c r="B85" s="418"/>
      <c r="C85" s="2232"/>
      <c r="D85" s="2233"/>
      <c r="E85" s="2234"/>
      <c r="F85" s="2235"/>
      <c r="G85" s="2236"/>
      <c r="H85" s="2237"/>
      <c r="I85" s="2237"/>
      <c r="J85" s="2234"/>
      <c r="K85" s="2234"/>
      <c r="L85" s="2249"/>
      <c r="M85" s="1454"/>
      <c r="N85" s="6"/>
    </row>
    <row r="86" spans="1:14" x14ac:dyDescent="0.25">
      <c r="A86" s="2329" t="s">
        <v>1876</v>
      </c>
      <c r="B86" s="418"/>
      <c r="C86" s="2232"/>
      <c r="D86" s="2233"/>
      <c r="E86" s="2234"/>
      <c r="F86" s="2235"/>
      <c r="G86" s="2236"/>
      <c r="H86" s="2237"/>
      <c r="I86" s="2237"/>
      <c r="J86" s="2234"/>
      <c r="K86" s="2234"/>
      <c r="L86" s="2249"/>
      <c r="M86" s="1454"/>
      <c r="N86" s="6"/>
    </row>
    <row r="87" spans="1:14" x14ac:dyDescent="0.25">
      <c r="A87" s="2231"/>
      <c r="B87" s="418"/>
      <c r="C87" s="2232"/>
      <c r="D87" s="2233"/>
      <c r="E87" s="2234"/>
      <c r="F87" s="2235"/>
      <c r="G87" s="2236"/>
      <c r="H87" s="2237"/>
      <c r="I87" s="2237"/>
      <c r="J87" s="2234"/>
      <c r="K87" s="2234"/>
      <c r="L87" s="2249"/>
      <c r="M87" s="1454"/>
      <c r="N87" s="6"/>
    </row>
    <row r="88" spans="1:14" x14ac:dyDescent="0.25">
      <c r="A88" s="1327" t="s">
        <v>3394</v>
      </c>
      <c r="B88" s="418"/>
      <c r="C88" s="2232"/>
      <c r="D88" s="2233"/>
      <c r="E88" s="2234"/>
      <c r="F88" s="2403"/>
      <c r="G88" s="2236"/>
      <c r="H88" s="2237"/>
      <c r="I88" s="2237"/>
      <c r="J88" s="2234"/>
      <c r="K88" s="2234"/>
      <c r="L88" s="2404"/>
      <c r="M88" s="1454"/>
      <c r="N88" s="6"/>
    </row>
    <row r="89" spans="1:14" ht="15.75" thickBot="1" x14ac:dyDescent="0.3">
      <c r="A89" s="2253"/>
      <c r="B89" s="418"/>
      <c r="C89" s="2232"/>
      <c r="D89" s="2233"/>
      <c r="E89" s="2234"/>
      <c r="F89" s="2235"/>
      <c r="G89" s="2236"/>
      <c r="H89" s="2237"/>
      <c r="I89" s="2237"/>
      <c r="J89" s="2234"/>
      <c r="K89" s="2234"/>
      <c r="L89" s="2249"/>
      <c r="M89" s="1454"/>
      <c r="N89" s="6"/>
    </row>
    <row r="90" spans="1:14" ht="20.25" thickTop="1" thickBot="1" x14ac:dyDescent="0.35">
      <c r="A90" s="2306" t="s">
        <v>3362</v>
      </c>
      <c r="B90" s="2307"/>
      <c r="C90" s="2308"/>
      <c r="D90" s="2309"/>
      <c r="E90" s="2310"/>
      <c r="F90" s="2311"/>
      <c r="G90" s="2312"/>
      <c r="H90" s="2313"/>
      <c r="I90" s="2313"/>
      <c r="J90" s="2310"/>
      <c r="K90" s="2310"/>
      <c r="L90" s="2463"/>
      <c r="M90" s="1454"/>
      <c r="N90" s="6"/>
    </row>
    <row r="91" spans="1:14" ht="53.25" thickTop="1" thickBot="1" x14ac:dyDescent="0.3">
      <c r="A91" s="1336"/>
      <c r="B91" s="2255" t="s">
        <v>1843</v>
      </c>
      <c r="C91" s="2256"/>
      <c r="D91" s="2257" t="s">
        <v>1945</v>
      </c>
      <c r="E91" s="2078" t="s">
        <v>2823</v>
      </c>
      <c r="F91" s="2246" t="s">
        <v>1947</v>
      </c>
      <c r="G91" s="2245" t="s">
        <v>1948</v>
      </c>
      <c r="H91" s="2247" t="s">
        <v>1949</v>
      </c>
      <c r="I91" s="2450" t="s">
        <v>1950</v>
      </c>
      <c r="K91" s="2395"/>
      <c r="L91" s="2464"/>
      <c r="M91" s="1454"/>
      <c r="N91" s="6"/>
    </row>
    <row r="92" spans="1:14" ht="15.75" thickTop="1" x14ac:dyDescent="0.25">
      <c r="A92" s="1336"/>
      <c r="B92" s="2223" t="s">
        <v>353</v>
      </c>
      <c r="C92" s="2224"/>
      <c r="D92" s="1904">
        <v>16000</v>
      </c>
      <c r="E92" s="1697">
        <v>3.5999999999999997E-2</v>
      </c>
      <c r="F92" s="2250">
        <f>($F$78*G92+$F$79*H92)</f>
        <v>3.1800000000000002E-2</v>
      </c>
      <c r="G92" s="2225">
        <v>0.52</v>
      </c>
      <c r="H92" s="2226">
        <f>100%-G92</f>
        <v>0.48</v>
      </c>
      <c r="I92" s="2451" t="s">
        <v>1790</v>
      </c>
      <c r="K92" s="2295"/>
      <c r="L92" s="2378"/>
      <c r="M92" s="1454"/>
      <c r="N92" s="6"/>
    </row>
    <row r="93" spans="1:14" x14ac:dyDescent="0.25">
      <c r="A93" s="1336"/>
      <c r="B93" s="2358" t="s">
        <v>1880</v>
      </c>
      <c r="C93" s="2359"/>
      <c r="D93" s="3087">
        <v>4000</v>
      </c>
      <c r="E93" s="2291">
        <v>3.7699999999999997E-2</v>
      </c>
      <c r="F93" s="2360">
        <f>($F$78*G93+$F$79*H93)</f>
        <v>3.3724999999999998E-2</v>
      </c>
      <c r="G93" s="2292">
        <v>0.59</v>
      </c>
      <c r="H93" s="2361">
        <f>100%-G93</f>
        <v>0.41000000000000003</v>
      </c>
      <c r="I93" s="2452" t="s">
        <v>1901</v>
      </c>
      <c r="K93" s="2396"/>
      <c r="L93" s="2378"/>
      <c r="M93" s="1454"/>
      <c r="N93" s="6"/>
    </row>
    <row r="94" spans="1:14" x14ac:dyDescent="0.25">
      <c r="A94" s="1336"/>
      <c r="B94" s="2358" t="s">
        <v>1881</v>
      </c>
      <c r="C94" s="2359"/>
      <c r="D94" s="3087">
        <v>2000</v>
      </c>
      <c r="E94" s="2291">
        <v>3.1699999999999999E-2</v>
      </c>
      <c r="F94" s="2360">
        <f>($F$78*G94+$F$79*H94)</f>
        <v>2.8225E-2</v>
      </c>
      <c r="G94" s="2292">
        <v>0.39</v>
      </c>
      <c r="H94" s="2361">
        <f>100%-G94</f>
        <v>0.61</v>
      </c>
      <c r="I94" s="2452" t="s">
        <v>1902</v>
      </c>
      <c r="K94" s="2396"/>
      <c r="L94" s="2378"/>
      <c r="M94" s="1454"/>
      <c r="N94" s="6"/>
    </row>
    <row r="95" spans="1:14" ht="15.75" thickBot="1" x14ac:dyDescent="0.3">
      <c r="A95" s="1336"/>
      <c r="B95" s="2273" t="s">
        <v>1795</v>
      </c>
      <c r="C95" s="2274"/>
      <c r="D95" s="2297">
        <v>17000</v>
      </c>
      <c r="E95" s="2277">
        <v>3.5499999999999997E-2</v>
      </c>
      <c r="F95" s="2275">
        <f>($F$78*G95+$F$79*H95)</f>
        <v>3.125E-2</v>
      </c>
      <c r="G95" s="2278">
        <v>0.5</v>
      </c>
      <c r="H95" s="2276">
        <f>100%-G95</f>
        <v>0.5</v>
      </c>
      <c r="I95" s="2453" t="s">
        <v>1796</v>
      </c>
      <c r="K95" s="2296"/>
      <c r="L95" s="2378"/>
      <c r="M95" s="1454"/>
      <c r="N95" s="6"/>
    </row>
    <row r="96" spans="1:14" ht="16.5" thickTop="1" thickBot="1" x14ac:dyDescent="0.3">
      <c r="A96" s="1336"/>
      <c r="B96" s="2241"/>
      <c r="C96" s="122"/>
      <c r="D96" s="1238"/>
      <c r="E96" s="1238"/>
      <c r="F96" s="1238"/>
      <c r="G96" s="1238"/>
      <c r="H96" s="2322"/>
      <c r="I96" s="2454"/>
      <c r="K96" s="983"/>
      <c r="L96" s="1454"/>
      <c r="M96" s="1454"/>
      <c r="N96" s="6"/>
    </row>
    <row r="97" spans="1:14" s="442" customFormat="1" ht="53.25" thickTop="1" thickBot="1" x14ac:dyDescent="0.3">
      <c r="A97" s="2465"/>
      <c r="B97" s="2255" t="s">
        <v>1844</v>
      </c>
      <c r="C97" s="2256"/>
      <c r="D97" s="2257" t="s">
        <v>1946</v>
      </c>
      <c r="E97" s="2078" t="s">
        <v>2824</v>
      </c>
      <c r="F97" s="2246" t="s">
        <v>2208</v>
      </c>
      <c r="G97" s="2245" t="s">
        <v>2211</v>
      </c>
      <c r="H97" s="2247" t="s">
        <v>2212</v>
      </c>
      <c r="I97" s="2450" t="s">
        <v>2205</v>
      </c>
      <c r="K97" s="2395"/>
      <c r="L97" s="2464"/>
      <c r="M97" s="2251"/>
      <c r="N97" s="1152"/>
    </row>
    <row r="98" spans="1:14" ht="15.75" thickTop="1" x14ac:dyDescent="0.25">
      <c r="A98" s="1336"/>
      <c r="B98" s="2223" t="s">
        <v>353</v>
      </c>
      <c r="C98" s="2224"/>
      <c r="D98" s="2324">
        <v>11000</v>
      </c>
      <c r="E98" s="2298">
        <v>3.6200000000000003E-2</v>
      </c>
      <c r="F98" s="2250">
        <f>($F$78*G98+$F$79*H98)</f>
        <v>3.2074999999999999E-2</v>
      </c>
      <c r="G98" s="2225">
        <v>0.53</v>
      </c>
      <c r="H98" s="2226">
        <f>100%-G98</f>
        <v>0.47</v>
      </c>
      <c r="I98" s="2451" t="s">
        <v>1790</v>
      </c>
      <c r="K98" s="2296"/>
      <c r="L98" s="2378"/>
      <c r="M98" s="1454"/>
      <c r="N98" s="6"/>
    </row>
    <row r="99" spans="1:14" x14ac:dyDescent="0.25">
      <c r="A99" s="1336"/>
      <c r="B99" s="2358" t="s">
        <v>1880</v>
      </c>
      <c r="C99" s="2359"/>
      <c r="D99" s="3087">
        <v>3000</v>
      </c>
      <c r="E99" s="2291">
        <v>3.95E-2</v>
      </c>
      <c r="F99" s="2360">
        <f>($F$78*G99+$F$79*H99)</f>
        <v>3.5374999999999997E-2</v>
      </c>
      <c r="G99" s="2292">
        <v>0.65</v>
      </c>
      <c r="H99" s="2361">
        <f>100%-G99</f>
        <v>0.35</v>
      </c>
      <c r="I99" s="2452" t="s">
        <v>1901</v>
      </c>
      <c r="K99" s="2396"/>
      <c r="L99" s="2378"/>
      <c r="M99" s="1454"/>
      <c r="N99" s="6"/>
    </row>
    <row r="100" spans="1:14" x14ac:dyDescent="0.25">
      <c r="A100" s="1336"/>
      <c r="B100" s="2358" t="s">
        <v>1881</v>
      </c>
      <c r="C100" s="2359"/>
      <c r="D100" s="3087">
        <v>4500</v>
      </c>
      <c r="E100" s="2291">
        <v>3.3500000000000002E-2</v>
      </c>
      <c r="F100" s="2360">
        <f>($F$78*G100+$F$79*H100)</f>
        <v>2.9875000000000002E-2</v>
      </c>
      <c r="G100" s="2292">
        <v>0.45</v>
      </c>
      <c r="H100" s="2361">
        <f>100%-G100</f>
        <v>0.55000000000000004</v>
      </c>
      <c r="I100" s="2452" t="s">
        <v>1902</v>
      </c>
      <c r="K100" s="2396"/>
      <c r="L100" s="2378"/>
      <c r="M100" s="1454"/>
      <c r="N100" s="6"/>
    </row>
    <row r="101" spans="1:14" ht="15.75" thickBot="1" x14ac:dyDescent="0.3">
      <c r="A101" s="2073"/>
      <c r="B101" s="2273" t="s">
        <v>1795</v>
      </c>
      <c r="C101" s="2274"/>
      <c r="D101" s="2297">
        <v>15000</v>
      </c>
      <c r="E101" s="2277">
        <v>2.1000000000000001E-2</v>
      </c>
      <c r="F101" s="2275">
        <f>($F$78*G101+$F$79*H101)</f>
        <v>1.7500000000000002E-2</v>
      </c>
      <c r="G101" s="2278">
        <v>0</v>
      </c>
      <c r="H101" s="2276">
        <f>100%-G101</f>
        <v>1</v>
      </c>
      <c r="I101" s="2455" t="s">
        <v>1796</v>
      </c>
      <c r="J101" s="2073"/>
      <c r="K101" s="2466"/>
      <c r="L101" s="2467"/>
      <c r="M101" s="1454"/>
      <c r="N101" s="6"/>
    </row>
    <row r="102" spans="1:14" ht="15.75" thickTop="1" x14ac:dyDescent="0.25">
      <c r="A102" s="2289"/>
      <c r="B102" s="2290"/>
      <c r="C102" s="1903"/>
      <c r="D102" s="2291"/>
      <c r="E102" s="2227"/>
      <c r="F102" s="2227"/>
      <c r="G102" s="2292"/>
      <c r="H102" s="2293"/>
      <c r="I102" s="2294"/>
      <c r="J102" s="2295"/>
      <c r="K102" s="2296"/>
      <c r="L102" s="2252"/>
      <c r="M102" s="1454"/>
      <c r="N102" s="6"/>
    </row>
    <row r="103" spans="1:14" ht="15.75" thickBot="1" x14ac:dyDescent="0.3">
      <c r="A103" s="2289"/>
      <c r="B103" s="6"/>
      <c r="C103" s="6"/>
      <c r="D103" s="6"/>
      <c r="E103" s="6"/>
      <c r="F103" s="6"/>
      <c r="G103" s="6"/>
      <c r="H103" s="6"/>
      <c r="I103" s="6"/>
      <c r="J103" s="2295"/>
      <c r="K103" s="2296"/>
      <c r="L103" s="2252"/>
      <c r="M103" s="1454"/>
      <c r="N103" s="6"/>
    </row>
    <row r="104" spans="1:14" ht="20.25" thickTop="1" thickBot="1" x14ac:dyDescent="0.35">
      <c r="A104" s="2306" t="s">
        <v>2342</v>
      </c>
      <c r="B104" s="2307"/>
      <c r="C104" s="2308"/>
      <c r="D104" s="2309"/>
      <c r="E104" s="2310"/>
      <c r="F104" s="2311"/>
      <c r="G104" s="2312"/>
      <c r="H104" s="2313"/>
      <c r="I104" s="2313"/>
      <c r="J104" s="2310"/>
      <c r="K104" s="2310"/>
      <c r="L104" s="2458"/>
      <c r="M104" s="2462"/>
      <c r="N104" s="6"/>
    </row>
    <row r="105" spans="1:14" ht="19.5" thickBot="1" x14ac:dyDescent="0.35">
      <c r="A105" s="1336"/>
      <c r="B105" s="2362" t="s">
        <v>1899</v>
      </c>
      <c r="C105" s="2363"/>
      <c r="D105" s="2364"/>
      <c r="E105" s="2364"/>
      <c r="F105" s="2364"/>
      <c r="G105" s="2365"/>
      <c r="H105" s="2365"/>
      <c r="I105" s="2366" t="str">
        <f>'S. Setup'!$J$80</f>
        <v>yes</v>
      </c>
      <c r="J105" s="6"/>
      <c r="K105" s="2234"/>
      <c r="L105" s="2252"/>
      <c r="M105" s="2462"/>
      <c r="N105" s="6"/>
    </row>
    <row r="106" spans="1:14" ht="17.25" x14ac:dyDescent="0.4">
      <c r="A106" s="2231" t="s">
        <v>3395</v>
      </c>
      <c r="B106" s="418"/>
      <c r="C106" s="2232"/>
      <c r="D106" s="2233"/>
      <c r="E106" s="2234"/>
      <c r="F106" s="2242"/>
      <c r="G106" s="2236"/>
      <c r="H106" s="2237"/>
      <c r="I106" s="2237"/>
      <c r="J106" s="2234"/>
      <c r="K106" s="2234"/>
      <c r="L106" s="2252"/>
      <c r="M106" s="2462"/>
      <c r="N106" s="6"/>
    </row>
    <row r="107" spans="1:14" x14ac:dyDescent="0.25">
      <c r="A107" s="2357" t="s">
        <v>3396</v>
      </c>
      <c r="B107" s="418"/>
      <c r="C107" s="2232"/>
      <c r="D107" s="2233"/>
      <c r="E107" s="2234"/>
      <c r="F107" s="2242"/>
      <c r="G107" s="2236"/>
      <c r="H107" s="2237"/>
      <c r="I107" s="2237"/>
      <c r="J107" s="2234"/>
      <c r="K107" s="2234"/>
      <c r="L107" s="2252"/>
      <c r="M107" s="2462"/>
      <c r="N107" s="6"/>
    </row>
    <row r="108" spans="1:14" x14ac:dyDescent="0.25">
      <c r="A108" s="2357" t="s">
        <v>2432</v>
      </c>
      <c r="B108" s="418"/>
      <c r="C108" s="2232"/>
      <c r="D108" s="2233"/>
      <c r="E108" s="2234"/>
      <c r="F108" s="2242"/>
      <c r="G108" s="2236"/>
      <c r="H108" s="2237"/>
      <c r="I108" s="2237"/>
      <c r="J108" s="2234"/>
      <c r="K108" s="2234"/>
      <c r="L108" s="2252"/>
      <c r="M108" s="2462"/>
      <c r="N108" s="6"/>
    </row>
    <row r="109" spans="1:14" x14ac:dyDescent="0.25">
      <c r="A109" t="s">
        <v>3398</v>
      </c>
      <c r="B109" s="418"/>
      <c r="C109" s="2232"/>
      <c r="D109" s="2233"/>
      <c r="E109" s="2234"/>
      <c r="F109" s="2242"/>
      <c r="G109" s="2236"/>
      <c r="H109" s="2237"/>
      <c r="I109" s="2237"/>
      <c r="J109" s="2234"/>
      <c r="K109" s="2234"/>
      <c r="L109" s="2252"/>
      <c r="M109" s="2462"/>
      <c r="N109" s="6"/>
    </row>
    <row r="110" spans="1:14" x14ac:dyDescent="0.25">
      <c r="A110" s="2357" t="s">
        <v>3399</v>
      </c>
      <c r="B110" s="418"/>
      <c r="C110" s="2232"/>
      <c r="D110" s="2233"/>
      <c r="E110" s="2234"/>
      <c r="F110" s="2242"/>
      <c r="G110" s="2236"/>
      <c r="H110" s="2237"/>
      <c r="I110" s="2237"/>
      <c r="J110" s="2234"/>
      <c r="K110" s="2234"/>
      <c r="L110" s="2252"/>
      <c r="M110" s="2462"/>
      <c r="N110" s="6"/>
    </row>
    <row r="111" spans="1:14" x14ac:dyDescent="0.25">
      <c r="A111" s="2231" t="s">
        <v>2421</v>
      </c>
      <c r="B111" s="418"/>
      <c r="C111" s="2232"/>
      <c r="D111" s="2233"/>
      <c r="E111" s="2234"/>
      <c r="F111" s="2242"/>
      <c r="G111" s="2236"/>
      <c r="H111" s="2237"/>
      <c r="I111" s="2237"/>
      <c r="J111" s="2234"/>
      <c r="K111" s="2234"/>
      <c r="L111" s="2252"/>
      <c r="M111" s="2462"/>
      <c r="N111" s="6"/>
    </row>
    <row r="112" spans="1:14" ht="17.25" x14ac:dyDescent="0.4">
      <c r="A112" s="2231" t="s">
        <v>3397</v>
      </c>
      <c r="B112" s="418"/>
      <c r="C112" s="2232"/>
      <c r="D112" s="2233"/>
      <c r="E112" s="2234"/>
      <c r="F112" s="2242"/>
      <c r="G112" s="2236"/>
      <c r="H112" s="2237"/>
      <c r="I112" s="2237"/>
      <c r="J112" s="2234"/>
      <c r="K112" s="2234"/>
      <c r="L112" s="2252"/>
      <c r="M112" s="2462"/>
      <c r="N112" s="6"/>
    </row>
    <row r="113" spans="1:14" ht="15.75" thickBot="1" x14ac:dyDescent="0.3">
      <c r="A113" s="1353" t="s">
        <v>1864</v>
      </c>
      <c r="B113" s="433"/>
      <c r="C113" s="433"/>
      <c r="D113" s="6"/>
      <c r="E113" s="974" t="s">
        <v>42</v>
      </c>
      <c r="F113" s="2242"/>
      <c r="G113" s="2236"/>
      <c r="H113" s="2237"/>
      <c r="I113" s="2237"/>
      <c r="J113" s="2234"/>
      <c r="K113" s="2234"/>
      <c r="L113" s="2252"/>
      <c r="M113" s="2462"/>
      <c r="N113" s="6"/>
    </row>
    <row r="114" spans="1:14" ht="53.25" thickTop="1" thickBot="1" x14ac:dyDescent="0.3">
      <c r="A114" s="1336"/>
      <c r="B114" s="2255" t="s">
        <v>1843</v>
      </c>
      <c r="C114" s="2256"/>
      <c r="D114" s="2257" t="s">
        <v>1852</v>
      </c>
      <c r="E114" s="2078" t="s">
        <v>1854</v>
      </c>
      <c r="F114" s="2078" t="s">
        <v>1855</v>
      </c>
      <c r="G114" s="2078" t="s">
        <v>1856</v>
      </c>
      <c r="H114" s="2299" t="s">
        <v>1865</v>
      </c>
      <c r="I114" s="1293" t="s">
        <v>1860</v>
      </c>
      <c r="J114" s="1293" t="s">
        <v>1861</v>
      </c>
      <c r="K114" s="2640" t="s">
        <v>2419</v>
      </c>
      <c r="L114" s="2456" t="s">
        <v>1862</v>
      </c>
      <c r="M114" s="1454"/>
      <c r="N114" s="6"/>
    </row>
    <row r="115" spans="1:14" ht="15.75" thickTop="1" x14ac:dyDescent="0.25">
      <c r="A115" s="1336"/>
      <c r="B115" s="2317" t="s">
        <v>353</v>
      </c>
      <c r="C115" s="2224"/>
      <c r="D115" s="1696">
        <v>1000</v>
      </c>
      <c r="E115" s="1697">
        <v>0.01</v>
      </c>
      <c r="F115" s="2736">
        <v>61</v>
      </c>
      <c r="G115" s="2736">
        <v>64</v>
      </c>
      <c r="H115" s="2804">
        <v>0.02</v>
      </c>
      <c r="I115" s="3055">
        <v>75</v>
      </c>
      <c r="J115" s="2397">
        <v>85</v>
      </c>
      <c r="K115" s="3178" t="s">
        <v>1791</v>
      </c>
      <c r="L115" s="2457" t="str">
        <f>CONCATENATE(IF(AND(D115&gt;0,G115&lt;F115),"ERROR - S1 Roth contribution start age &gt; end age",""), IF(AND(H115&gt;0,J115&lt;I115)," --- S1 Roth withdrawal start age &gt; end age",""),".")</f>
        <v>.</v>
      </c>
      <c r="M115" s="1454"/>
      <c r="N115" s="6"/>
    </row>
    <row r="116" spans="1:14" ht="15" customHeight="1" x14ac:dyDescent="0.25">
      <c r="A116" s="1336"/>
      <c r="B116" s="2358" t="s">
        <v>1880</v>
      </c>
      <c r="C116" s="2359"/>
      <c r="D116" s="2367" t="s">
        <v>1791</v>
      </c>
      <c r="E116" s="2368" t="s">
        <v>1791</v>
      </c>
      <c r="F116" s="2368" t="s">
        <v>1791</v>
      </c>
      <c r="G116" s="2796" t="s">
        <v>1791</v>
      </c>
      <c r="H116" s="3146">
        <v>1.8499999999999999E-2</v>
      </c>
      <c r="I116" s="2369">
        <v>62</v>
      </c>
      <c r="J116" s="2302">
        <v>64</v>
      </c>
      <c r="K116" s="3179">
        <v>71</v>
      </c>
      <c r="L116" s="2457" t="str">
        <f>IF(AND(H116&gt;0,J116&lt;I116),"ERROR - S1 inherited-5yr Roth withdrawal start age &gt; end age",".")</f>
        <v>.</v>
      </c>
      <c r="M116" s="1454"/>
      <c r="N116" s="6"/>
    </row>
    <row r="117" spans="1:14" x14ac:dyDescent="0.25">
      <c r="A117" s="1336"/>
      <c r="B117" s="2358" t="s">
        <v>1881</v>
      </c>
      <c r="C117" s="2359"/>
      <c r="D117" s="2367" t="s">
        <v>1791</v>
      </c>
      <c r="E117" s="2368" t="s">
        <v>1791</v>
      </c>
      <c r="F117" s="2368" t="s">
        <v>1791</v>
      </c>
      <c r="G117" s="2796" t="s">
        <v>1791</v>
      </c>
      <c r="H117" s="3146">
        <v>1.7999999999999999E-2</v>
      </c>
      <c r="I117" s="2369">
        <v>63</v>
      </c>
      <c r="J117" s="2302">
        <v>67</v>
      </c>
      <c r="K117" s="3179">
        <v>72</v>
      </c>
      <c r="L117" s="2457" t="str">
        <f>IF(AND(H117&gt;0,J117&lt;I117),"ERROR - S1 inherited-Life Roth withdrawal start age &gt; end age",".")</f>
        <v>.</v>
      </c>
      <c r="M117" s="1454"/>
      <c r="N117" s="6"/>
    </row>
    <row r="118" spans="1:14" ht="15.75" thickBot="1" x14ac:dyDescent="0.3">
      <c r="A118" s="1336"/>
      <c r="B118" s="2273" t="s">
        <v>1795</v>
      </c>
      <c r="C118" s="2274"/>
      <c r="D118" s="2297">
        <v>123</v>
      </c>
      <c r="E118" s="2277">
        <v>1.4999999999999999E-2</v>
      </c>
      <c r="F118" s="2301">
        <v>60</v>
      </c>
      <c r="G118" s="2301">
        <v>64</v>
      </c>
      <c r="H118" s="2806">
        <v>2.1000000000000001E-2</v>
      </c>
      <c r="I118" s="3226">
        <v>65</v>
      </c>
      <c r="J118" s="2302">
        <v>69</v>
      </c>
      <c r="K118" s="3180">
        <v>70</v>
      </c>
      <c r="L118" s="2457" t="str">
        <f>CONCATENATE(IF(AND(D118&gt;0,G118&lt;F118),"ERROR - S1 401(k)-Roth contribution start age &gt; end age",""),IF(AND(H118&gt;0,J118&lt;I118)," --- S1 401(k) Roth withdrawal start age &gt; end age",""),".")</f>
        <v>.</v>
      </c>
      <c r="M118" s="1454"/>
      <c r="N118" s="6"/>
    </row>
    <row r="119" spans="1:14" ht="16.5" thickTop="1" thickBot="1" x14ac:dyDescent="0.3">
      <c r="A119" s="1336"/>
      <c r="B119" s="2241"/>
      <c r="C119" s="122"/>
      <c r="D119" s="1238"/>
      <c r="E119" s="1238"/>
      <c r="F119" s="2305"/>
      <c r="G119" s="2305"/>
      <c r="H119" s="2325"/>
      <c r="I119" s="2323"/>
      <c r="J119" s="2323"/>
      <c r="L119" s="2300"/>
      <c r="M119" s="1454"/>
      <c r="N119" s="6"/>
    </row>
    <row r="120" spans="1:14" ht="53.25" thickTop="1" thickBot="1" x14ac:dyDescent="0.3">
      <c r="A120" s="1336"/>
      <c r="B120" s="2255" t="s">
        <v>1844</v>
      </c>
      <c r="C120" s="2256"/>
      <c r="D120" s="2257" t="s">
        <v>1853</v>
      </c>
      <c r="E120" s="2078" t="s">
        <v>1859</v>
      </c>
      <c r="F120" s="2078" t="s">
        <v>1858</v>
      </c>
      <c r="G120" s="2078" t="s">
        <v>1857</v>
      </c>
      <c r="H120" s="2315" t="s">
        <v>1866</v>
      </c>
      <c r="I120" s="1293" t="s">
        <v>1867</v>
      </c>
      <c r="J120" s="2316" t="s">
        <v>1868</v>
      </c>
      <c r="K120" s="2640" t="s">
        <v>2420</v>
      </c>
      <c r="L120" s="2456" t="s">
        <v>1863</v>
      </c>
      <c r="M120" s="1454"/>
      <c r="N120" s="6"/>
    </row>
    <row r="121" spans="1:14" ht="15.75" thickTop="1" x14ac:dyDescent="0.25">
      <c r="A121" s="1336"/>
      <c r="B121" s="2317" t="s">
        <v>353</v>
      </c>
      <c r="C121" s="2224"/>
      <c r="D121" s="1696">
        <v>2000</v>
      </c>
      <c r="E121" s="1697">
        <v>5.0000000000000001E-3</v>
      </c>
      <c r="F121" s="2736">
        <v>56</v>
      </c>
      <c r="G121" s="2736">
        <v>58</v>
      </c>
      <c r="H121" s="2804">
        <v>0.02</v>
      </c>
      <c r="I121" s="3055">
        <v>72</v>
      </c>
      <c r="J121" s="2397">
        <v>75</v>
      </c>
      <c r="K121" s="3178" t="s">
        <v>1791</v>
      </c>
      <c r="L121" s="2457" t="str">
        <f>CONCATENATE(IF(AND(D121&gt;0,G121&lt;F121),"ERROR - S2 Roth contribution start age &gt; end age",""), IF(AND(H120&gt;0,J121&lt;I121)," --- S2 Roth withdrawal start age &gt; end age",""),".")</f>
        <v>.</v>
      </c>
      <c r="M121" s="1454"/>
      <c r="N121" s="6"/>
    </row>
    <row r="122" spans="1:14" x14ac:dyDescent="0.25">
      <c r="A122" s="1336"/>
      <c r="B122" s="2358" t="s">
        <v>1880</v>
      </c>
      <c r="C122" s="2359"/>
      <c r="D122" s="2367" t="s">
        <v>1791</v>
      </c>
      <c r="E122" s="2368" t="s">
        <v>1791</v>
      </c>
      <c r="F122" s="2368" t="s">
        <v>1791</v>
      </c>
      <c r="G122" s="2796" t="s">
        <v>1791</v>
      </c>
      <c r="H122" s="3146">
        <v>1.8499999999999999E-2</v>
      </c>
      <c r="I122" s="2369">
        <v>63</v>
      </c>
      <c r="J122" s="2302">
        <v>65</v>
      </c>
      <c r="K122" s="3179">
        <v>61</v>
      </c>
      <c r="L122" s="2457" t="str">
        <f xml:space="preserve"> IF(AND(H122&gt;0,J122&lt;I122),"ERROR - S2 inherited-5yr Roth withdrawal start age &gt; end age",".")</f>
        <v>.</v>
      </c>
      <c r="M122" s="1454"/>
      <c r="N122" s="6"/>
    </row>
    <row r="123" spans="1:14" x14ac:dyDescent="0.25">
      <c r="A123" s="1336"/>
      <c r="B123" s="2358" t="s">
        <v>1881</v>
      </c>
      <c r="C123" s="2359"/>
      <c r="D123" s="2367" t="s">
        <v>1791</v>
      </c>
      <c r="E123" s="2368" t="s">
        <v>1791</v>
      </c>
      <c r="F123" s="2368" t="s">
        <v>1791</v>
      </c>
      <c r="G123" s="2796" t="s">
        <v>1791</v>
      </c>
      <c r="H123" s="3146">
        <v>1.7999999999999999E-2</v>
      </c>
      <c r="I123" s="2369">
        <v>63</v>
      </c>
      <c r="J123" s="2302">
        <v>67</v>
      </c>
      <c r="K123" s="3179">
        <v>62</v>
      </c>
      <c r="L123" s="2457" t="str">
        <f>IF(AND(H123&gt;0,J123&lt;I123),"ERROR - S2 inherited-Roth 2 withdrawal start age &gt; end age",".")</f>
        <v>.</v>
      </c>
      <c r="M123" s="1454"/>
      <c r="N123" s="6"/>
    </row>
    <row r="124" spans="1:14" ht="15.75" thickBot="1" x14ac:dyDescent="0.3">
      <c r="A124" s="1336"/>
      <c r="B124" s="2407" t="s">
        <v>1795</v>
      </c>
      <c r="C124" s="2408"/>
      <c r="D124" s="2297">
        <v>0</v>
      </c>
      <c r="E124" s="2277">
        <v>0</v>
      </c>
      <c r="F124" s="2301">
        <v>55</v>
      </c>
      <c r="G124" s="2301">
        <v>60</v>
      </c>
      <c r="H124" s="2806">
        <v>0</v>
      </c>
      <c r="I124" s="3181">
        <v>0</v>
      </c>
      <c r="J124" s="3182">
        <v>0</v>
      </c>
      <c r="K124" s="3180">
        <v>70</v>
      </c>
      <c r="L124" s="2319" t="str">
        <f>CONCATENATE(IF(AND(D124&gt;0,G124&lt;F124),"ERROR - S2 401(k)-Roth contribution start age &gt; end age",""), IF(AND(H124&gt;0,J124&lt;I124)," --- S2 401(k)-Roth withdrawal start age &gt; end age",""),".")</f>
        <v>.</v>
      </c>
      <c r="M124" s="1454"/>
      <c r="N124" s="6"/>
    </row>
    <row r="125" spans="1:14" s="215" customFormat="1" ht="16.5" thickTop="1" thickBot="1" x14ac:dyDescent="0.3">
      <c r="A125" s="2243"/>
      <c r="B125" s="2244"/>
      <c r="C125" s="2244"/>
      <c r="D125" s="2244"/>
      <c r="E125" s="2244"/>
      <c r="F125" s="1757"/>
      <c r="G125" s="1757"/>
      <c r="H125" s="1757"/>
      <c r="I125" s="1757"/>
      <c r="J125" s="1757"/>
      <c r="K125" s="1757"/>
      <c r="L125" s="1855"/>
      <c r="M125" s="1855"/>
      <c r="N125" s="33"/>
    </row>
    <row r="126" spans="1:14" s="215" customFormat="1" ht="15.75" thickTop="1" x14ac:dyDescent="0.25">
      <c r="A126" s="649"/>
      <c r="B126" s="122"/>
      <c r="C126" s="122"/>
      <c r="D126" s="122"/>
      <c r="E126" s="122"/>
      <c r="F126" s="33"/>
      <c r="G126" s="33"/>
      <c r="H126" s="33"/>
      <c r="I126" s="33"/>
      <c r="J126" s="33"/>
      <c r="K126" s="33"/>
      <c r="L126" s="33"/>
      <c r="M126" s="33"/>
      <c r="N126" s="33"/>
    </row>
    <row r="128" spans="1:14" ht="15.75" thickBot="1" x14ac:dyDescent="0.3"/>
    <row r="129" spans="1:13" ht="19.5" thickTop="1" x14ac:dyDescent="0.3">
      <c r="A129" s="265" t="s">
        <v>1976</v>
      </c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6"/>
    </row>
    <row r="130" spans="1:13" x14ac:dyDescent="0.25">
      <c r="A130" s="1416" t="s">
        <v>3400</v>
      </c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1311"/>
    </row>
    <row r="131" spans="1:13" x14ac:dyDescent="0.25">
      <c r="A131" s="1267" t="s">
        <v>3401</v>
      </c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39"/>
    </row>
    <row r="132" spans="1:13" x14ac:dyDescent="0.25">
      <c r="A132" s="38" t="s">
        <v>552</v>
      </c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39"/>
    </row>
    <row r="133" spans="1:13" x14ac:dyDescent="0.25">
      <c r="A133" s="38" t="s">
        <v>2042</v>
      </c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39"/>
    </row>
    <row r="134" spans="1:13" ht="15.75" thickBot="1" x14ac:dyDescent="0.3">
      <c r="A134" s="38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39"/>
    </row>
    <row r="135" spans="1:13" ht="19.5" thickBot="1" x14ac:dyDescent="0.35">
      <c r="A135" s="38"/>
      <c r="B135" s="2362" t="s">
        <v>2223</v>
      </c>
      <c r="C135" s="2363"/>
      <c r="D135" s="2364"/>
      <c r="E135" s="2364"/>
      <c r="F135" s="2364"/>
      <c r="G135" s="2365"/>
      <c r="H135" s="2365"/>
      <c r="I135" s="2366" t="str">
        <f>'S. Setup'!$J$59</f>
        <v>yes</v>
      </c>
      <c r="J135" s="6"/>
      <c r="K135" s="6"/>
      <c r="L135" s="6"/>
      <c r="M135" s="39"/>
    </row>
    <row r="136" spans="1:13" x14ac:dyDescent="0.25">
      <c r="A136" s="38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39"/>
    </row>
    <row r="137" spans="1:13" x14ac:dyDescent="0.25">
      <c r="A137" s="38" t="s">
        <v>3402</v>
      </c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39"/>
    </row>
    <row r="138" spans="1:13" x14ac:dyDescent="0.25">
      <c r="A138" s="38" t="s">
        <v>417</v>
      </c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39"/>
    </row>
    <row r="139" spans="1:13" x14ac:dyDescent="0.25">
      <c r="A139" s="38" t="s">
        <v>3403</v>
      </c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39"/>
    </row>
    <row r="140" spans="1:13" x14ac:dyDescent="0.25">
      <c r="A140" s="38" t="s">
        <v>418</v>
      </c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39"/>
    </row>
    <row r="141" spans="1:13" x14ac:dyDescent="0.25">
      <c r="A141" s="38" t="s">
        <v>3404</v>
      </c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39"/>
    </row>
    <row r="142" spans="1:13" x14ac:dyDescent="0.25">
      <c r="A142" s="691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39"/>
    </row>
    <row r="143" spans="1:13" ht="15.75" thickBot="1" x14ac:dyDescent="0.3">
      <c r="A143" s="692"/>
      <c r="B143" s="33"/>
      <c r="C143" s="33"/>
      <c r="D143" s="33"/>
      <c r="E143" s="33"/>
      <c r="F143" s="33"/>
      <c r="G143" s="33"/>
      <c r="H143" s="33"/>
      <c r="I143" s="33"/>
      <c r="J143" s="6"/>
      <c r="K143" s="6"/>
      <c r="L143" s="6"/>
      <c r="M143" s="39"/>
    </row>
    <row r="144" spans="1:13" ht="19.5" thickTop="1" x14ac:dyDescent="0.3">
      <c r="A144" s="265" t="s">
        <v>1977</v>
      </c>
      <c r="B144" s="717"/>
      <c r="C144" s="717"/>
      <c r="D144" s="717"/>
      <c r="E144" s="717"/>
      <c r="F144" s="717"/>
      <c r="G144" s="717"/>
      <c r="H144" s="717"/>
      <c r="I144" s="717"/>
      <c r="J144" s="14"/>
      <c r="K144" s="14"/>
      <c r="L144" s="1341"/>
      <c r="M144" s="1342"/>
    </row>
    <row r="145" spans="1:13" ht="18.75" x14ac:dyDescent="0.3">
      <c r="A145" s="1438"/>
      <c r="B145" s="693"/>
      <c r="C145" s="693"/>
      <c r="D145" s="693"/>
      <c r="E145" s="693"/>
      <c r="F145" s="693"/>
      <c r="G145" s="693"/>
      <c r="H145" s="693"/>
      <c r="I145" s="693"/>
      <c r="J145" s="6"/>
      <c r="K145" s="6"/>
      <c r="L145" s="6"/>
      <c r="M145" s="1311"/>
    </row>
    <row r="146" spans="1:13" ht="15.75" x14ac:dyDescent="0.25">
      <c r="A146" s="1267" t="s">
        <v>1915</v>
      </c>
      <c r="B146" s="693"/>
      <c r="C146" s="693"/>
      <c r="D146" s="693"/>
      <c r="E146" s="693"/>
      <c r="F146" s="693"/>
      <c r="G146" s="693"/>
      <c r="H146" s="693"/>
      <c r="I146" s="693"/>
      <c r="J146" s="6"/>
      <c r="K146" s="6"/>
      <c r="L146" s="6"/>
      <c r="M146" s="1311"/>
    </row>
    <row r="147" spans="1:13" ht="15.75" x14ac:dyDescent="0.25">
      <c r="A147" s="1267" t="s">
        <v>1912</v>
      </c>
      <c r="B147" s="693"/>
      <c r="C147" s="693"/>
      <c r="D147" s="693"/>
      <c r="E147" s="693"/>
      <c r="F147" s="693"/>
      <c r="G147" s="693"/>
      <c r="H147" s="693"/>
      <c r="I147" s="693"/>
      <c r="J147" s="6"/>
      <c r="K147" s="6"/>
      <c r="L147" s="6"/>
      <c r="M147" s="1311"/>
    </row>
    <row r="148" spans="1:13" ht="15.75" x14ac:dyDescent="0.25">
      <c r="A148" s="1267" t="s">
        <v>1914</v>
      </c>
      <c r="B148" s="693"/>
      <c r="C148" s="693"/>
      <c r="D148" s="693"/>
      <c r="E148" s="693"/>
      <c r="F148" s="693"/>
      <c r="G148" s="693"/>
      <c r="H148" s="693"/>
      <c r="I148" s="693"/>
      <c r="J148" s="6"/>
      <c r="K148" s="6"/>
      <c r="L148" s="6"/>
      <c r="M148" s="1311"/>
    </row>
    <row r="149" spans="1:13" ht="15.75" x14ac:dyDescent="0.25">
      <c r="A149" s="1267"/>
      <c r="E149" s="693"/>
      <c r="F149" s="693"/>
      <c r="G149" s="693"/>
      <c r="H149" s="693"/>
      <c r="I149" s="693"/>
      <c r="J149" s="6"/>
      <c r="K149" s="6"/>
      <c r="L149" s="6"/>
      <c r="M149" s="1311"/>
    </row>
    <row r="150" spans="1:13" ht="15.75" x14ac:dyDescent="0.25">
      <c r="A150" s="1267" t="s">
        <v>1913</v>
      </c>
      <c r="B150" s="693"/>
      <c r="C150" s="693"/>
      <c r="D150" s="693"/>
      <c r="E150" s="693"/>
      <c r="F150" s="693"/>
      <c r="G150" s="693"/>
      <c r="H150" s="693"/>
      <c r="I150" s="693"/>
      <c r="J150" s="6"/>
      <c r="K150" s="6"/>
      <c r="L150" s="6"/>
      <c r="M150" s="1311"/>
    </row>
    <row r="151" spans="1:13" ht="15.75" x14ac:dyDescent="0.25">
      <c r="A151" s="1416" t="s">
        <v>1916</v>
      </c>
      <c r="B151" s="693"/>
      <c r="C151" s="693"/>
      <c r="D151" s="693"/>
      <c r="E151" s="693"/>
      <c r="F151" s="693"/>
      <c r="G151" s="693"/>
      <c r="H151" s="693"/>
      <c r="I151" s="693"/>
      <c r="J151" s="6"/>
      <c r="K151" s="6"/>
      <c r="L151" s="6"/>
      <c r="M151" s="1311"/>
    </row>
    <row r="152" spans="1:13" ht="15.75" x14ac:dyDescent="0.25">
      <c r="A152" s="1416"/>
      <c r="B152" s="693"/>
      <c r="C152" s="693"/>
      <c r="D152" s="693"/>
      <c r="E152" s="693"/>
      <c r="F152" s="693"/>
      <c r="H152" s="693"/>
      <c r="I152" s="693"/>
      <c r="J152" s="6"/>
      <c r="K152" s="6"/>
      <c r="L152" s="6"/>
      <c r="M152" s="1311"/>
    </row>
    <row r="153" spans="1:13" ht="15.75" x14ac:dyDescent="0.25">
      <c r="A153" s="1435"/>
      <c r="B153" s="693"/>
      <c r="C153" s="693"/>
      <c r="D153" s="693"/>
      <c r="E153" s="693"/>
      <c r="F153" s="693"/>
      <c r="G153" s="693"/>
      <c r="H153" s="693"/>
      <c r="I153" s="693"/>
      <c r="J153" s="6"/>
      <c r="K153" s="6"/>
      <c r="L153" s="6"/>
      <c r="M153" s="1311"/>
    </row>
    <row r="154" spans="1:13" ht="15.75" x14ac:dyDescent="0.25">
      <c r="A154" s="1435"/>
      <c r="B154" s="693"/>
      <c r="C154" s="693"/>
      <c r="D154" s="693"/>
      <c r="E154" s="693"/>
      <c r="F154" s="693"/>
      <c r="G154" s="693"/>
      <c r="H154" s="693"/>
      <c r="I154" s="693"/>
      <c r="J154" s="6"/>
      <c r="K154" s="6"/>
      <c r="L154" s="6"/>
      <c r="M154" s="1311"/>
    </row>
    <row r="155" spans="1:13" ht="15.75" x14ac:dyDescent="0.25">
      <c r="A155" s="1416" t="s">
        <v>1921</v>
      </c>
      <c r="B155" s="693"/>
      <c r="C155" s="693"/>
      <c r="D155" s="693"/>
      <c r="E155" s="693"/>
      <c r="F155" s="693"/>
      <c r="G155" s="693"/>
      <c r="H155" s="693"/>
      <c r="I155" s="693"/>
      <c r="J155" s="6"/>
      <c r="K155" s="6"/>
      <c r="L155" s="6"/>
      <c r="M155" s="1311"/>
    </row>
    <row r="156" spans="1:13" ht="15.75" x14ac:dyDescent="0.25">
      <c r="A156" s="1416" t="s">
        <v>1918</v>
      </c>
      <c r="B156" s="693"/>
      <c r="C156" s="693"/>
      <c r="D156" s="693"/>
      <c r="E156" s="693"/>
      <c r="F156" s="693"/>
      <c r="G156" s="693"/>
      <c r="H156" s="693"/>
      <c r="I156" s="693"/>
      <c r="J156" s="6"/>
      <c r="K156" s="6"/>
      <c r="L156" s="6"/>
      <c r="M156" s="1311"/>
    </row>
    <row r="157" spans="1:13" ht="15.75" x14ac:dyDescent="0.25">
      <c r="A157" s="1416" t="s">
        <v>1917</v>
      </c>
      <c r="B157" s="693"/>
      <c r="C157" s="693"/>
      <c r="D157" s="693"/>
      <c r="E157" s="693"/>
      <c r="F157" s="693"/>
      <c r="G157" s="693"/>
      <c r="H157" s="693"/>
      <c r="I157" s="693"/>
      <c r="J157" s="6"/>
      <c r="K157" s="6"/>
      <c r="L157" s="6"/>
      <c r="M157" s="1311"/>
    </row>
    <row r="158" spans="1:13" ht="15.75" x14ac:dyDescent="0.25">
      <c r="A158" s="1416"/>
      <c r="B158" s="693"/>
      <c r="C158" s="693"/>
      <c r="D158" s="693"/>
      <c r="E158" s="693"/>
      <c r="F158" s="693"/>
      <c r="G158" s="693"/>
      <c r="H158" s="693"/>
      <c r="I158" s="693"/>
      <c r="J158" s="6"/>
      <c r="K158" s="6"/>
      <c r="L158" s="6"/>
      <c r="M158" s="1311"/>
    </row>
    <row r="159" spans="1:13" ht="15.75" x14ac:dyDescent="0.25">
      <c r="A159" s="1416"/>
      <c r="B159" s="693"/>
      <c r="C159" s="693"/>
      <c r="D159" s="693"/>
      <c r="E159" s="693"/>
      <c r="F159" s="693"/>
      <c r="G159" s="693"/>
      <c r="H159" s="693"/>
      <c r="I159" s="693"/>
      <c r="J159" s="6"/>
      <c r="K159" s="6"/>
      <c r="L159" s="6"/>
      <c r="M159" s="1311"/>
    </row>
    <row r="160" spans="1:13" ht="15.75" x14ac:dyDescent="0.25">
      <c r="A160" s="1435"/>
      <c r="B160" s="693"/>
      <c r="C160" s="693"/>
      <c r="D160" s="693"/>
      <c r="E160" s="693"/>
      <c r="F160" s="693"/>
      <c r="G160" s="693"/>
      <c r="H160" s="693"/>
      <c r="I160" s="693"/>
      <c r="J160" s="6"/>
      <c r="K160" s="6"/>
      <c r="L160" s="6"/>
      <c r="M160" s="1311"/>
    </row>
    <row r="161" spans="1:13" ht="15.75" x14ac:dyDescent="0.25">
      <c r="A161" s="1416" t="s">
        <v>3437</v>
      </c>
      <c r="B161" s="693"/>
      <c r="C161" s="693"/>
      <c r="D161" s="693"/>
      <c r="E161" s="693"/>
      <c r="F161" s="693"/>
      <c r="G161" s="693"/>
      <c r="H161" s="693"/>
      <c r="I161" s="693"/>
      <c r="J161" s="6"/>
      <c r="K161" s="6"/>
      <c r="L161" s="6"/>
      <c r="M161" s="1311"/>
    </row>
    <row r="162" spans="1:13" ht="15.75" x14ac:dyDescent="0.25">
      <c r="A162" s="1416" t="s">
        <v>3441</v>
      </c>
      <c r="B162" s="693"/>
      <c r="C162" s="693"/>
      <c r="D162" s="693"/>
      <c r="E162" s="693"/>
      <c r="F162" s="693"/>
      <c r="G162" s="693"/>
      <c r="H162" s="693"/>
      <c r="I162" s="693"/>
      <c r="J162" s="6"/>
      <c r="K162" s="6"/>
      <c r="L162" s="6"/>
      <c r="M162" s="1311"/>
    </row>
    <row r="163" spans="1:13" ht="15.75" x14ac:dyDescent="0.25">
      <c r="A163" s="1416" t="s">
        <v>3439</v>
      </c>
      <c r="B163" s="693"/>
      <c r="C163" s="693"/>
      <c r="D163" s="693"/>
      <c r="E163" s="693"/>
      <c r="F163" s="693"/>
      <c r="G163" s="693"/>
      <c r="H163" s="693"/>
      <c r="I163" s="693"/>
      <c r="J163" s="6"/>
      <c r="K163" s="6"/>
      <c r="L163" s="6"/>
      <c r="M163" s="1311"/>
    </row>
    <row r="164" spans="1:13" ht="16.5" thickBot="1" x14ac:dyDescent="0.3">
      <c r="A164" s="214"/>
      <c r="B164" s="933"/>
      <c r="C164" s="933"/>
      <c r="D164" s="933"/>
      <c r="E164" s="933"/>
      <c r="F164" s="933"/>
      <c r="G164" s="933"/>
      <c r="H164" s="933"/>
      <c r="I164" s="933"/>
      <c r="J164" s="41"/>
      <c r="K164" s="41"/>
      <c r="L164" s="1314"/>
      <c r="M164" s="1311"/>
    </row>
    <row r="165" spans="1:13" s="312" customFormat="1" ht="61.5" thickTop="1" thickBot="1" x14ac:dyDescent="0.25">
      <c r="A165" s="1907" t="s">
        <v>218</v>
      </c>
      <c r="B165" s="928" t="s">
        <v>219</v>
      </c>
      <c r="C165" s="2379" t="s">
        <v>1910</v>
      </c>
      <c r="D165" s="929" t="s">
        <v>221</v>
      </c>
      <c r="E165" s="930" t="s">
        <v>570</v>
      </c>
      <c r="F165" s="931" t="s">
        <v>567</v>
      </c>
      <c r="G165" s="932" t="s">
        <v>568</v>
      </c>
      <c r="H165" s="666" t="s">
        <v>1427</v>
      </c>
      <c r="I165" s="2379" t="s">
        <v>1911</v>
      </c>
      <c r="J165" s="664" t="s">
        <v>222</v>
      </c>
      <c r="K165" s="930" t="s">
        <v>569</v>
      </c>
      <c r="L165" s="931" t="s">
        <v>571</v>
      </c>
      <c r="M165" s="665" t="s">
        <v>572</v>
      </c>
    </row>
    <row r="166" spans="1:13" ht="15.75" thickTop="1" x14ac:dyDescent="0.25">
      <c r="A166" s="307">
        <v>1</v>
      </c>
      <c r="B166" s="1701" t="s">
        <v>2443</v>
      </c>
      <c r="C166" s="3053" t="s">
        <v>1905</v>
      </c>
      <c r="D166" s="3225">
        <v>71</v>
      </c>
      <c r="E166" s="1702" t="s">
        <v>2440</v>
      </c>
      <c r="F166" s="1682">
        <v>500</v>
      </c>
      <c r="G166" s="309">
        <f>IF(OR(B166="U",F166=0),0,  F166*POWER((1+'2. TaxData'!$I$65),(D166-'1. AgeData'!$D$30)))</f>
        <v>621.68715419732598</v>
      </c>
      <c r="H166" s="1701" t="s">
        <v>2443</v>
      </c>
      <c r="I166" s="3053" t="s">
        <v>1905</v>
      </c>
      <c r="J166" s="1707">
        <v>66</v>
      </c>
      <c r="K166" s="1702" t="s">
        <v>2440</v>
      </c>
      <c r="L166" s="1682">
        <v>400</v>
      </c>
      <c r="M166" s="310">
        <f>IF(OR(H166="U",L166=0),0,  L166*POWER((1+'2. TaxData'!$I$65),(J166-'1. AgeData'!$D$31)))</f>
        <v>497.3497233578608</v>
      </c>
    </row>
    <row r="167" spans="1:13" x14ac:dyDescent="0.25">
      <c r="A167" s="307">
        <v>2</v>
      </c>
      <c r="B167" s="1701" t="s">
        <v>2443</v>
      </c>
      <c r="C167" s="3053" t="s">
        <v>1905</v>
      </c>
      <c r="D167" s="1707">
        <v>75</v>
      </c>
      <c r="E167" s="1702" t="s">
        <v>2440</v>
      </c>
      <c r="F167" s="1682">
        <v>600</v>
      </c>
      <c r="G167" s="309">
        <f>IF(OR(B167="U",F167=0),0,  F167*POWER((1+'2. TaxData'!$I$65),(D167-'1. AgeData'!$D$30)))</f>
        <v>807.5210029944775</v>
      </c>
      <c r="H167" s="1701" t="s">
        <v>2443</v>
      </c>
      <c r="I167" s="3053" t="s">
        <v>1905</v>
      </c>
      <c r="J167" s="1707">
        <v>70</v>
      </c>
      <c r="K167" s="1702" t="s">
        <v>2442</v>
      </c>
      <c r="L167" s="1682">
        <v>750</v>
      </c>
      <c r="M167" s="310">
        <f>IF(OR(H167="U",L167=0),0,  L167*POWER((1+'2. TaxData'!$I$65),(J167-'1. AgeData'!$D$31)))</f>
        <v>1009.401253743097</v>
      </c>
    </row>
    <row r="168" spans="1:13" x14ac:dyDescent="0.25">
      <c r="A168" s="307">
        <v>3</v>
      </c>
      <c r="B168" s="1701" t="s">
        <v>2443</v>
      </c>
      <c r="C168" s="3053" t="s">
        <v>1905</v>
      </c>
      <c r="D168" s="1707">
        <v>70</v>
      </c>
      <c r="E168" s="1702" t="s">
        <v>2442</v>
      </c>
      <c r="F168" s="1682">
        <v>400</v>
      </c>
      <c r="G168" s="309">
        <f>IF(OR(B168="U",F168=0),0,  F168*POWER((1+'2. TaxData'!$I$65),(D168-'1. AgeData'!$D$30)))</f>
        <v>487.59776799790285</v>
      </c>
      <c r="H168" s="1701" t="s">
        <v>2444</v>
      </c>
      <c r="I168" s="3053" t="s">
        <v>1905</v>
      </c>
      <c r="J168" s="1707">
        <v>58</v>
      </c>
      <c r="K168" s="1702" t="s">
        <v>2448</v>
      </c>
      <c r="L168" s="1682">
        <v>1200</v>
      </c>
      <c r="M168" s="310">
        <f>IF(OR(H168="U",L168=0),0,  L168*POWER((1+'2. TaxData'!$I$65),(J168-'1. AgeData'!$D$31)))</f>
        <v>1273.4495999999999</v>
      </c>
    </row>
    <row r="169" spans="1:13" x14ac:dyDescent="0.25">
      <c r="A169" s="307">
        <v>4</v>
      </c>
      <c r="B169" s="1701" t="s">
        <v>2443</v>
      </c>
      <c r="C169" s="3053" t="s">
        <v>1905</v>
      </c>
      <c r="D169" s="1707">
        <v>75</v>
      </c>
      <c r="E169" s="1702" t="s">
        <v>2442</v>
      </c>
      <c r="F169" s="1682">
        <v>300</v>
      </c>
      <c r="G169" s="309">
        <f>IF(OR(B169="U",F169=0),0,  F169*POWER((1+'2. TaxData'!$I$65),(D169-'1. AgeData'!$D$30)))</f>
        <v>403.76050149723875</v>
      </c>
      <c r="H169" s="1704" t="s">
        <v>220</v>
      </c>
      <c r="I169" s="3053" t="s">
        <v>1905</v>
      </c>
      <c r="J169" s="1708">
        <v>0</v>
      </c>
      <c r="K169" s="1705"/>
      <c r="L169" s="1709">
        <v>0</v>
      </c>
      <c r="M169" s="310">
        <f>IF(OR(H169="U",L169=0),0,  L169*POWER((1+'2. TaxData'!$I$65),(J169-'1. AgeData'!$D$31)))</f>
        <v>0</v>
      </c>
    </row>
    <row r="170" spans="1:13" ht="36.75" x14ac:dyDescent="0.25">
      <c r="A170" s="307">
        <v>5</v>
      </c>
      <c r="B170" s="1701" t="s">
        <v>2444</v>
      </c>
      <c r="C170" s="3053" t="s">
        <v>1905</v>
      </c>
      <c r="D170" s="1707">
        <v>62</v>
      </c>
      <c r="E170" s="1702" t="s">
        <v>2447</v>
      </c>
      <c r="F170" s="1682">
        <v>1000</v>
      </c>
      <c r="G170" s="309">
        <f>IF(OR(B170="U",F170=0),0,  F170*POWER((1+'2. TaxData'!$I$65),(D170-'1. AgeData'!$D$30)))</f>
        <v>1040.4000000000001</v>
      </c>
      <c r="H170" s="1704" t="s">
        <v>220</v>
      </c>
      <c r="I170" s="3053" t="s">
        <v>1905</v>
      </c>
      <c r="J170" s="1708">
        <v>0</v>
      </c>
      <c r="K170" s="1705"/>
      <c r="L170" s="1709">
        <v>0</v>
      </c>
      <c r="M170" s="310">
        <f>IF(OR(H170="U",L170=0),0,  L170*POWER((1+'2. TaxData'!$I$65),(J170-'1. AgeData'!$D$31)))</f>
        <v>0</v>
      </c>
    </row>
    <row r="171" spans="1:13" x14ac:dyDescent="0.25">
      <c r="A171" s="307">
        <v>6</v>
      </c>
      <c r="B171" s="1701" t="s">
        <v>2444</v>
      </c>
      <c r="C171" s="3053" t="s">
        <v>1905</v>
      </c>
      <c r="D171" s="1707">
        <v>61</v>
      </c>
      <c r="E171" s="1702" t="s">
        <v>2448</v>
      </c>
      <c r="F171" s="1682">
        <v>500</v>
      </c>
      <c r="G171" s="309">
        <f>IF(OR(B171="U",F171=0),0,  F171*POWER((1+'2. TaxData'!$I$65),(D171-'1. AgeData'!$D$30)))</f>
        <v>510</v>
      </c>
      <c r="H171" s="1704" t="s">
        <v>220</v>
      </c>
      <c r="I171" s="3053" t="s">
        <v>1905</v>
      </c>
      <c r="J171" s="1708">
        <v>0</v>
      </c>
      <c r="K171" s="1705"/>
      <c r="L171" s="1709">
        <v>0</v>
      </c>
      <c r="M171" s="310">
        <f>IF(OR(H171="U",L171=0),0,  L171*POWER((1+'2. TaxData'!$I$65),(J171-'1. AgeData'!$D$31)))</f>
        <v>0</v>
      </c>
    </row>
    <row r="172" spans="1:13" x14ac:dyDescent="0.25">
      <c r="A172" s="307">
        <v>7</v>
      </c>
      <c r="B172" s="1701" t="s">
        <v>220</v>
      </c>
      <c r="C172" s="3053" t="s">
        <v>1905</v>
      </c>
      <c r="D172" s="1707">
        <v>0</v>
      </c>
      <c r="E172" s="1702"/>
      <c r="F172" s="1682">
        <v>0</v>
      </c>
      <c r="G172" s="309">
        <f>IF(OR(B172="U",F172=0),0,  F172*POWER((1+'2. TaxData'!$I$65),(D172-'1. AgeData'!$D$30)))</f>
        <v>0</v>
      </c>
      <c r="H172" s="1704" t="s">
        <v>220</v>
      </c>
      <c r="I172" s="3053" t="s">
        <v>1905</v>
      </c>
      <c r="J172" s="1708">
        <v>0</v>
      </c>
      <c r="K172" s="1705"/>
      <c r="L172" s="1709">
        <v>0</v>
      </c>
      <c r="M172" s="310">
        <f>IF(OR(H172="U",L172=0),0,  L172*POWER((1+'2. TaxData'!$I$65),(J172-'1. AgeData'!$D$31)))</f>
        <v>0</v>
      </c>
    </row>
    <row r="173" spans="1:13" x14ac:dyDescent="0.25">
      <c r="A173" s="307">
        <v>8</v>
      </c>
      <c r="B173" s="1701" t="s">
        <v>220</v>
      </c>
      <c r="C173" s="3053" t="s">
        <v>1905</v>
      </c>
      <c r="D173" s="1708">
        <v>0</v>
      </c>
      <c r="E173" s="1705"/>
      <c r="F173" s="1709">
        <v>0</v>
      </c>
      <c r="G173" s="309">
        <f>IF(OR(B173="U",F173=0),0,  F173*POWER((1+'2. TaxData'!$I$65),(D173-'1. AgeData'!$D$30)))</f>
        <v>0</v>
      </c>
      <c r="H173" s="1704" t="s">
        <v>220</v>
      </c>
      <c r="I173" s="3053" t="s">
        <v>1905</v>
      </c>
      <c r="J173" s="1708">
        <v>0</v>
      </c>
      <c r="K173" s="1705"/>
      <c r="L173" s="1709">
        <v>0</v>
      </c>
      <c r="M173" s="310">
        <f>IF(OR(H173="U",L173=0),0,  L173*POWER((1+'2. TaxData'!$I$65),(J173-'1. AgeData'!$D$31)))</f>
        <v>0</v>
      </c>
    </row>
    <row r="174" spans="1:13" x14ac:dyDescent="0.25">
      <c r="A174" s="307">
        <v>9</v>
      </c>
      <c r="B174" s="1701" t="s">
        <v>220</v>
      </c>
      <c r="C174" s="3053" t="s">
        <v>1905</v>
      </c>
      <c r="D174" s="1708">
        <v>0</v>
      </c>
      <c r="E174" s="1705"/>
      <c r="F174" s="1709">
        <v>0</v>
      </c>
      <c r="G174" s="309">
        <f>IF(OR(B174="U",F174=0),0,  F174*POWER((1+'2. TaxData'!$I$65),(D174-'1. AgeData'!$D$30)))</f>
        <v>0</v>
      </c>
      <c r="H174" s="1704" t="s">
        <v>220</v>
      </c>
      <c r="I174" s="3053" t="s">
        <v>1905</v>
      </c>
      <c r="J174" s="1708">
        <v>0</v>
      </c>
      <c r="K174" s="1705"/>
      <c r="L174" s="1709">
        <v>0</v>
      </c>
      <c r="M174" s="310">
        <f>IF(OR(H174="U",L174=0),0,  L174*POWER((1+'2. TaxData'!$I$65),(J174-'1. AgeData'!$D$31)))</f>
        <v>0</v>
      </c>
    </row>
    <row r="175" spans="1:13" x14ac:dyDescent="0.25">
      <c r="A175" s="307">
        <v>10</v>
      </c>
      <c r="B175" s="1701" t="s">
        <v>220</v>
      </c>
      <c r="C175" s="3053" t="s">
        <v>1905</v>
      </c>
      <c r="D175" s="1708">
        <v>0</v>
      </c>
      <c r="E175" s="1705"/>
      <c r="F175" s="1709">
        <v>0</v>
      </c>
      <c r="G175" s="309">
        <f>IF(OR(B175="U",F175=0),0,  F175*POWER((1+'2. TaxData'!$I$65),(D175-'1. AgeData'!$D$30)))</f>
        <v>0</v>
      </c>
      <c r="H175" s="1704" t="s">
        <v>220</v>
      </c>
      <c r="I175" s="3053" t="s">
        <v>1905</v>
      </c>
      <c r="J175" s="1708">
        <v>0</v>
      </c>
      <c r="K175" s="1705"/>
      <c r="L175" s="1709">
        <v>0</v>
      </c>
      <c r="M175" s="310">
        <f>IF(OR(H175="U",L175=0),0,  L175*POWER((1+'2. TaxData'!$I$65),(J175-'1. AgeData'!$D$31)))</f>
        <v>0</v>
      </c>
    </row>
    <row r="176" spans="1:13" x14ac:dyDescent="0.25">
      <c r="A176" s="307">
        <v>11</v>
      </c>
      <c r="B176" s="1701" t="s">
        <v>220</v>
      </c>
      <c r="C176" s="3053" t="s">
        <v>1905</v>
      </c>
      <c r="D176" s="1708">
        <v>0</v>
      </c>
      <c r="E176" s="1705"/>
      <c r="F176" s="1709">
        <v>0</v>
      </c>
      <c r="G176" s="309">
        <f>IF(OR(B176="U",F176=0),0,  F176*POWER((1+'2. TaxData'!$I$65),(D176-'1. AgeData'!$D$30)))</f>
        <v>0</v>
      </c>
      <c r="H176" s="1704" t="s">
        <v>220</v>
      </c>
      <c r="I176" s="3053" t="s">
        <v>1905</v>
      </c>
      <c r="J176" s="1708">
        <v>0</v>
      </c>
      <c r="K176" s="1705"/>
      <c r="L176" s="1709">
        <v>0</v>
      </c>
      <c r="M176" s="310">
        <f>IF(OR(H176="U",L176=0),0,  L176*POWER((1+'2. TaxData'!$I$65),(J176-'1. AgeData'!$D$31)))</f>
        <v>0</v>
      </c>
    </row>
    <row r="177" spans="1:13" x14ac:dyDescent="0.25">
      <c r="A177" s="307">
        <v>12</v>
      </c>
      <c r="B177" s="1701" t="s">
        <v>220</v>
      </c>
      <c r="C177" s="3053" t="s">
        <v>1905</v>
      </c>
      <c r="D177" s="1708">
        <v>0</v>
      </c>
      <c r="E177" s="1705"/>
      <c r="F177" s="1709">
        <v>0</v>
      </c>
      <c r="G177" s="309">
        <f>IF(OR(B177="U",F177=0),0,  F177*POWER((1+'2. TaxData'!$I$65),(D177-'1. AgeData'!$D$30)))</f>
        <v>0</v>
      </c>
      <c r="H177" s="1704" t="s">
        <v>220</v>
      </c>
      <c r="I177" s="3053" t="s">
        <v>1905</v>
      </c>
      <c r="J177" s="1708">
        <v>0</v>
      </c>
      <c r="K177" s="1705"/>
      <c r="L177" s="1709">
        <v>0</v>
      </c>
      <c r="M177" s="310">
        <f>IF(OR(H177="U",L177=0),0,  L177*POWER((1+'2. TaxData'!$I$65),(J177-'1. AgeData'!$D$31)))</f>
        <v>0</v>
      </c>
    </row>
    <row r="178" spans="1:13" x14ac:dyDescent="0.25">
      <c r="A178" s="307">
        <v>13</v>
      </c>
      <c r="B178" s="1701" t="s">
        <v>220</v>
      </c>
      <c r="C178" s="3053" t="s">
        <v>1905</v>
      </c>
      <c r="D178" s="1708">
        <v>0</v>
      </c>
      <c r="E178" s="1705"/>
      <c r="F178" s="1709">
        <v>0</v>
      </c>
      <c r="G178" s="309">
        <f>IF(OR(B178="U",F178=0),0,  F178*POWER((1+'2. TaxData'!$I$65),(D178-'1. AgeData'!$D$30)))</f>
        <v>0</v>
      </c>
      <c r="H178" s="1704" t="s">
        <v>220</v>
      </c>
      <c r="I178" s="3053" t="s">
        <v>1905</v>
      </c>
      <c r="J178" s="1708">
        <v>0</v>
      </c>
      <c r="K178" s="1705"/>
      <c r="L178" s="1709">
        <v>0</v>
      </c>
      <c r="M178" s="310">
        <f>IF(OR(H178="U",L178=0),0,  L178*POWER((1+'2. TaxData'!$I$65),(J178-'1. AgeData'!$D$31)))</f>
        <v>0</v>
      </c>
    </row>
    <row r="179" spans="1:13" x14ac:dyDescent="0.25">
      <c r="A179" s="307">
        <v>14</v>
      </c>
      <c r="B179" s="1701" t="s">
        <v>220</v>
      </c>
      <c r="C179" s="3053" t="s">
        <v>1905</v>
      </c>
      <c r="D179" s="1708">
        <v>0</v>
      </c>
      <c r="E179" s="1705"/>
      <c r="F179" s="1709">
        <v>0</v>
      </c>
      <c r="G179" s="309">
        <f>IF(OR(B179="U",F179=0),0,  F179*POWER((1+'2. TaxData'!$I$65),(D179-'1. AgeData'!$D$30)))</f>
        <v>0</v>
      </c>
      <c r="H179" s="1704" t="s">
        <v>220</v>
      </c>
      <c r="I179" s="3053" t="s">
        <v>1905</v>
      </c>
      <c r="J179" s="1708">
        <v>0</v>
      </c>
      <c r="K179" s="1705"/>
      <c r="L179" s="1709">
        <v>0</v>
      </c>
      <c r="M179" s="310">
        <f>IF(OR(H179="U",L179=0),0,  L179*POWER((1+'2. TaxData'!$I$65),(J179-'1. AgeData'!$D$31)))</f>
        <v>0</v>
      </c>
    </row>
    <row r="180" spans="1:13" x14ac:dyDescent="0.25">
      <c r="A180" s="307">
        <v>15</v>
      </c>
      <c r="B180" s="1701" t="s">
        <v>220</v>
      </c>
      <c r="C180" s="3053" t="s">
        <v>1905</v>
      </c>
      <c r="D180" s="1708">
        <v>0</v>
      </c>
      <c r="E180" s="1705"/>
      <c r="F180" s="1709">
        <v>0</v>
      </c>
      <c r="G180" s="309">
        <f>IF(OR(B180="U",F180=0),0,  F180*POWER((1+'2. TaxData'!$I$65),(D180-'1. AgeData'!$D$30)))</f>
        <v>0</v>
      </c>
      <c r="H180" s="1704" t="s">
        <v>220</v>
      </c>
      <c r="I180" s="3053" t="s">
        <v>1905</v>
      </c>
      <c r="J180" s="1708">
        <v>0</v>
      </c>
      <c r="K180" s="1705"/>
      <c r="L180" s="1709">
        <v>0</v>
      </c>
      <c r="M180" s="310">
        <f>IF(OR(H180="U",L180=0),0,  L180*POWER((1+'2. TaxData'!$I$65),(J180-'1. AgeData'!$D$31)))</f>
        <v>0</v>
      </c>
    </row>
    <row r="181" spans="1:13" x14ac:dyDescent="0.25">
      <c r="A181" s="307">
        <v>16</v>
      </c>
      <c r="B181" s="1701" t="s">
        <v>220</v>
      </c>
      <c r="C181" s="3053" t="s">
        <v>1905</v>
      </c>
      <c r="D181" s="1708">
        <v>0</v>
      </c>
      <c r="E181" s="1705"/>
      <c r="F181" s="1709">
        <v>0</v>
      </c>
      <c r="G181" s="309">
        <f>IF(OR(B181="U",F181=0),0,  F181*POWER((1+'2. TaxData'!$I$65),(D181-'1. AgeData'!$D$30)))</f>
        <v>0</v>
      </c>
      <c r="H181" s="1704" t="s">
        <v>220</v>
      </c>
      <c r="I181" s="3053" t="s">
        <v>1905</v>
      </c>
      <c r="J181" s="1708">
        <v>0</v>
      </c>
      <c r="K181" s="1705"/>
      <c r="L181" s="1709">
        <v>0</v>
      </c>
      <c r="M181" s="310">
        <f>IF(OR(H181="U",L181=0),0,  L181*POWER((1+'2. TaxData'!$I$65),(J181-'1. AgeData'!$D$31)))</f>
        <v>0</v>
      </c>
    </row>
    <row r="182" spans="1:13" x14ac:dyDescent="0.25">
      <c r="A182" s="307">
        <v>17</v>
      </c>
      <c r="B182" s="1701" t="s">
        <v>220</v>
      </c>
      <c r="C182" s="3053" t="s">
        <v>1905</v>
      </c>
      <c r="D182" s="1708">
        <v>0</v>
      </c>
      <c r="E182" s="1705"/>
      <c r="F182" s="1709">
        <v>0</v>
      </c>
      <c r="G182" s="309">
        <f>IF(OR(B182="U",F182=0),0,  F182*POWER((1+'2. TaxData'!$I$65),(D182-'1. AgeData'!$D$30)))</f>
        <v>0</v>
      </c>
      <c r="H182" s="1704" t="s">
        <v>220</v>
      </c>
      <c r="I182" s="3053" t="s">
        <v>1905</v>
      </c>
      <c r="J182" s="1708">
        <v>0</v>
      </c>
      <c r="K182" s="1705"/>
      <c r="L182" s="1709">
        <v>0</v>
      </c>
      <c r="M182" s="310">
        <f>IF(OR(H182="U",L182=0),0,  L182*POWER((1+'2. TaxData'!$I$65),(J182-'1. AgeData'!$D$31)))</f>
        <v>0</v>
      </c>
    </row>
    <row r="183" spans="1:13" x14ac:dyDescent="0.25">
      <c r="A183" s="307">
        <v>18</v>
      </c>
      <c r="B183" s="1701" t="s">
        <v>220</v>
      </c>
      <c r="C183" s="3053" t="s">
        <v>1905</v>
      </c>
      <c r="D183" s="1708">
        <v>0</v>
      </c>
      <c r="E183" s="1705"/>
      <c r="F183" s="1709">
        <v>0</v>
      </c>
      <c r="G183" s="309">
        <f>IF(OR(B183="U",F183=0),0,  F183*POWER((1+'2. TaxData'!$I$65),(D183-'1. AgeData'!$D$30)))</f>
        <v>0</v>
      </c>
      <c r="H183" s="1704" t="s">
        <v>220</v>
      </c>
      <c r="I183" s="3053" t="s">
        <v>1905</v>
      </c>
      <c r="J183" s="1708">
        <v>0</v>
      </c>
      <c r="K183" s="1705"/>
      <c r="L183" s="1709">
        <v>0</v>
      </c>
      <c r="M183" s="310">
        <f>IF(OR(H183="U",L183=0),0,  L183*POWER((1+'2. TaxData'!$I$65),(J183-'1. AgeData'!$D$31)))</f>
        <v>0</v>
      </c>
    </row>
    <row r="184" spans="1:13" x14ac:dyDescent="0.25">
      <c r="A184" s="307">
        <v>19</v>
      </c>
      <c r="B184" s="1701" t="s">
        <v>220</v>
      </c>
      <c r="C184" s="3053" t="s">
        <v>1905</v>
      </c>
      <c r="D184" s="1708">
        <v>0</v>
      </c>
      <c r="E184" s="1705"/>
      <c r="F184" s="1709">
        <v>0</v>
      </c>
      <c r="G184" s="309">
        <f>IF(OR(B184="U",F184=0),0,  F184*POWER((1+'2. TaxData'!$I$65),(D184-'1. AgeData'!$D$30)))</f>
        <v>0</v>
      </c>
      <c r="H184" s="1704" t="s">
        <v>220</v>
      </c>
      <c r="I184" s="3053" t="s">
        <v>1905</v>
      </c>
      <c r="J184" s="1708">
        <v>0</v>
      </c>
      <c r="K184" s="1705"/>
      <c r="L184" s="1709">
        <v>0</v>
      </c>
      <c r="M184" s="310">
        <f>IF(OR(H184="U",L184=0),0,  L184*POWER((1+'2. TaxData'!$I$65),(J184-'1. AgeData'!$D$31)))</f>
        <v>0</v>
      </c>
    </row>
    <row r="185" spans="1:13" x14ac:dyDescent="0.25">
      <c r="A185" s="307">
        <v>20</v>
      </c>
      <c r="B185" s="1701" t="s">
        <v>220</v>
      </c>
      <c r="C185" s="3053" t="s">
        <v>1905</v>
      </c>
      <c r="D185" s="1708">
        <v>0</v>
      </c>
      <c r="E185" s="1705"/>
      <c r="F185" s="1709">
        <v>0</v>
      </c>
      <c r="G185" s="309">
        <f>IF(OR(B185="U",F185=0),0,  F185*POWER((1+'2. TaxData'!$I$65),(D185-'1. AgeData'!$D$30)))</f>
        <v>0</v>
      </c>
      <c r="H185" s="1704" t="s">
        <v>220</v>
      </c>
      <c r="I185" s="3053" t="s">
        <v>1905</v>
      </c>
      <c r="J185" s="1708">
        <v>0</v>
      </c>
      <c r="K185" s="1705"/>
      <c r="L185" s="1709">
        <v>0</v>
      </c>
      <c r="M185" s="310">
        <f>IF(OR(H185="U",L185=0),0,  L185*POWER((1+'2. TaxData'!$I$65),(J185-'1. AgeData'!$D$31)))</f>
        <v>0</v>
      </c>
    </row>
    <row r="186" spans="1:13" x14ac:dyDescent="0.25">
      <c r="A186" s="307">
        <v>21</v>
      </c>
      <c r="B186" s="1701" t="s">
        <v>220</v>
      </c>
      <c r="C186" s="3053" t="s">
        <v>1905</v>
      </c>
      <c r="D186" s="1708">
        <v>0</v>
      </c>
      <c r="E186" s="1705"/>
      <c r="F186" s="1709">
        <v>0</v>
      </c>
      <c r="G186" s="309">
        <f>IF(OR(B186="U",F186=0),0,  F186*POWER((1+'2. TaxData'!$I$65),(D186-'1. AgeData'!$D$30)))</f>
        <v>0</v>
      </c>
      <c r="H186" s="1704" t="s">
        <v>220</v>
      </c>
      <c r="I186" s="3053" t="s">
        <v>1905</v>
      </c>
      <c r="J186" s="1708">
        <v>0</v>
      </c>
      <c r="K186" s="1705"/>
      <c r="L186" s="1709">
        <v>0</v>
      </c>
      <c r="M186" s="310">
        <f>IF(OR(H186="U",L186=0),0,  L186*POWER((1+'2. TaxData'!$I$65),(J186-'1. AgeData'!$D$31)))</f>
        <v>0</v>
      </c>
    </row>
    <row r="187" spans="1:13" x14ac:dyDescent="0.25">
      <c r="A187" s="307">
        <v>22</v>
      </c>
      <c r="B187" s="1701" t="s">
        <v>220</v>
      </c>
      <c r="C187" s="3053" t="s">
        <v>1905</v>
      </c>
      <c r="D187" s="1708">
        <v>0</v>
      </c>
      <c r="E187" s="1705"/>
      <c r="F187" s="1709">
        <v>0</v>
      </c>
      <c r="G187" s="309">
        <f>IF(OR(B187="U",F187=0),0,  F187*POWER((1+'2. TaxData'!$I$65),(D187-'1. AgeData'!$D$30)))</f>
        <v>0</v>
      </c>
      <c r="H187" s="1704" t="s">
        <v>220</v>
      </c>
      <c r="I187" s="3053" t="s">
        <v>1905</v>
      </c>
      <c r="J187" s="1708">
        <v>0</v>
      </c>
      <c r="K187" s="1705"/>
      <c r="L187" s="1709">
        <v>0</v>
      </c>
      <c r="M187" s="310">
        <f>IF(OR(H187="U",L187=0),0,  L187*POWER((1+'2. TaxData'!$I$65),(J187-'1. AgeData'!$D$31)))</f>
        <v>0</v>
      </c>
    </row>
    <row r="188" spans="1:13" x14ac:dyDescent="0.25">
      <c r="A188" s="307">
        <v>23</v>
      </c>
      <c r="B188" s="1701" t="s">
        <v>220</v>
      </c>
      <c r="C188" s="3053" t="s">
        <v>1905</v>
      </c>
      <c r="D188" s="1708">
        <v>0</v>
      </c>
      <c r="E188" s="1705"/>
      <c r="F188" s="1709">
        <v>0</v>
      </c>
      <c r="G188" s="309">
        <f>IF(OR(B188="U",F188=0),0,  F188*POWER((1+'2. TaxData'!$I$65),(D188-'1. AgeData'!$D$30)))</f>
        <v>0</v>
      </c>
      <c r="H188" s="1704" t="s">
        <v>220</v>
      </c>
      <c r="I188" s="3053" t="s">
        <v>1905</v>
      </c>
      <c r="J188" s="1708">
        <v>0</v>
      </c>
      <c r="K188" s="1705"/>
      <c r="L188" s="1709">
        <v>0</v>
      </c>
      <c r="M188" s="310">
        <f>IF(OR(H188="U",L188=0),0,  L188*POWER((1+'2. TaxData'!$I$65),(J188-'1. AgeData'!$D$31)))</f>
        <v>0</v>
      </c>
    </row>
    <row r="189" spans="1:13" x14ac:dyDescent="0.25">
      <c r="A189" s="307">
        <v>24</v>
      </c>
      <c r="B189" s="1701" t="s">
        <v>220</v>
      </c>
      <c r="C189" s="3053" t="s">
        <v>1905</v>
      </c>
      <c r="D189" s="1708">
        <v>0</v>
      </c>
      <c r="E189" s="1705"/>
      <c r="F189" s="1709">
        <v>0</v>
      </c>
      <c r="G189" s="309">
        <f>IF(OR(B189="U",F189=0),0,  F189*POWER((1+'2. TaxData'!$I$65),(D189-'1. AgeData'!$D$30)))</f>
        <v>0</v>
      </c>
      <c r="H189" s="1704" t="s">
        <v>220</v>
      </c>
      <c r="I189" s="3053" t="s">
        <v>1905</v>
      </c>
      <c r="J189" s="1708">
        <v>0</v>
      </c>
      <c r="K189" s="1705"/>
      <c r="L189" s="1709">
        <v>0</v>
      </c>
      <c r="M189" s="310">
        <f>IF(OR(H189="U",L189=0),0,  L189*POWER((1+'2. TaxData'!$I$65),(J189-'1. AgeData'!$D$31)))</f>
        <v>0</v>
      </c>
    </row>
    <row r="190" spans="1:13" x14ac:dyDescent="0.25">
      <c r="A190" s="307">
        <v>25</v>
      </c>
      <c r="B190" s="1701" t="s">
        <v>220</v>
      </c>
      <c r="C190" s="3053" t="s">
        <v>1905</v>
      </c>
      <c r="D190" s="1708">
        <v>0</v>
      </c>
      <c r="E190" s="1705"/>
      <c r="F190" s="1709">
        <v>0</v>
      </c>
      <c r="G190" s="309">
        <f>IF(OR(B190="U",F190=0),0,  F190*POWER((1+'2. TaxData'!$I$65),(D190-'1. AgeData'!$D$30)))</f>
        <v>0</v>
      </c>
      <c r="H190" s="1704" t="s">
        <v>220</v>
      </c>
      <c r="I190" s="3053" t="s">
        <v>1905</v>
      </c>
      <c r="J190" s="1708">
        <v>0</v>
      </c>
      <c r="K190" s="1705"/>
      <c r="L190" s="1709">
        <v>0</v>
      </c>
      <c r="M190" s="310">
        <f>IF(OR(H190="U",L190=0),0,  L190*POWER((1+'2. TaxData'!$I$65),(J190-'1. AgeData'!$D$31)))</f>
        <v>0</v>
      </c>
    </row>
    <row r="191" spans="1:13" x14ac:dyDescent="0.25">
      <c r="A191" s="307">
        <v>26</v>
      </c>
      <c r="B191" s="1701" t="s">
        <v>220</v>
      </c>
      <c r="C191" s="3053" t="s">
        <v>1905</v>
      </c>
      <c r="D191" s="1708">
        <v>0</v>
      </c>
      <c r="E191" s="1705"/>
      <c r="F191" s="1709">
        <v>0</v>
      </c>
      <c r="G191" s="309">
        <f>IF(OR(B191="U",F191=0),0,  F191*POWER((1+'2. TaxData'!$I$65),(D191-'1. AgeData'!$D$30)))</f>
        <v>0</v>
      </c>
      <c r="H191" s="1704" t="s">
        <v>220</v>
      </c>
      <c r="I191" s="3053" t="s">
        <v>1905</v>
      </c>
      <c r="J191" s="1708">
        <v>0</v>
      </c>
      <c r="K191" s="1705"/>
      <c r="L191" s="1709">
        <v>0</v>
      </c>
      <c r="M191" s="310">
        <f>IF(OR(H191="U",L191=0),0,  L191*POWER((1+'2. TaxData'!$I$65),(J191-'1. AgeData'!$D$31)))</f>
        <v>0</v>
      </c>
    </row>
    <row r="192" spans="1:13" x14ac:dyDescent="0.25">
      <c r="A192" s="307">
        <v>27</v>
      </c>
      <c r="B192" s="1701" t="s">
        <v>220</v>
      </c>
      <c r="C192" s="3053" t="s">
        <v>1905</v>
      </c>
      <c r="D192" s="1708">
        <v>0</v>
      </c>
      <c r="E192" s="1705"/>
      <c r="F192" s="1709">
        <v>0</v>
      </c>
      <c r="G192" s="309">
        <f>IF(OR(B192="U",F192=0),0,  F192*POWER((1+'2. TaxData'!$I$65),(D192-'1. AgeData'!$D$30)))</f>
        <v>0</v>
      </c>
      <c r="H192" s="1704" t="s">
        <v>220</v>
      </c>
      <c r="I192" s="3053" t="s">
        <v>1905</v>
      </c>
      <c r="J192" s="1708">
        <v>0</v>
      </c>
      <c r="K192" s="1705"/>
      <c r="L192" s="1709">
        <v>0</v>
      </c>
      <c r="M192" s="310">
        <f>IF(OR(H192="U",L192=0),0,  L192*POWER((1+'2. TaxData'!$I$65),(J192-'1. AgeData'!$D$31)))</f>
        <v>0</v>
      </c>
    </row>
    <row r="193" spans="1:13" x14ac:dyDescent="0.25">
      <c r="A193" s="307">
        <v>28</v>
      </c>
      <c r="B193" s="1701" t="s">
        <v>220</v>
      </c>
      <c r="C193" s="3053" t="s">
        <v>1905</v>
      </c>
      <c r="D193" s="1708">
        <v>0</v>
      </c>
      <c r="E193" s="1705"/>
      <c r="F193" s="1709">
        <v>0</v>
      </c>
      <c r="G193" s="309">
        <f>IF(OR(B193="U",F193=0),0,  F193*POWER((1+'2. TaxData'!$I$65),(D193-'1. AgeData'!$D$30)))</f>
        <v>0</v>
      </c>
      <c r="H193" s="1704" t="s">
        <v>220</v>
      </c>
      <c r="I193" s="3053" t="s">
        <v>1905</v>
      </c>
      <c r="J193" s="1708">
        <v>0</v>
      </c>
      <c r="K193" s="1705"/>
      <c r="L193" s="1709">
        <v>0</v>
      </c>
      <c r="M193" s="310">
        <f>IF(OR(H193="U",L193=0),0,  L193*POWER((1+'2. TaxData'!$I$65),(J193-'1. AgeData'!$D$31)))</f>
        <v>0</v>
      </c>
    </row>
    <row r="194" spans="1:13" x14ac:dyDescent="0.25">
      <c r="A194" s="307">
        <v>29</v>
      </c>
      <c r="B194" s="1701" t="s">
        <v>220</v>
      </c>
      <c r="C194" s="3053" t="s">
        <v>1905</v>
      </c>
      <c r="D194" s="1708">
        <v>0</v>
      </c>
      <c r="E194" s="1705"/>
      <c r="F194" s="1709">
        <v>0</v>
      </c>
      <c r="G194" s="309">
        <f>IF(OR(B194="U",F194=0),0,  F194*POWER((1+'2. TaxData'!$I$65),(D194-'1. AgeData'!$D$30)))</f>
        <v>0</v>
      </c>
      <c r="H194" s="1704" t="s">
        <v>220</v>
      </c>
      <c r="I194" s="3053" t="s">
        <v>1905</v>
      </c>
      <c r="J194" s="1708">
        <v>0</v>
      </c>
      <c r="K194" s="1705"/>
      <c r="L194" s="1709">
        <v>0</v>
      </c>
      <c r="M194" s="310">
        <f>IF(OR(H194="U",L194=0),0,  L194*POWER((1+'2. TaxData'!$I$65),(J194-'1. AgeData'!$D$31)))</f>
        <v>0</v>
      </c>
    </row>
    <row r="195" spans="1:13" x14ac:dyDescent="0.25">
      <c r="A195" s="307">
        <v>30</v>
      </c>
      <c r="B195" s="1701" t="s">
        <v>220</v>
      </c>
      <c r="C195" s="3053" t="s">
        <v>1905</v>
      </c>
      <c r="D195" s="1708">
        <v>0</v>
      </c>
      <c r="E195" s="1705"/>
      <c r="F195" s="1709">
        <v>0</v>
      </c>
      <c r="G195" s="309">
        <f>IF(OR(B195="U",F195=0),0,  F195*POWER((1+'2. TaxData'!$I$65),(D195-'1. AgeData'!$D$30)))</f>
        <v>0</v>
      </c>
      <c r="H195" s="1704" t="s">
        <v>220</v>
      </c>
      <c r="I195" s="3053" t="s">
        <v>1905</v>
      </c>
      <c r="J195" s="1708">
        <v>0</v>
      </c>
      <c r="K195" s="1705"/>
      <c r="L195" s="1709">
        <v>0</v>
      </c>
      <c r="M195" s="310">
        <f>IF(OR(H195="U",L195=0),0,  L195*POWER((1+'2. TaxData'!$I$65),(J195-'1. AgeData'!$D$31)))</f>
        <v>0</v>
      </c>
    </row>
    <row r="196" spans="1:13" x14ac:dyDescent="0.25">
      <c r="A196" s="307">
        <v>31</v>
      </c>
      <c r="B196" s="1701" t="s">
        <v>220</v>
      </c>
      <c r="C196" s="3053" t="s">
        <v>1905</v>
      </c>
      <c r="D196" s="1708">
        <v>0</v>
      </c>
      <c r="E196" s="1705"/>
      <c r="F196" s="1709">
        <v>0</v>
      </c>
      <c r="G196" s="309">
        <f>IF(OR(B196="U",F196=0),0,  F196*POWER((1+'2. TaxData'!$I$65),(D196-'1. AgeData'!$D$30)))</f>
        <v>0</v>
      </c>
      <c r="H196" s="1704" t="s">
        <v>220</v>
      </c>
      <c r="I196" s="3053" t="s">
        <v>1905</v>
      </c>
      <c r="J196" s="1708">
        <v>0</v>
      </c>
      <c r="K196" s="1705"/>
      <c r="L196" s="1709">
        <v>0</v>
      </c>
      <c r="M196" s="310">
        <f>IF(OR(H196="U",L196=0),0,  L196*POWER((1+'2. TaxData'!$I$65),(J196-'1. AgeData'!$D$31)))</f>
        <v>0</v>
      </c>
    </row>
    <row r="197" spans="1:13" x14ac:dyDescent="0.25">
      <c r="A197" s="307">
        <v>32</v>
      </c>
      <c r="B197" s="1701" t="s">
        <v>220</v>
      </c>
      <c r="C197" s="3053" t="s">
        <v>1905</v>
      </c>
      <c r="D197" s="1708">
        <v>0</v>
      </c>
      <c r="E197" s="1705"/>
      <c r="F197" s="1709">
        <v>0</v>
      </c>
      <c r="G197" s="309">
        <f>IF(OR(B197="U",F197=0),0,  F197*POWER((1+'2. TaxData'!$I$65),(D197-'1. AgeData'!$D$30)))</f>
        <v>0</v>
      </c>
      <c r="H197" s="1704" t="s">
        <v>220</v>
      </c>
      <c r="I197" s="3053" t="s">
        <v>1905</v>
      </c>
      <c r="J197" s="1708">
        <v>0</v>
      </c>
      <c r="K197" s="1705"/>
      <c r="L197" s="1709">
        <v>0</v>
      </c>
      <c r="M197" s="310">
        <f>IF(OR(H197="U",L197=0),0,  L197*POWER((1+'2. TaxData'!$I$65),(J197-'1. AgeData'!$D$31)))</f>
        <v>0</v>
      </c>
    </row>
    <row r="198" spans="1:13" x14ac:dyDescent="0.25">
      <c r="A198" s="307">
        <v>33</v>
      </c>
      <c r="B198" s="1701" t="s">
        <v>220</v>
      </c>
      <c r="C198" s="3053" t="s">
        <v>1905</v>
      </c>
      <c r="D198" s="1708">
        <v>0</v>
      </c>
      <c r="E198" s="1705"/>
      <c r="F198" s="1709">
        <v>0</v>
      </c>
      <c r="G198" s="309">
        <f>IF(OR(B198="U",F198=0),0,  F198*POWER((1+'2. TaxData'!$I$65),(D198-'1. AgeData'!$D$30)))</f>
        <v>0</v>
      </c>
      <c r="H198" s="1704" t="s">
        <v>220</v>
      </c>
      <c r="I198" s="3053" t="s">
        <v>1905</v>
      </c>
      <c r="J198" s="1708">
        <v>0</v>
      </c>
      <c r="K198" s="1705"/>
      <c r="L198" s="1709">
        <v>0</v>
      </c>
      <c r="M198" s="310">
        <f>IF(OR(H198="U",L198=0),0,  L198*POWER((1+'2. TaxData'!$I$65),(J198-'1. AgeData'!$D$31)))</f>
        <v>0</v>
      </c>
    </row>
    <row r="199" spans="1:13" x14ac:dyDescent="0.25">
      <c r="A199" s="307">
        <v>34</v>
      </c>
      <c r="B199" s="1701" t="s">
        <v>220</v>
      </c>
      <c r="C199" s="3053" t="s">
        <v>1905</v>
      </c>
      <c r="D199" s="1708">
        <v>0</v>
      </c>
      <c r="E199" s="1705"/>
      <c r="F199" s="1709">
        <v>0</v>
      </c>
      <c r="G199" s="309">
        <f>IF(OR(B199="U",F199=0),0,  F199*POWER((1+'2. TaxData'!$I$65),(D199-'1. AgeData'!$D$30)))</f>
        <v>0</v>
      </c>
      <c r="H199" s="1704" t="s">
        <v>220</v>
      </c>
      <c r="I199" s="3053" t="s">
        <v>1905</v>
      </c>
      <c r="J199" s="1708">
        <v>0</v>
      </c>
      <c r="K199" s="1705"/>
      <c r="L199" s="1709">
        <v>0</v>
      </c>
      <c r="M199" s="310">
        <f>IF(OR(H199="U",L199=0),0,  L199*POWER((1+'2. TaxData'!$I$65),(J199-'1. AgeData'!$D$31)))</f>
        <v>0</v>
      </c>
    </row>
    <row r="200" spans="1:13" x14ac:dyDescent="0.25">
      <c r="A200" s="307">
        <v>35</v>
      </c>
      <c r="B200" s="1701" t="s">
        <v>220</v>
      </c>
      <c r="C200" s="3053" t="s">
        <v>1905</v>
      </c>
      <c r="D200" s="1708">
        <v>0</v>
      </c>
      <c r="E200" s="1705"/>
      <c r="F200" s="1709">
        <v>0</v>
      </c>
      <c r="G200" s="309">
        <f>IF(OR(B200="U",F200=0),0,  F200*POWER((1+'2. TaxData'!$I$65),(D200-'1. AgeData'!$D$30)))</f>
        <v>0</v>
      </c>
      <c r="H200" s="1704" t="s">
        <v>220</v>
      </c>
      <c r="I200" s="3053" t="s">
        <v>1905</v>
      </c>
      <c r="J200" s="1708">
        <v>0</v>
      </c>
      <c r="K200" s="1705"/>
      <c r="L200" s="1709">
        <v>0</v>
      </c>
      <c r="M200" s="310">
        <f>IF(OR(H200="U",L200=0),0,  L200*POWER((1+'2. TaxData'!$I$65),(J200-'1. AgeData'!$D$31)))</f>
        <v>0</v>
      </c>
    </row>
    <row r="201" spans="1:13" x14ac:dyDescent="0.25">
      <c r="A201" s="307">
        <v>36</v>
      </c>
      <c r="B201" s="1701" t="s">
        <v>220</v>
      </c>
      <c r="C201" s="3053" t="s">
        <v>1905</v>
      </c>
      <c r="D201" s="1708">
        <v>0</v>
      </c>
      <c r="E201" s="1705"/>
      <c r="F201" s="1709">
        <v>0</v>
      </c>
      <c r="G201" s="309">
        <f>IF(OR(B201="U",F201=0),0,  F201*POWER((1+'2. TaxData'!$I$65),(D201-'1. AgeData'!$D$30)))</f>
        <v>0</v>
      </c>
      <c r="H201" s="1704" t="s">
        <v>220</v>
      </c>
      <c r="I201" s="3053" t="s">
        <v>1905</v>
      </c>
      <c r="J201" s="1708">
        <v>0</v>
      </c>
      <c r="K201" s="1705"/>
      <c r="L201" s="1709">
        <v>0</v>
      </c>
      <c r="M201" s="310">
        <f>IF(OR(H201="U",L201=0),0,  L201*POWER((1+'2. TaxData'!$I$65),(J201-'1. AgeData'!$D$31)))</f>
        <v>0</v>
      </c>
    </row>
    <row r="202" spans="1:13" x14ac:dyDescent="0.25">
      <c r="A202" s="307">
        <v>37</v>
      </c>
      <c r="B202" s="1701" t="s">
        <v>220</v>
      </c>
      <c r="C202" s="3053" t="s">
        <v>1905</v>
      </c>
      <c r="D202" s="1708">
        <v>0</v>
      </c>
      <c r="E202" s="1705"/>
      <c r="F202" s="1709">
        <v>0</v>
      </c>
      <c r="G202" s="309">
        <f>IF(OR(B202="U",F202=0),0,  F202*POWER((1+'2. TaxData'!$I$65),(D202-'1. AgeData'!$D$30)))</f>
        <v>0</v>
      </c>
      <c r="H202" s="1704" t="s">
        <v>220</v>
      </c>
      <c r="I202" s="3053" t="s">
        <v>1905</v>
      </c>
      <c r="J202" s="1708">
        <v>0</v>
      </c>
      <c r="K202" s="1705"/>
      <c r="L202" s="1709">
        <v>0</v>
      </c>
      <c r="M202" s="310">
        <f>IF(OR(H202="U",L202=0),0,  L202*POWER((1+'2. TaxData'!$I$65),(J202-'1. AgeData'!$D$31)))</f>
        <v>0</v>
      </c>
    </row>
    <row r="203" spans="1:13" x14ac:dyDescent="0.25">
      <c r="A203" s="307">
        <v>38</v>
      </c>
      <c r="B203" s="1701" t="s">
        <v>220</v>
      </c>
      <c r="C203" s="3053" t="s">
        <v>1905</v>
      </c>
      <c r="D203" s="1708">
        <v>0</v>
      </c>
      <c r="E203" s="1705"/>
      <c r="F203" s="1709">
        <v>0</v>
      </c>
      <c r="G203" s="309">
        <f>IF(OR(B203="U",F203=0),0,  F203*POWER((1+'2. TaxData'!$I$65),(D203-'1. AgeData'!$D$30)))</f>
        <v>0</v>
      </c>
      <c r="H203" s="1704" t="s">
        <v>220</v>
      </c>
      <c r="I203" s="3053" t="s">
        <v>1905</v>
      </c>
      <c r="J203" s="1708">
        <v>0</v>
      </c>
      <c r="K203" s="1705"/>
      <c r="L203" s="1709">
        <v>0</v>
      </c>
      <c r="M203" s="310">
        <f>IF(OR(H203="U",L203=0),0,  L203*POWER((1+'2. TaxData'!$I$65),(J203-'1. AgeData'!$D$31)))</f>
        <v>0</v>
      </c>
    </row>
    <row r="204" spans="1:13" x14ac:dyDescent="0.25">
      <c r="A204" s="307">
        <v>39</v>
      </c>
      <c r="B204" s="1701" t="s">
        <v>220</v>
      </c>
      <c r="C204" s="3053" t="s">
        <v>1905</v>
      </c>
      <c r="D204" s="1708">
        <v>0</v>
      </c>
      <c r="E204" s="1705"/>
      <c r="F204" s="1709">
        <v>0</v>
      </c>
      <c r="G204" s="309">
        <f>IF(OR(B204="U",F204=0),0,  F204*POWER((1+'2. TaxData'!$I$65),(D204-'1. AgeData'!$D$30)))</f>
        <v>0</v>
      </c>
      <c r="H204" s="1704" t="s">
        <v>220</v>
      </c>
      <c r="I204" s="3053" t="s">
        <v>1905</v>
      </c>
      <c r="J204" s="1708">
        <v>0</v>
      </c>
      <c r="K204" s="1705"/>
      <c r="L204" s="1709">
        <v>0</v>
      </c>
      <c r="M204" s="310">
        <f>IF(OR(H204="U",L204=0),0,  L204*POWER((1+'2. TaxData'!$I$65),(J204-'1. AgeData'!$D$31)))</f>
        <v>0</v>
      </c>
    </row>
    <row r="205" spans="1:13" x14ac:dyDescent="0.25">
      <c r="A205" s="307">
        <v>40</v>
      </c>
      <c r="B205" s="1701" t="s">
        <v>220</v>
      </c>
      <c r="C205" s="3053" t="s">
        <v>1905</v>
      </c>
      <c r="D205" s="1708">
        <v>0</v>
      </c>
      <c r="E205" s="1705"/>
      <c r="F205" s="1709">
        <v>0</v>
      </c>
      <c r="G205" s="309">
        <f>IF(OR(B205="U",F205=0),0,  F205*POWER((1+'2. TaxData'!$I$65),(D205-'1. AgeData'!$D$30)))</f>
        <v>0</v>
      </c>
      <c r="H205" s="1704" t="s">
        <v>220</v>
      </c>
      <c r="I205" s="3053" t="s">
        <v>1905</v>
      </c>
      <c r="J205" s="1708">
        <v>0</v>
      </c>
      <c r="K205" s="1705"/>
      <c r="L205" s="1709">
        <v>0</v>
      </c>
      <c r="M205" s="310">
        <f>IF(OR(H205="U",L205=0),0,  L205*POWER((1+'2. TaxData'!$I$65),(J205-'1. AgeData'!$D$31)))</f>
        <v>0</v>
      </c>
    </row>
    <row r="206" spans="1:13" x14ac:dyDescent="0.25">
      <c r="A206" s="307">
        <v>41</v>
      </c>
      <c r="B206" s="1701" t="s">
        <v>220</v>
      </c>
      <c r="C206" s="3053" t="s">
        <v>1905</v>
      </c>
      <c r="D206" s="1708">
        <v>0</v>
      </c>
      <c r="E206" s="1705"/>
      <c r="F206" s="1709">
        <v>0</v>
      </c>
      <c r="G206" s="309">
        <f>IF(OR(B206="U",F206=0),0,  F206*POWER((1+'2. TaxData'!$I$65),(D206-'1. AgeData'!$D$30)))</f>
        <v>0</v>
      </c>
      <c r="H206" s="1704" t="s">
        <v>220</v>
      </c>
      <c r="I206" s="3053" t="s">
        <v>1905</v>
      </c>
      <c r="J206" s="1708">
        <v>0</v>
      </c>
      <c r="K206" s="1705"/>
      <c r="L206" s="1709">
        <v>0</v>
      </c>
      <c r="M206" s="310">
        <f>IF(OR(H206="U",L206=0),0,  L206*POWER((1+'2. TaxData'!$I$65),(J206-'1. AgeData'!$D$31)))</f>
        <v>0</v>
      </c>
    </row>
    <row r="207" spans="1:13" x14ac:dyDescent="0.25">
      <c r="A207" s="307">
        <v>42</v>
      </c>
      <c r="B207" s="1701" t="s">
        <v>220</v>
      </c>
      <c r="C207" s="3053" t="s">
        <v>1905</v>
      </c>
      <c r="D207" s="1708">
        <v>0</v>
      </c>
      <c r="E207" s="1705"/>
      <c r="F207" s="1709">
        <v>0</v>
      </c>
      <c r="G207" s="309">
        <f>IF(OR(B207="U",F207=0),0,  F207*POWER((1+'2. TaxData'!$I$65),(D207-'1. AgeData'!$D$30)))</f>
        <v>0</v>
      </c>
      <c r="H207" s="1704" t="s">
        <v>220</v>
      </c>
      <c r="I207" s="3053" t="s">
        <v>1905</v>
      </c>
      <c r="J207" s="1708">
        <v>0</v>
      </c>
      <c r="K207" s="1705"/>
      <c r="L207" s="1709">
        <v>0</v>
      </c>
      <c r="M207" s="310">
        <f>IF(OR(H207="U",L207=0),0,  L207*POWER((1+'2. TaxData'!$I$65),(J207-'1. AgeData'!$D$31)))</f>
        <v>0</v>
      </c>
    </row>
    <row r="208" spans="1:13" x14ac:dyDescent="0.25">
      <c r="A208" s="307">
        <v>43</v>
      </c>
      <c r="B208" s="1701" t="s">
        <v>220</v>
      </c>
      <c r="C208" s="3053" t="s">
        <v>1905</v>
      </c>
      <c r="D208" s="1708">
        <v>0</v>
      </c>
      <c r="E208" s="1705"/>
      <c r="F208" s="1709">
        <v>0</v>
      </c>
      <c r="G208" s="309">
        <f>IF(OR(B208="U",F208=0),0,  F208*POWER((1+'2. TaxData'!$I$65),(D208-'1. AgeData'!$D$30)))</f>
        <v>0</v>
      </c>
      <c r="H208" s="1704" t="s">
        <v>220</v>
      </c>
      <c r="I208" s="3053" t="s">
        <v>1905</v>
      </c>
      <c r="J208" s="1708">
        <v>0</v>
      </c>
      <c r="K208" s="1705"/>
      <c r="L208" s="1709">
        <v>0</v>
      </c>
      <c r="M208" s="310">
        <f>IF(OR(H208="U",L208=0),0,  L208*POWER((1+'2. TaxData'!$I$65),(J208-'1. AgeData'!$D$31)))</f>
        <v>0</v>
      </c>
    </row>
    <row r="209" spans="1:13" x14ac:dyDescent="0.25">
      <c r="A209" s="307">
        <v>44</v>
      </c>
      <c r="B209" s="1701" t="s">
        <v>220</v>
      </c>
      <c r="C209" s="3053" t="s">
        <v>1905</v>
      </c>
      <c r="D209" s="1708">
        <v>0</v>
      </c>
      <c r="E209" s="1705"/>
      <c r="F209" s="1709">
        <v>0</v>
      </c>
      <c r="G209" s="309">
        <f>IF(OR(B209="U",F209=0),0,  F209*POWER((1+'2. TaxData'!$I$65),(D209-'1. AgeData'!$D$30)))</f>
        <v>0</v>
      </c>
      <c r="H209" s="1704" t="s">
        <v>220</v>
      </c>
      <c r="I209" s="3053" t="s">
        <v>1905</v>
      </c>
      <c r="J209" s="1708">
        <v>0</v>
      </c>
      <c r="K209" s="1705"/>
      <c r="L209" s="1709">
        <v>0</v>
      </c>
      <c r="M209" s="310">
        <f>IF(OR(H209="U",L209=0),0,  L209*POWER((1+'2. TaxData'!$I$65),(J209-'1. AgeData'!$D$31)))</f>
        <v>0</v>
      </c>
    </row>
    <row r="210" spans="1:13" x14ac:dyDescent="0.25">
      <c r="A210" s="307">
        <v>45</v>
      </c>
      <c r="B210" s="1701" t="s">
        <v>220</v>
      </c>
      <c r="C210" s="3053" t="s">
        <v>1905</v>
      </c>
      <c r="D210" s="1708">
        <v>0</v>
      </c>
      <c r="E210" s="1705"/>
      <c r="F210" s="1709">
        <v>0</v>
      </c>
      <c r="G210" s="309">
        <f>IF(OR(B210="U",F210=0),0,  F210*POWER((1+'2. TaxData'!$I$65),(D210-'1. AgeData'!$D$30)))</f>
        <v>0</v>
      </c>
      <c r="H210" s="1704" t="s">
        <v>220</v>
      </c>
      <c r="I210" s="3053" t="s">
        <v>1905</v>
      </c>
      <c r="J210" s="1708">
        <v>0</v>
      </c>
      <c r="K210" s="1705"/>
      <c r="L210" s="1709">
        <v>0</v>
      </c>
      <c r="M210" s="310">
        <f>IF(OR(H210="U",L210=0),0,  L210*POWER((1+'2. TaxData'!$I$65),(J210-'1. AgeData'!$D$31)))</f>
        <v>0</v>
      </c>
    </row>
    <row r="211" spans="1:13" x14ac:dyDescent="0.25">
      <c r="A211" s="307">
        <v>46</v>
      </c>
      <c r="B211" s="1701" t="s">
        <v>220</v>
      </c>
      <c r="C211" s="3053" t="s">
        <v>1905</v>
      </c>
      <c r="D211" s="1708">
        <v>0</v>
      </c>
      <c r="E211" s="1705"/>
      <c r="F211" s="1709">
        <v>0</v>
      </c>
      <c r="G211" s="309">
        <f>IF(OR(B211="U",F211=0),0,  F211*POWER((1+'2. TaxData'!$I$65),(D211-'1. AgeData'!$D$30)))</f>
        <v>0</v>
      </c>
      <c r="H211" s="1704" t="s">
        <v>220</v>
      </c>
      <c r="I211" s="3053" t="s">
        <v>1905</v>
      </c>
      <c r="J211" s="1708">
        <v>0</v>
      </c>
      <c r="K211" s="1705"/>
      <c r="L211" s="1709">
        <v>0</v>
      </c>
      <c r="M211" s="310">
        <f>IF(OR(H211="U",L211=0),0,  L211*POWER((1+'2. TaxData'!$I$65),(J211-'1. AgeData'!$D$31)))</f>
        <v>0</v>
      </c>
    </row>
    <row r="212" spans="1:13" x14ac:dyDescent="0.25">
      <c r="A212" s="307">
        <v>47</v>
      </c>
      <c r="B212" s="1701" t="s">
        <v>220</v>
      </c>
      <c r="C212" s="3053" t="s">
        <v>1905</v>
      </c>
      <c r="D212" s="1708">
        <v>0</v>
      </c>
      <c r="E212" s="1705"/>
      <c r="F212" s="1709">
        <v>0</v>
      </c>
      <c r="G212" s="309">
        <f>IF(OR(B212="U",F212=0),0,  F212*POWER((1+'2. TaxData'!$I$65),(D212-'1. AgeData'!$D$30)))</f>
        <v>0</v>
      </c>
      <c r="H212" s="1704" t="s">
        <v>220</v>
      </c>
      <c r="I212" s="3053" t="s">
        <v>1905</v>
      </c>
      <c r="J212" s="1708">
        <v>0</v>
      </c>
      <c r="K212" s="1705"/>
      <c r="L212" s="1709">
        <v>0</v>
      </c>
      <c r="M212" s="310">
        <f>IF(OR(H212="U",L212=0),0,  L212*POWER((1+'2. TaxData'!$I$65),(J212-'1. AgeData'!$D$31)))</f>
        <v>0</v>
      </c>
    </row>
    <row r="213" spans="1:13" x14ac:dyDescent="0.25">
      <c r="A213" s="307">
        <v>48</v>
      </c>
      <c r="B213" s="1701" t="s">
        <v>220</v>
      </c>
      <c r="C213" s="3053" t="s">
        <v>1905</v>
      </c>
      <c r="D213" s="1708">
        <v>0</v>
      </c>
      <c r="E213" s="1705"/>
      <c r="F213" s="1709">
        <v>0</v>
      </c>
      <c r="G213" s="309">
        <f>IF(OR(B213="U",F213=0),0,  F213*POWER((1+'2. TaxData'!$I$65),(D213-'1. AgeData'!$D$30)))</f>
        <v>0</v>
      </c>
      <c r="H213" s="1704" t="s">
        <v>220</v>
      </c>
      <c r="I213" s="3053" t="s">
        <v>1905</v>
      </c>
      <c r="J213" s="1708">
        <v>0</v>
      </c>
      <c r="K213" s="1705"/>
      <c r="L213" s="1709">
        <v>0</v>
      </c>
      <c r="M213" s="310">
        <f>IF(OR(H213="U",L213=0),0,  L213*POWER((1+'2. TaxData'!$I$65),(J213-'1. AgeData'!$D$31)))</f>
        <v>0</v>
      </c>
    </row>
    <row r="214" spans="1:13" x14ac:dyDescent="0.25">
      <c r="A214" s="307">
        <v>49</v>
      </c>
      <c r="B214" s="1701" t="s">
        <v>220</v>
      </c>
      <c r="C214" s="3053" t="s">
        <v>1905</v>
      </c>
      <c r="D214" s="1708">
        <v>0</v>
      </c>
      <c r="E214" s="1705"/>
      <c r="F214" s="1709">
        <v>0</v>
      </c>
      <c r="G214" s="309">
        <f>IF(OR(B214="U",F214=0),0,  F214*POWER((1+'2. TaxData'!$I$65),(D214-'1. AgeData'!$D$30)))</f>
        <v>0</v>
      </c>
      <c r="H214" s="1704" t="s">
        <v>220</v>
      </c>
      <c r="I214" s="3053" t="s">
        <v>1905</v>
      </c>
      <c r="J214" s="1708">
        <v>0</v>
      </c>
      <c r="K214" s="1705"/>
      <c r="L214" s="1709">
        <v>0</v>
      </c>
      <c r="M214" s="310">
        <f>IF(OR(H214="U",L214=0),0,  L214*POWER((1+'2. TaxData'!$I$65),(J214-'1. AgeData'!$D$31)))</f>
        <v>0</v>
      </c>
    </row>
    <row r="215" spans="1:13" x14ac:dyDescent="0.25">
      <c r="A215" s="307">
        <v>50</v>
      </c>
      <c r="B215" s="1701" t="s">
        <v>220</v>
      </c>
      <c r="C215" s="3053" t="s">
        <v>1905</v>
      </c>
      <c r="D215" s="1708">
        <v>0</v>
      </c>
      <c r="E215" s="1705"/>
      <c r="F215" s="1709">
        <v>0</v>
      </c>
      <c r="G215" s="309">
        <f>IF(OR(B215="U",F215=0),0,  F215*POWER((1+'2. TaxData'!$I$65),(D215-'1. AgeData'!$D$30)))</f>
        <v>0</v>
      </c>
      <c r="H215" s="1704" t="s">
        <v>220</v>
      </c>
      <c r="I215" s="3053" t="s">
        <v>1905</v>
      </c>
      <c r="J215" s="1708">
        <v>0</v>
      </c>
      <c r="K215" s="1705"/>
      <c r="L215" s="1709">
        <v>0</v>
      </c>
      <c r="M215" s="310">
        <f>IF(OR(H215="U",L215=0),0,  L215*POWER((1+'2. TaxData'!$I$65),(J215-'1. AgeData'!$D$31)))</f>
        <v>0</v>
      </c>
    </row>
    <row r="216" spans="1:13" x14ac:dyDescent="0.25">
      <c r="A216" s="307">
        <v>51</v>
      </c>
      <c r="B216" s="1701" t="s">
        <v>220</v>
      </c>
      <c r="C216" s="3053" t="s">
        <v>1905</v>
      </c>
      <c r="D216" s="1708">
        <v>0</v>
      </c>
      <c r="E216" s="1705"/>
      <c r="F216" s="1709">
        <v>0</v>
      </c>
      <c r="G216" s="309">
        <f>IF(OR(B216="U",F216=0),0,  F216*POWER((1+'2. TaxData'!$I$65),(D216-'1. AgeData'!$D$30)))</f>
        <v>0</v>
      </c>
      <c r="H216" s="1704" t="s">
        <v>220</v>
      </c>
      <c r="I216" s="3053" t="s">
        <v>1905</v>
      </c>
      <c r="J216" s="1708">
        <v>0</v>
      </c>
      <c r="K216" s="1705"/>
      <c r="L216" s="1709">
        <v>0</v>
      </c>
      <c r="M216" s="310">
        <f>IF(OR(H216="U",L216=0),0,  L216*POWER((1+'2. TaxData'!$I$65),(J216-'1. AgeData'!$D$31)))</f>
        <v>0</v>
      </c>
    </row>
    <row r="217" spans="1:13" x14ac:dyDescent="0.25">
      <c r="A217" s="307">
        <v>52</v>
      </c>
      <c r="B217" s="1701" t="s">
        <v>220</v>
      </c>
      <c r="C217" s="3053" t="s">
        <v>1905</v>
      </c>
      <c r="D217" s="1708">
        <v>0</v>
      </c>
      <c r="E217" s="1705"/>
      <c r="F217" s="1709">
        <v>0</v>
      </c>
      <c r="G217" s="309">
        <f>IF(OR(B217="U",F217=0),0,  F217*POWER((1+'2. TaxData'!$I$65),(D217-'1. AgeData'!$D$30)))</f>
        <v>0</v>
      </c>
      <c r="H217" s="1704" t="s">
        <v>220</v>
      </c>
      <c r="I217" s="3053" t="s">
        <v>1905</v>
      </c>
      <c r="J217" s="1708">
        <v>0</v>
      </c>
      <c r="K217" s="1705"/>
      <c r="L217" s="1709">
        <v>0</v>
      </c>
      <c r="M217" s="310">
        <f>IF(OR(H217="U",L217=0),0,  L217*POWER((1+'2. TaxData'!$I$65),(J217-'1. AgeData'!$D$31)))</f>
        <v>0</v>
      </c>
    </row>
    <row r="218" spans="1:13" x14ac:dyDescent="0.25">
      <c r="A218" s="307">
        <v>53</v>
      </c>
      <c r="B218" s="1701" t="s">
        <v>220</v>
      </c>
      <c r="C218" s="3053" t="s">
        <v>1905</v>
      </c>
      <c r="D218" s="1708">
        <v>0</v>
      </c>
      <c r="E218" s="1705"/>
      <c r="F218" s="1709">
        <v>0</v>
      </c>
      <c r="G218" s="309">
        <f>IF(OR(B218="U",F218=0),0,  F218*POWER((1+'2. TaxData'!$I$65),(D218-'1. AgeData'!$D$30)))</f>
        <v>0</v>
      </c>
      <c r="H218" s="1704" t="s">
        <v>220</v>
      </c>
      <c r="I218" s="3053" t="s">
        <v>1905</v>
      </c>
      <c r="J218" s="1708">
        <v>0</v>
      </c>
      <c r="K218" s="1705"/>
      <c r="L218" s="1709">
        <v>0</v>
      </c>
      <c r="M218" s="310">
        <f>IF(OR(H218="U",L218=0),0,  L218*POWER((1+'2. TaxData'!$I$65),(J218-'1. AgeData'!$D$31)))</f>
        <v>0</v>
      </c>
    </row>
    <row r="219" spans="1:13" x14ac:dyDescent="0.25">
      <c r="A219" s="307">
        <v>54</v>
      </c>
      <c r="B219" s="1701" t="s">
        <v>220</v>
      </c>
      <c r="C219" s="3053" t="s">
        <v>1905</v>
      </c>
      <c r="D219" s="1708">
        <v>0</v>
      </c>
      <c r="E219" s="1705"/>
      <c r="F219" s="1709">
        <v>0</v>
      </c>
      <c r="G219" s="309">
        <f>IF(OR(B219="U",F219=0),0,  F219*POWER((1+'2. TaxData'!$I$65),(D219-'1. AgeData'!$D$30)))</f>
        <v>0</v>
      </c>
      <c r="H219" s="1704" t="s">
        <v>220</v>
      </c>
      <c r="I219" s="3053" t="s">
        <v>1905</v>
      </c>
      <c r="J219" s="1708">
        <v>0</v>
      </c>
      <c r="K219" s="1705"/>
      <c r="L219" s="1709">
        <v>0</v>
      </c>
      <c r="M219" s="310">
        <f>IF(OR(H219="U",L219=0),0,  L219*POWER((1+'2. TaxData'!$I$65),(J219-'1. AgeData'!$D$31)))</f>
        <v>0</v>
      </c>
    </row>
    <row r="220" spans="1:13" x14ac:dyDescent="0.25">
      <c r="A220" s="307">
        <v>55</v>
      </c>
      <c r="B220" s="1701" t="s">
        <v>220</v>
      </c>
      <c r="C220" s="3053" t="s">
        <v>1905</v>
      </c>
      <c r="D220" s="1708">
        <v>0</v>
      </c>
      <c r="E220" s="1705"/>
      <c r="F220" s="1709">
        <v>0</v>
      </c>
      <c r="G220" s="309">
        <f>IF(OR(B220="U",F220=0),0,  F220*POWER((1+'2. TaxData'!$I$65),(D220-'1. AgeData'!$D$30)))</f>
        <v>0</v>
      </c>
      <c r="H220" s="1704" t="s">
        <v>220</v>
      </c>
      <c r="I220" s="3053" t="s">
        <v>1905</v>
      </c>
      <c r="J220" s="1708">
        <v>0</v>
      </c>
      <c r="K220" s="1705"/>
      <c r="L220" s="1709">
        <v>0</v>
      </c>
      <c r="M220" s="310">
        <f>IF(OR(H220="U",L220=0),0,  L220*POWER((1+'2. TaxData'!$I$65),(J220-'1. AgeData'!$D$31)))</f>
        <v>0</v>
      </c>
    </row>
    <row r="221" spans="1:13" x14ac:dyDescent="0.25">
      <c r="A221" s="307">
        <v>56</v>
      </c>
      <c r="B221" s="1701" t="s">
        <v>220</v>
      </c>
      <c r="C221" s="3053" t="s">
        <v>1905</v>
      </c>
      <c r="D221" s="1708">
        <v>0</v>
      </c>
      <c r="E221" s="1705"/>
      <c r="F221" s="1709">
        <v>0</v>
      </c>
      <c r="G221" s="309">
        <f>IF(OR(B221="U",F221=0),0,  F221*POWER((1+'2. TaxData'!$I$65),(D221-'1. AgeData'!$D$30)))</f>
        <v>0</v>
      </c>
      <c r="H221" s="1704" t="s">
        <v>220</v>
      </c>
      <c r="I221" s="3053" t="s">
        <v>1905</v>
      </c>
      <c r="J221" s="1708">
        <v>0</v>
      </c>
      <c r="K221" s="1705"/>
      <c r="L221" s="1709">
        <v>0</v>
      </c>
      <c r="M221" s="310">
        <f>IF(OR(H221="U",L221=0),0,  L221*POWER((1+'2. TaxData'!$I$65),(J221-'1. AgeData'!$D$31)))</f>
        <v>0</v>
      </c>
    </row>
    <row r="222" spans="1:13" x14ac:dyDescent="0.25">
      <c r="A222" s="307">
        <v>57</v>
      </c>
      <c r="B222" s="1701" t="s">
        <v>220</v>
      </c>
      <c r="C222" s="3053" t="s">
        <v>1905</v>
      </c>
      <c r="D222" s="1708">
        <v>0</v>
      </c>
      <c r="E222" s="1705"/>
      <c r="F222" s="1709">
        <v>0</v>
      </c>
      <c r="G222" s="309">
        <f>IF(OR(B222="U",F222=0),0,  F222*POWER((1+'2. TaxData'!$I$65),(D222-'1. AgeData'!$D$30)))</f>
        <v>0</v>
      </c>
      <c r="H222" s="1704" t="s">
        <v>220</v>
      </c>
      <c r="I222" s="3053" t="s">
        <v>1905</v>
      </c>
      <c r="J222" s="1708">
        <v>0</v>
      </c>
      <c r="K222" s="1705"/>
      <c r="L222" s="1709">
        <v>0</v>
      </c>
      <c r="M222" s="310">
        <f>IF(OR(H222="U",L222=0),0,  L222*POWER((1+'2. TaxData'!$I$65),(J222-'1. AgeData'!$D$31)))</f>
        <v>0</v>
      </c>
    </row>
    <row r="223" spans="1:13" x14ac:dyDescent="0.25">
      <c r="A223" s="307">
        <v>58</v>
      </c>
      <c r="B223" s="1701" t="s">
        <v>220</v>
      </c>
      <c r="C223" s="3053" t="s">
        <v>1905</v>
      </c>
      <c r="D223" s="1708">
        <v>0</v>
      </c>
      <c r="E223" s="1705"/>
      <c r="F223" s="1709">
        <v>0</v>
      </c>
      <c r="G223" s="309">
        <f>IF(OR(B223="U",F223=0),0,  F223*POWER((1+'2. TaxData'!$I$65),(D223-'1. AgeData'!$D$30)))</f>
        <v>0</v>
      </c>
      <c r="H223" s="1704" t="s">
        <v>220</v>
      </c>
      <c r="I223" s="3053" t="s">
        <v>1905</v>
      </c>
      <c r="J223" s="1708">
        <v>0</v>
      </c>
      <c r="K223" s="1705"/>
      <c r="L223" s="1709">
        <v>0</v>
      </c>
      <c r="M223" s="310">
        <f>IF(OR(H223="U",L223=0),0,  L223*POWER((1+'2. TaxData'!$I$65),(J223-'1. AgeData'!$D$31)))</f>
        <v>0</v>
      </c>
    </row>
    <row r="224" spans="1:13" x14ac:dyDescent="0.25">
      <c r="A224" s="307">
        <v>59</v>
      </c>
      <c r="B224" s="1701" t="s">
        <v>220</v>
      </c>
      <c r="C224" s="3053" t="s">
        <v>1905</v>
      </c>
      <c r="D224" s="1708">
        <v>0</v>
      </c>
      <c r="E224" s="1705"/>
      <c r="F224" s="1709">
        <v>0</v>
      </c>
      <c r="G224" s="309">
        <f>IF(OR(B224="U",F224=0),0,  F224*POWER((1+'2. TaxData'!$I$65),(D224-'1. AgeData'!$D$30)))</f>
        <v>0</v>
      </c>
      <c r="H224" s="1704" t="s">
        <v>220</v>
      </c>
      <c r="I224" s="3053" t="s">
        <v>1905</v>
      </c>
      <c r="J224" s="1708">
        <v>0</v>
      </c>
      <c r="K224" s="1705"/>
      <c r="L224" s="1709">
        <v>0</v>
      </c>
      <c r="M224" s="310">
        <f>IF(OR(H224="U",L224=0),0,  L224*POWER((1+'2. TaxData'!$I$65),(J224-'1. AgeData'!$D$31)))</f>
        <v>0</v>
      </c>
    </row>
    <row r="225" spans="1:13" x14ac:dyDescent="0.25">
      <c r="A225" s="307">
        <v>60</v>
      </c>
      <c r="B225" s="1701" t="s">
        <v>220</v>
      </c>
      <c r="C225" s="3053" t="s">
        <v>1905</v>
      </c>
      <c r="D225" s="1708">
        <v>0</v>
      </c>
      <c r="E225" s="1705"/>
      <c r="F225" s="1709">
        <v>0</v>
      </c>
      <c r="G225" s="309">
        <f>IF(OR(B225="U",F225=0),0,  F225*POWER((1+'2. TaxData'!$I$65),(D225-'1. AgeData'!$D$30)))</f>
        <v>0</v>
      </c>
      <c r="H225" s="1704" t="s">
        <v>220</v>
      </c>
      <c r="I225" s="3053" t="s">
        <v>1905</v>
      </c>
      <c r="J225" s="1708">
        <v>0</v>
      </c>
      <c r="K225" s="1705"/>
      <c r="L225" s="1709">
        <v>0</v>
      </c>
      <c r="M225" s="310">
        <f>IF(OR(H225="U",L225=0),0,  L225*POWER((1+'2. TaxData'!$I$65),(J225-'1. AgeData'!$D$31)))</f>
        <v>0</v>
      </c>
    </row>
    <row r="226" spans="1:13" x14ac:dyDescent="0.25">
      <c r="A226" s="307">
        <v>61</v>
      </c>
      <c r="B226" s="1701" t="s">
        <v>220</v>
      </c>
      <c r="C226" s="3053" t="s">
        <v>1905</v>
      </c>
      <c r="D226" s="1708">
        <v>0</v>
      </c>
      <c r="E226" s="1705"/>
      <c r="F226" s="1709">
        <v>0</v>
      </c>
      <c r="G226" s="309">
        <f>IF(OR(B226="U",F226=0),0,  F226*POWER((1+'2. TaxData'!$I$65),(D226-'1. AgeData'!$D$30)))</f>
        <v>0</v>
      </c>
      <c r="H226" s="1704" t="s">
        <v>220</v>
      </c>
      <c r="I226" s="3053" t="s">
        <v>1905</v>
      </c>
      <c r="J226" s="1708">
        <v>0</v>
      </c>
      <c r="K226" s="1705"/>
      <c r="L226" s="1709">
        <v>0</v>
      </c>
      <c r="M226" s="310">
        <f>IF(OR(H226="U",L226=0),0,  L226*POWER((1+'2. TaxData'!$I$65),(J226-'1. AgeData'!$D$31)))</f>
        <v>0</v>
      </c>
    </row>
    <row r="227" spans="1:13" x14ac:dyDescent="0.25">
      <c r="A227" s="307">
        <v>62</v>
      </c>
      <c r="B227" s="1701" t="s">
        <v>220</v>
      </c>
      <c r="C227" s="3053" t="s">
        <v>1905</v>
      </c>
      <c r="D227" s="1708">
        <v>0</v>
      </c>
      <c r="E227" s="1705"/>
      <c r="F227" s="1709">
        <v>0</v>
      </c>
      <c r="G227" s="309">
        <f>IF(OR(B227="U",F227=0),0,  F227*POWER((1+'2. TaxData'!$I$65),(D227-'1. AgeData'!$D$30)))</f>
        <v>0</v>
      </c>
      <c r="H227" s="1704" t="s">
        <v>220</v>
      </c>
      <c r="I227" s="3053" t="s">
        <v>1905</v>
      </c>
      <c r="J227" s="1708">
        <v>0</v>
      </c>
      <c r="K227" s="1705"/>
      <c r="L227" s="1709">
        <v>0</v>
      </c>
      <c r="M227" s="310">
        <f>IF(OR(H227="U",L227=0),0,  L227*POWER((1+'2. TaxData'!$I$65),(J227-'1. AgeData'!$D$31)))</f>
        <v>0</v>
      </c>
    </row>
    <row r="228" spans="1:13" x14ac:dyDescent="0.25">
      <c r="A228" s="307">
        <v>63</v>
      </c>
      <c r="B228" s="1701" t="s">
        <v>220</v>
      </c>
      <c r="C228" s="3053" t="s">
        <v>1905</v>
      </c>
      <c r="D228" s="1708">
        <v>0</v>
      </c>
      <c r="E228" s="1705"/>
      <c r="F228" s="1709">
        <v>0</v>
      </c>
      <c r="G228" s="309">
        <f>IF(OR(B228="U",F228=0),0,  F228*POWER((1+'2. TaxData'!$I$65),(D228-'1. AgeData'!$D$30)))</f>
        <v>0</v>
      </c>
      <c r="H228" s="1704" t="s">
        <v>220</v>
      </c>
      <c r="I228" s="3053" t="s">
        <v>1905</v>
      </c>
      <c r="J228" s="1708">
        <v>0</v>
      </c>
      <c r="K228" s="1705"/>
      <c r="L228" s="1709">
        <v>0</v>
      </c>
      <c r="M228" s="310">
        <f>IF(OR(H228="U",L228=0),0,  L228*POWER((1+'2. TaxData'!$I$65),(J228-'1. AgeData'!$D$31)))</f>
        <v>0</v>
      </c>
    </row>
    <row r="229" spans="1:13" x14ac:dyDescent="0.25">
      <c r="A229" s="307">
        <v>64</v>
      </c>
      <c r="B229" s="1701" t="s">
        <v>220</v>
      </c>
      <c r="C229" s="3053" t="s">
        <v>1905</v>
      </c>
      <c r="D229" s="1708">
        <v>0</v>
      </c>
      <c r="E229" s="1705"/>
      <c r="F229" s="1709">
        <v>0</v>
      </c>
      <c r="G229" s="309">
        <f>IF(OR(B229="U",F229=0),0,  F229*POWER((1+'2. TaxData'!$I$65),(D229-'1. AgeData'!$D$30)))</f>
        <v>0</v>
      </c>
      <c r="H229" s="1704" t="s">
        <v>220</v>
      </c>
      <c r="I229" s="3053" t="s">
        <v>1905</v>
      </c>
      <c r="J229" s="1708">
        <v>0</v>
      </c>
      <c r="K229" s="1705"/>
      <c r="L229" s="1709">
        <v>0</v>
      </c>
      <c r="M229" s="310">
        <f>IF(OR(H229="U",L229=0),0,  L229*POWER((1+'2. TaxData'!$I$65),(J229-'1. AgeData'!$D$31)))</f>
        <v>0</v>
      </c>
    </row>
    <row r="230" spans="1:13" x14ac:dyDescent="0.25">
      <c r="A230" s="307">
        <v>65</v>
      </c>
      <c r="B230" s="1701" t="s">
        <v>220</v>
      </c>
      <c r="C230" s="3053" t="s">
        <v>1905</v>
      </c>
      <c r="D230" s="1708">
        <v>0</v>
      </c>
      <c r="E230" s="1705"/>
      <c r="F230" s="1709">
        <v>0</v>
      </c>
      <c r="G230" s="309">
        <f>IF(OR(B230="U",F230=0),0,  F230*POWER((1+'2. TaxData'!$I$65),(D230-'1. AgeData'!$D$30)))</f>
        <v>0</v>
      </c>
      <c r="H230" s="1704" t="s">
        <v>220</v>
      </c>
      <c r="I230" s="3053" t="s">
        <v>1905</v>
      </c>
      <c r="J230" s="1708">
        <v>0</v>
      </c>
      <c r="K230" s="1705"/>
      <c r="L230" s="1709">
        <v>0</v>
      </c>
      <c r="M230" s="310">
        <f>IF(OR(H230="U",L230=0),0,  L230*POWER((1+'2. TaxData'!$I$65),(J230-'1. AgeData'!$D$31)))</f>
        <v>0</v>
      </c>
    </row>
    <row r="231" spans="1:13" x14ac:dyDescent="0.25">
      <c r="A231" s="307">
        <v>66</v>
      </c>
      <c r="B231" s="1701" t="s">
        <v>220</v>
      </c>
      <c r="C231" s="3053" t="s">
        <v>1905</v>
      </c>
      <c r="D231" s="1708">
        <v>0</v>
      </c>
      <c r="E231" s="1705"/>
      <c r="F231" s="1709">
        <v>0</v>
      </c>
      <c r="G231" s="309">
        <f>IF(OR(B231="U",F231=0),0,  F231*POWER((1+'2. TaxData'!$I$65),(D231-'1. AgeData'!$D$30)))</f>
        <v>0</v>
      </c>
      <c r="H231" s="1704" t="s">
        <v>220</v>
      </c>
      <c r="I231" s="3053" t="s">
        <v>1905</v>
      </c>
      <c r="J231" s="1708">
        <v>0</v>
      </c>
      <c r="K231" s="1705"/>
      <c r="L231" s="1709">
        <v>0</v>
      </c>
      <c r="M231" s="310">
        <f>IF(OR(H231="U",L231=0),0,  L231*POWER((1+'2. TaxData'!$I$65),(J231-'1. AgeData'!$D$31)))</f>
        <v>0</v>
      </c>
    </row>
    <row r="232" spans="1:13" x14ac:dyDescent="0.25">
      <c r="A232" s="307">
        <v>67</v>
      </c>
      <c r="B232" s="1701" t="s">
        <v>220</v>
      </c>
      <c r="C232" s="3053" t="s">
        <v>1905</v>
      </c>
      <c r="D232" s="1708">
        <v>0</v>
      </c>
      <c r="E232" s="1705"/>
      <c r="F232" s="1709">
        <v>0</v>
      </c>
      <c r="G232" s="309">
        <f>IF(OR(B232="U",F232=0),0,  F232*POWER((1+'2. TaxData'!$I$65),(D232-'1. AgeData'!$D$30)))</f>
        <v>0</v>
      </c>
      <c r="H232" s="1704" t="s">
        <v>220</v>
      </c>
      <c r="I232" s="3053" t="s">
        <v>1905</v>
      </c>
      <c r="J232" s="1708">
        <v>0</v>
      </c>
      <c r="K232" s="1705"/>
      <c r="L232" s="1709">
        <v>0</v>
      </c>
      <c r="M232" s="310">
        <f>IF(OR(H232="U",L232=0),0,  L232*POWER((1+'2. TaxData'!$I$65),(J232-'1. AgeData'!$D$31)))</f>
        <v>0</v>
      </c>
    </row>
    <row r="233" spans="1:13" x14ac:dyDescent="0.25">
      <c r="A233" s="307">
        <v>68</v>
      </c>
      <c r="B233" s="1701" t="s">
        <v>220</v>
      </c>
      <c r="C233" s="3053" t="s">
        <v>1905</v>
      </c>
      <c r="D233" s="1708">
        <v>0</v>
      </c>
      <c r="E233" s="1705"/>
      <c r="F233" s="1709">
        <v>0</v>
      </c>
      <c r="G233" s="309">
        <f>IF(OR(B233="U",F233=0),0,  F233*POWER((1+'2. TaxData'!$I$65),(D233-'1. AgeData'!$D$30)))</f>
        <v>0</v>
      </c>
      <c r="H233" s="1704" t="s">
        <v>220</v>
      </c>
      <c r="I233" s="3053" t="s">
        <v>1905</v>
      </c>
      <c r="J233" s="1708">
        <v>0</v>
      </c>
      <c r="K233" s="1705"/>
      <c r="L233" s="1709">
        <v>0</v>
      </c>
      <c r="M233" s="310">
        <f>IF(OR(H233="U",L233=0),0,  L233*POWER((1+'2. TaxData'!$I$65),(J233-'1. AgeData'!$D$31)))</f>
        <v>0</v>
      </c>
    </row>
    <row r="234" spans="1:13" x14ac:dyDescent="0.25">
      <c r="A234" s="307">
        <v>69</v>
      </c>
      <c r="B234" s="1701" t="s">
        <v>220</v>
      </c>
      <c r="C234" s="3053" t="s">
        <v>1905</v>
      </c>
      <c r="D234" s="1708">
        <v>0</v>
      </c>
      <c r="E234" s="1705"/>
      <c r="F234" s="1709">
        <v>0</v>
      </c>
      <c r="G234" s="309">
        <f>IF(OR(B234="U",F234=0),0,  F234*POWER((1+'2. TaxData'!$I$65),(D234-'1. AgeData'!$D$30)))</f>
        <v>0</v>
      </c>
      <c r="H234" s="1704" t="s">
        <v>220</v>
      </c>
      <c r="I234" s="3053" t="s">
        <v>1905</v>
      </c>
      <c r="J234" s="1708">
        <v>0</v>
      </c>
      <c r="K234" s="1705"/>
      <c r="L234" s="1709">
        <v>0</v>
      </c>
      <c r="M234" s="310">
        <f>IF(OR(H234="U",L234=0),0,  L234*POWER((1+'2. TaxData'!$I$65),(J234-'1. AgeData'!$D$31)))</f>
        <v>0</v>
      </c>
    </row>
    <row r="235" spans="1:13" x14ac:dyDescent="0.25">
      <c r="A235" s="307">
        <v>70</v>
      </c>
      <c r="B235" s="1701" t="s">
        <v>220</v>
      </c>
      <c r="C235" s="3053" t="s">
        <v>1905</v>
      </c>
      <c r="D235" s="1708">
        <v>0</v>
      </c>
      <c r="E235" s="1705"/>
      <c r="F235" s="1709">
        <v>0</v>
      </c>
      <c r="G235" s="309">
        <f>IF(OR(B235="U",F235=0),0,  F235*POWER((1+'2. TaxData'!$I$65),(D235-'1. AgeData'!$D$30)))</f>
        <v>0</v>
      </c>
      <c r="H235" s="1704" t="s">
        <v>220</v>
      </c>
      <c r="I235" s="3053" t="s">
        <v>1905</v>
      </c>
      <c r="J235" s="1708">
        <v>0</v>
      </c>
      <c r="K235" s="1705"/>
      <c r="L235" s="1709">
        <v>0</v>
      </c>
      <c r="M235" s="310">
        <f>IF(OR(H235="U",L235=0),0,  L235*POWER((1+'2. TaxData'!$I$65),(J235-'1. AgeData'!$D$31)))</f>
        <v>0</v>
      </c>
    </row>
    <row r="236" spans="1:13" x14ac:dyDescent="0.25">
      <c r="A236" s="307">
        <v>71</v>
      </c>
      <c r="B236" s="1701" t="s">
        <v>220</v>
      </c>
      <c r="C236" s="3053" t="s">
        <v>1905</v>
      </c>
      <c r="D236" s="1708">
        <v>0</v>
      </c>
      <c r="E236" s="1705"/>
      <c r="F236" s="1709">
        <v>0</v>
      </c>
      <c r="G236" s="309">
        <f>IF(OR(B236="U",F236=0),0,  F236*POWER((1+'2. TaxData'!$I$65),(D236-'1. AgeData'!$D$30)))</f>
        <v>0</v>
      </c>
      <c r="H236" s="1704" t="s">
        <v>220</v>
      </c>
      <c r="I236" s="3053" t="s">
        <v>1905</v>
      </c>
      <c r="J236" s="1708">
        <v>0</v>
      </c>
      <c r="K236" s="1705"/>
      <c r="L236" s="1709">
        <v>0</v>
      </c>
      <c r="M236" s="310">
        <f>IF(OR(H236="U",L236=0),0,  L236*POWER((1+'2. TaxData'!$I$65),(J236-'1. AgeData'!$D$31)))</f>
        <v>0</v>
      </c>
    </row>
    <row r="237" spans="1:13" x14ac:dyDescent="0.25">
      <c r="A237" s="307">
        <v>72</v>
      </c>
      <c r="B237" s="1701" t="s">
        <v>220</v>
      </c>
      <c r="C237" s="3053" t="s">
        <v>1905</v>
      </c>
      <c r="D237" s="1708">
        <v>0</v>
      </c>
      <c r="E237" s="1705"/>
      <c r="F237" s="1709">
        <v>0</v>
      </c>
      <c r="G237" s="309">
        <f>IF(OR(B237="U",F237=0),0,  F237*POWER((1+'2. TaxData'!$I$65),(D237-'1. AgeData'!$D$30)))</f>
        <v>0</v>
      </c>
      <c r="H237" s="1704" t="s">
        <v>220</v>
      </c>
      <c r="I237" s="3053" t="s">
        <v>1905</v>
      </c>
      <c r="J237" s="1708">
        <v>0</v>
      </c>
      <c r="K237" s="1705"/>
      <c r="L237" s="1709">
        <v>0</v>
      </c>
      <c r="M237" s="310">
        <f>IF(OR(H237="U",L237=0),0,  L237*POWER((1+'2. TaxData'!$I$65),(J237-'1. AgeData'!$D$31)))</f>
        <v>0</v>
      </c>
    </row>
    <row r="238" spans="1:13" x14ac:dyDescent="0.25">
      <c r="A238" s="307">
        <v>73</v>
      </c>
      <c r="B238" s="1701" t="s">
        <v>220</v>
      </c>
      <c r="C238" s="3053" t="s">
        <v>1905</v>
      </c>
      <c r="D238" s="1708">
        <v>0</v>
      </c>
      <c r="E238" s="1705"/>
      <c r="F238" s="1709">
        <v>0</v>
      </c>
      <c r="G238" s="309">
        <f>IF(OR(B238="U",F238=0),0,  F238*POWER((1+'2. TaxData'!$I$65),(D238-'1. AgeData'!$D$30)))</f>
        <v>0</v>
      </c>
      <c r="H238" s="1704" t="s">
        <v>220</v>
      </c>
      <c r="I238" s="3053" t="s">
        <v>1905</v>
      </c>
      <c r="J238" s="1708">
        <v>0</v>
      </c>
      <c r="K238" s="1705"/>
      <c r="L238" s="1709">
        <v>0</v>
      </c>
      <c r="M238" s="310">
        <f>IF(OR(H238="U",L238=0),0,  L238*POWER((1+'2. TaxData'!$I$65),(J238-'1. AgeData'!$D$31)))</f>
        <v>0</v>
      </c>
    </row>
    <row r="239" spans="1:13" x14ac:dyDescent="0.25">
      <c r="A239" s="307">
        <v>74</v>
      </c>
      <c r="B239" s="1701" t="s">
        <v>220</v>
      </c>
      <c r="C239" s="3053" t="s">
        <v>1905</v>
      </c>
      <c r="D239" s="1708">
        <v>0</v>
      </c>
      <c r="E239" s="1705"/>
      <c r="F239" s="1709">
        <v>0</v>
      </c>
      <c r="G239" s="309">
        <f>IF(OR(B239="U",F239=0),0,  F239*POWER((1+'2. TaxData'!$I$65),(D239-'1. AgeData'!$D$30)))</f>
        <v>0</v>
      </c>
      <c r="H239" s="1704" t="s">
        <v>220</v>
      </c>
      <c r="I239" s="3053" t="s">
        <v>1905</v>
      </c>
      <c r="J239" s="1708">
        <v>0</v>
      </c>
      <c r="K239" s="1705"/>
      <c r="L239" s="1709">
        <v>0</v>
      </c>
      <c r="M239" s="310">
        <f>IF(OR(H239="U",L239=0),0,  L239*POWER((1+'2. TaxData'!$I$65),(J239-'1. AgeData'!$D$31)))</f>
        <v>0</v>
      </c>
    </row>
    <row r="240" spans="1:13" x14ac:dyDescent="0.25">
      <c r="A240" s="307">
        <v>75</v>
      </c>
      <c r="B240" s="1701" t="s">
        <v>220</v>
      </c>
      <c r="C240" s="3053" t="s">
        <v>1905</v>
      </c>
      <c r="D240" s="1708">
        <v>0</v>
      </c>
      <c r="E240" s="1705"/>
      <c r="F240" s="1709">
        <v>0</v>
      </c>
      <c r="G240" s="309">
        <f>IF(OR(B240="U",F240=0),0,  F240*POWER((1+'2. TaxData'!$I$65),(D240-'1. AgeData'!$D$30)))</f>
        <v>0</v>
      </c>
      <c r="H240" s="1704" t="s">
        <v>220</v>
      </c>
      <c r="I240" s="3053" t="s">
        <v>1905</v>
      </c>
      <c r="J240" s="1708">
        <v>0</v>
      </c>
      <c r="K240" s="1705"/>
      <c r="L240" s="1709">
        <v>0</v>
      </c>
      <c r="M240" s="310">
        <f>IF(OR(H240="U",L240=0),0,  L240*POWER((1+'2. TaxData'!$I$65),(J240-'1. AgeData'!$D$31)))</f>
        <v>0</v>
      </c>
    </row>
    <row r="241" spans="1:13" x14ac:dyDescent="0.25">
      <c r="A241" s="307">
        <v>76</v>
      </c>
      <c r="B241" s="1701" t="s">
        <v>220</v>
      </c>
      <c r="C241" s="3053" t="s">
        <v>1905</v>
      </c>
      <c r="D241" s="1708">
        <v>0</v>
      </c>
      <c r="E241" s="1705"/>
      <c r="F241" s="1709">
        <v>0</v>
      </c>
      <c r="G241" s="309">
        <f>IF(OR(B241="U",F241=0),0,  F241*POWER((1+'2. TaxData'!$I$65),(D241-'1. AgeData'!$D$30)))</f>
        <v>0</v>
      </c>
      <c r="H241" s="1704" t="s">
        <v>220</v>
      </c>
      <c r="I241" s="3053" t="s">
        <v>1905</v>
      </c>
      <c r="J241" s="1708">
        <v>0</v>
      </c>
      <c r="K241" s="1705"/>
      <c r="L241" s="1709">
        <v>0</v>
      </c>
      <c r="M241" s="310">
        <f>IF(OR(H241="U",L241=0),0,  L241*POWER((1+'2. TaxData'!$I$65),(J241-'1. AgeData'!$D$31)))</f>
        <v>0</v>
      </c>
    </row>
    <row r="242" spans="1:13" x14ac:dyDescent="0.25">
      <c r="A242" s="307">
        <v>77</v>
      </c>
      <c r="B242" s="1701" t="s">
        <v>220</v>
      </c>
      <c r="C242" s="3053" t="s">
        <v>1905</v>
      </c>
      <c r="D242" s="1708">
        <v>0</v>
      </c>
      <c r="E242" s="1705"/>
      <c r="F242" s="1709">
        <v>0</v>
      </c>
      <c r="G242" s="309">
        <f>IF(OR(B242="U",F242=0),0,  F242*POWER((1+'2. TaxData'!$I$65),(D242-'1. AgeData'!$D$30)))</f>
        <v>0</v>
      </c>
      <c r="H242" s="1704" t="s">
        <v>220</v>
      </c>
      <c r="I242" s="3053" t="s">
        <v>1905</v>
      </c>
      <c r="J242" s="1708">
        <v>0</v>
      </c>
      <c r="K242" s="1705"/>
      <c r="L242" s="1709">
        <v>0</v>
      </c>
      <c r="M242" s="310">
        <f>IF(OR(H242="U",L242=0),0,  L242*POWER((1+'2. TaxData'!$I$65),(J242-'1. AgeData'!$D$31)))</f>
        <v>0</v>
      </c>
    </row>
    <row r="243" spans="1:13" x14ac:dyDescent="0.25">
      <c r="A243" s="307">
        <v>78</v>
      </c>
      <c r="B243" s="1701" t="s">
        <v>220</v>
      </c>
      <c r="C243" s="3053" t="s">
        <v>1905</v>
      </c>
      <c r="D243" s="1708">
        <v>0</v>
      </c>
      <c r="E243" s="1705"/>
      <c r="F243" s="1709">
        <v>0</v>
      </c>
      <c r="G243" s="309">
        <f>IF(OR(B243="U",F243=0),0,  F243*POWER((1+'2. TaxData'!$I$65),(D243-'1. AgeData'!$D$30)))</f>
        <v>0</v>
      </c>
      <c r="H243" s="1704" t="s">
        <v>220</v>
      </c>
      <c r="I243" s="3053" t="s">
        <v>1905</v>
      </c>
      <c r="J243" s="1708">
        <v>0</v>
      </c>
      <c r="K243" s="1705"/>
      <c r="L243" s="1709">
        <v>0</v>
      </c>
      <c r="M243" s="310">
        <f>IF(OR(H243="U",L243=0),0,  L243*POWER((1+'2. TaxData'!$I$65),(J243-'1. AgeData'!$D$31)))</f>
        <v>0</v>
      </c>
    </row>
    <row r="244" spans="1:13" x14ac:dyDescent="0.25">
      <c r="A244" s="307">
        <v>79</v>
      </c>
      <c r="B244" s="1701" t="s">
        <v>220</v>
      </c>
      <c r="C244" s="3053" t="s">
        <v>1905</v>
      </c>
      <c r="D244" s="1708">
        <v>0</v>
      </c>
      <c r="E244" s="1705"/>
      <c r="F244" s="1709">
        <v>0</v>
      </c>
      <c r="G244" s="309">
        <f>IF(OR(B244="U",F244=0),0,  F244*POWER((1+'2. TaxData'!$I$65),(D244-'1. AgeData'!$D$30)))</f>
        <v>0</v>
      </c>
      <c r="H244" s="1704" t="s">
        <v>220</v>
      </c>
      <c r="I244" s="3053" t="s">
        <v>1905</v>
      </c>
      <c r="J244" s="1708">
        <v>0</v>
      </c>
      <c r="K244" s="1705"/>
      <c r="L244" s="1709">
        <v>0</v>
      </c>
      <c r="M244" s="310">
        <f>IF(OR(H244="U",L244=0),0,  L244*POWER((1+'2. TaxData'!$I$65),(J244-'1. AgeData'!$D$31)))</f>
        <v>0</v>
      </c>
    </row>
    <row r="245" spans="1:13" x14ac:dyDescent="0.25">
      <c r="A245" s="307">
        <v>80</v>
      </c>
      <c r="B245" s="1701" t="s">
        <v>220</v>
      </c>
      <c r="C245" s="3053" t="s">
        <v>1905</v>
      </c>
      <c r="D245" s="1708">
        <v>0</v>
      </c>
      <c r="E245" s="1705"/>
      <c r="F245" s="1709">
        <v>0</v>
      </c>
      <c r="G245" s="309">
        <f>IF(OR(B245="U",F245=0),0,  F245*POWER((1+'2. TaxData'!$I$65),(D245-'1. AgeData'!$D$30)))</f>
        <v>0</v>
      </c>
      <c r="H245" s="1704" t="s">
        <v>220</v>
      </c>
      <c r="I245" s="3053" t="s">
        <v>1905</v>
      </c>
      <c r="J245" s="1708">
        <v>0</v>
      </c>
      <c r="K245" s="1705"/>
      <c r="L245" s="1709">
        <v>0</v>
      </c>
      <c r="M245" s="310">
        <f>IF(OR(H245="U",L245=0),0,  L245*POWER((1+'2. TaxData'!$I$65),(J245-'1. AgeData'!$D$31)))</f>
        <v>0</v>
      </c>
    </row>
    <row r="246" spans="1:13" x14ac:dyDescent="0.25">
      <c r="A246" s="307">
        <v>81</v>
      </c>
      <c r="B246" s="1701" t="s">
        <v>220</v>
      </c>
      <c r="C246" s="3053" t="s">
        <v>1905</v>
      </c>
      <c r="D246" s="1708">
        <v>0</v>
      </c>
      <c r="E246" s="1705"/>
      <c r="F246" s="1709">
        <v>0</v>
      </c>
      <c r="G246" s="309">
        <f>IF(OR(B246="U",F246=0),0,  F246*POWER((1+'2. TaxData'!$I$65),(D246-'1. AgeData'!$D$30)))</f>
        <v>0</v>
      </c>
      <c r="H246" s="1704" t="s">
        <v>220</v>
      </c>
      <c r="I246" s="3053" t="s">
        <v>1905</v>
      </c>
      <c r="J246" s="1708">
        <v>0</v>
      </c>
      <c r="K246" s="1705"/>
      <c r="L246" s="1709">
        <v>0</v>
      </c>
      <c r="M246" s="310">
        <f>IF(OR(H246="U",L246=0),0,  L246*POWER((1+'2. TaxData'!$I$65),(J246-'1. AgeData'!$D$31)))</f>
        <v>0</v>
      </c>
    </row>
    <row r="247" spans="1:13" x14ac:dyDescent="0.25">
      <c r="A247" s="307">
        <v>82</v>
      </c>
      <c r="B247" s="1701" t="s">
        <v>220</v>
      </c>
      <c r="C247" s="3053" t="s">
        <v>1905</v>
      </c>
      <c r="D247" s="1708">
        <v>0</v>
      </c>
      <c r="E247" s="1705"/>
      <c r="F247" s="1709">
        <v>0</v>
      </c>
      <c r="G247" s="309">
        <f>IF(OR(B247="U",F247=0),0,  F247*POWER((1+'2. TaxData'!$I$65),(D247-'1. AgeData'!$D$30)))</f>
        <v>0</v>
      </c>
      <c r="H247" s="1704" t="s">
        <v>220</v>
      </c>
      <c r="I247" s="3053" t="s">
        <v>1905</v>
      </c>
      <c r="J247" s="1708">
        <v>0</v>
      </c>
      <c r="K247" s="1705"/>
      <c r="L247" s="1709">
        <v>0</v>
      </c>
      <c r="M247" s="310">
        <f>IF(OR(H247="U",L247=0),0,  L247*POWER((1+'2. TaxData'!$I$65),(J247-'1. AgeData'!$D$31)))</f>
        <v>0</v>
      </c>
    </row>
    <row r="248" spans="1:13" x14ac:dyDescent="0.25">
      <c r="A248" s="307">
        <v>83</v>
      </c>
      <c r="B248" s="1701" t="s">
        <v>220</v>
      </c>
      <c r="C248" s="3053" t="s">
        <v>1905</v>
      </c>
      <c r="D248" s="1708">
        <v>0</v>
      </c>
      <c r="E248" s="1705"/>
      <c r="F248" s="1709">
        <v>0</v>
      </c>
      <c r="G248" s="309">
        <f>IF(OR(B248="U",F248=0),0,  F248*POWER((1+'2. TaxData'!$I$65),(D248-'1. AgeData'!$D$30)))</f>
        <v>0</v>
      </c>
      <c r="H248" s="1704" t="s">
        <v>220</v>
      </c>
      <c r="I248" s="3053" t="s">
        <v>1905</v>
      </c>
      <c r="J248" s="1708">
        <v>0</v>
      </c>
      <c r="K248" s="1705"/>
      <c r="L248" s="1709">
        <v>0</v>
      </c>
      <c r="M248" s="310">
        <f>IF(OR(H248="U",L248=0),0,  L248*POWER((1+'2. TaxData'!$I$65),(J248-'1. AgeData'!$D$31)))</f>
        <v>0</v>
      </c>
    </row>
    <row r="249" spans="1:13" x14ac:dyDescent="0.25">
      <c r="A249" s="307">
        <v>84</v>
      </c>
      <c r="B249" s="1701" t="s">
        <v>220</v>
      </c>
      <c r="C249" s="3053" t="s">
        <v>1905</v>
      </c>
      <c r="D249" s="1708">
        <v>0</v>
      </c>
      <c r="E249" s="1705"/>
      <c r="F249" s="1709">
        <v>0</v>
      </c>
      <c r="G249" s="309">
        <f>IF(OR(B249="U",F249=0),0,  F249*POWER((1+'2. TaxData'!$I$65),(D249-'1. AgeData'!$D$30)))</f>
        <v>0</v>
      </c>
      <c r="H249" s="1704" t="s">
        <v>220</v>
      </c>
      <c r="I249" s="3053" t="s">
        <v>1905</v>
      </c>
      <c r="J249" s="1708">
        <v>0</v>
      </c>
      <c r="K249" s="1705"/>
      <c r="L249" s="1709">
        <v>0</v>
      </c>
      <c r="M249" s="310">
        <f>IF(OR(H249="U",L249=0),0,  L249*POWER((1+'2. TaxData'!$I$65),(J249-'1. AgeData'!$D$31)))</f>
        <v>0</v>
      </c>
    </row>
    <row r="250" spans="1:13" x14ac:dyDescent="0.25">
      <c r="A250" s="307">
        <v>85</v>
      </c>
      <c r="B250" s="1701" t="s">
        <v>220</v>
      </c>
      <c r="C250" s="3053" t="s">
        <v>1905</v>
      </c>
      <c r="D250" s="1708">
        <v>0</v>
      </c>
      <c r="E250" s="1705"/>
      <c r="F250" s="1709">
        <v>0</v>
      </c>
      <c r="G250" s="309">
        <f>IF(OR(B250="U",F250=0),0,  F250*POWER((1+'2. TaxData'!$I$65),(D250-'1. AgeData'!$D$30)))</f>
        <v>0</v>
      </c>
      <c r="H250" s="1704" t="s">
        <v>220</v>
      </c>
      <c r="I250" s="3053" t="s">
        <v>1905</v>
      </c>
      <c r="J250" s="1708">
        <v>0</v>
      </c>
      <c r="K250" s="1705"/>
      <c r="L250" s="1709">
        <v>0</v>
      </c>
      <c r="M250" s="310">
        <f>IF(OR(H250="U",L250=0),0,  L250*POWER((1+'2. TaxData'!$I$65),(J250-'1. AgeData'!$D$31)))</f>
        <v>0</v>
      </c>
    </row>
    <row r="251" spans="1:13" x14ac:dyDescent="0.25">
      <c r="A251" s="307">
        <v>86</v>
      </c>
      <c r="B251" s="1701" t="s">
        <v>220</v>
      </c>
      <c r="C251" s="3053" t="s">
        <v>1905</v>
      </c>
      <c r="D251" s="1708">
        <v>0</v>
      </c>
      <c r="E251" s="1705"/>
      <c r="F251" s="1709">
        <v>0</v>
      </c>
      <c r="G251" s="309">
        <f>IF(OR(B251="U",F251=0),0,  F251*POWER((1+'2. TaxData'!$I$65),(D251-'1. AgeData'!$D$30)))</f>
        <v>0</v>
      </c>
      <c r="H251" s="1704" t="s">
        <v>220</v>
      </c>
      <c r="I251" s="3053" t="s">
        <v>1905</v>
      </c>
      <c r="J251" s="1708">
        <v>0</v>
      </c>
      <c r="K251" s="1705"/>
      <c r="L251" s="1709">
        <v>0</v>
      </c>
      <c r="M251" s="310">
        <f>IF(OR(H251="U",L251=0),0,  L251*POWER((1+'2. TaxData'!$I$65),(J251-'1. AgeData'!$D$31)))</f>
        <v>0</v>
      </c>
    </row>
    <row r="252" spans="1:13" x14ac:dyDescent="0.25">
      <c r="A252" s="307">
        <v>87</v>
      </c>
      <c r="B252" s="1701" t="s">
        <v>220</v>
      </c>
      <c r="C252" s="3053" t="s">
        <v>1905</v>
      </c>
      <c r="D252" s="1708">
        <v>0</v>
      </c>
      <c r="E252" s="1705"/>
      <c r="F252" s="1709">
        <v>0</v>
      </c>
      <c r="G252" s="309">
        <f>IF(OR(B252="U",F252=0),0,  F252*POWER((1+'2. TaxData'!$I$65),(D252-'1. AgeData'!$D$30)))</f>
        <v>0</v>
      </c>
      <c r="H252" s="1704" t="s">
        <v>220</v>
      </c>
      <c r="I252" s="3053" t="s">
        <v>1905</v>
      </c>
      <c r="J252" s="1708">
        <v>0</v>
      </c>
      <c r="K252" s="1705"/>
      <c r="L252" s="1709">
        <v>0</v>
      </c>
      <c r="M252" s="310">
        <f>IF(OR(H252="U",L252=0),0,  L252*POWER((1+'2. TaxData'!$I$65),(J252-'1. AgeData'!$D$31)))</f>
        <v>0</v>
      </c>
    </row>
    <row r="253" spans="1:13" x14ac:dyDescent="0.25">
      <c r="A253" s="307">
        <v>88</v>
      </c>
      <c r="B253" s="1701" t="s">
        <v>220</v>
      </c>
      <c r="C253" s="3053" t="s">
        <v>1905</v>
      </c>
      <c r="D253" s="1708">
        <v>0</v>
      </c>
      <c r="E253" s="1705"/>
      <c r="F253" s="1709">
        <v>0</v>
      </c>
      <c r="G253" s="309">
        <f>IF(OR(B253="U",F253=0),0,  F253*POWER((1+'2. TaxData'!$I$65),(D253-'1. AgeData'!$D$30)))</f>
        <v>0</v>
      </c>
      <c r="H253" s="1704" t="s">
        <v>220</v>
      </c>
      <c r="I253" s="3053" t="s">
        <v>1905</v>
      </c>
      <c r="J253" s="1708">
        <v>0</v>
      </c>
      <c r="K253" s="1705"/>
      <c r="L253" s="1709">
        <v>0</v>
      </c>
      <c r="M253" s="310">
        <f>IF(OR(H253="U",L253=0),0,  L253*POWER((1+'2. TaxData'!$I$65),(J253-'1. AgeData'!$D$31)))</f>
        <v>0</v>
      </c>
    </row>
    <row r="254" spans="1:13" x14ac:dyDescent="0.25">
      <c r="A254" s="307">
        <v>89</v>
      </c>
      <c r="B254" s="1701" t="s">
        <v>220</v>
      </c>
      <c r="C254" s="3053" t="s">
        <v>1905</v>
      </c>
      <c r="D254" s="1708">
        <v>0</v>
      </c>
      <c r="E254" s="1705"/>
      <c r="F254" s="1709">
        <v>0</v>
      </c>
      <c r="G254" s="309">
        <f>IF(OR(B254="U",F254=0),0,  F254*POWER((1+'2. TaxData'!$I$65),(D254-'1. AgeData'!$D$30)))</f>
        <v>0</v>
      </c>
      <c r="H254" s="1704" t="s">
        <v>220</v>
      </c>
      <c r="I254" s="3053" t="s">
        <v>1905</v>
      </c>
      <c r="J254" s="1708">
        <v>0</v>
      </c>
      <c r="K254" s="1705"/>
      <c r="L254" s="1709">
        <v>0</v>
      </c>
      <c r="M254" s="310">
        <f>IF(OR(H254="U",L254=0),0,  L254*POWER((1+'2. TaxData'!$I$65),(J254-'1. AgeData'!$D$31)))</f>
        <v>0</v>
      </c>
    </row>
    <row r="255" spans="1:13" x14ac:dyDescent="0.25">
      <c r="A255" s="307">
        <v>90</v>
      </c>
      <c r="B255" s="1701" t="s">
        <v>220</v>
      </c>
      <c r="C255" s="3053" t="s">
        <v>1905</v>
      </c>
      <c r="D255" s="1708">
        <v>0</v>
      </c>
      <c r="E255" s="1705"/>
      <c r="F255" s="1709">
        <v>0</v>
      </c>
      <c r="G255" s="309">
        <f>IF(OR(B255="U",F255=0),0,  F255*POWER((1+'2. TaxData'!$I$65),(D255-'1. AgeData'!$D$30)))</f>
        <v>0</v>
      </c>
      <c r="H255" s="1704" t="s">
        <v>220</v>
      </c>
      <c r="I255" s="3053" t="s">
        <v>1905</v>
      </c>
      <c r="J255" s="1708">
        <v>0</v>
      </c>
      <c r="K255" s="1705"/>
      <c r="L255" s="1709">
        <v>0</v>
      </c>
      <c r="M255" s="310">
        <f>IF(OR(H255="U",L255=0),0,  L255*POWER((1+'2. TaxData'!$I$65),(J255-'1. AgeData'!$D$31)))</f>
        <v>0</v>
      </c>
    </row>
    <row r="256" spans="1:13" x14ac:dyDescent="0.25">
      <c r="A256" s="307">
        <v>91</v>
      </c>
      <c r="B256" s="1701" t="s">
        <v>220</v>
      </c>
      <c r="C256" s="3053" t="s">
        <v>1905</v>
      </c>
      <c r="D256" s="1708">
        <v>0</v>
      </c>
      <c r="E256" s="1705"/>
      <c r="F256" s="1709">
        <v>0</v>
      </c>
      <c r="G256" s="309">
        <f>IF(OR(B256="U",F256=0),0,  F256*POWER((1+'2. TaxData'!$I$65),(D256-'1. AgeData'!$D$30)))</f>
        <v>0</v>
      </c>
      <c r="H256" s="1704" t="s">
        <v>220</v>
      </c>
      <c r="I256" s="3053" t="s">
        <v>1905</v>
      </c>
      <c r="J256" s="1708">
        <v>0</v>
      </c>
      <c r="K256" s="1705"/>
      <c r="L256" s="1709">
        <v>0</v>
      </c>
      <c r="M256" s="310">
        <f>IF(OR(H256="U",L256=0),0,  L256*POWER((1+'2. TaxData'!$I$65),(J256-'1. AgeData'!$D$31)))</f>
        <v>0</v>
      </c>
    </row>
    <row r="257" spans="1:13" x14ac:dyDescent="0.25">
      <c r="A257" s="307">
        <v>92</v>
      </c>
      <c r="B257" s="1701" t="s">
        <v>220</v>
      </c>
      <c r="C257" s="3053" t="s">
        <v>1905</v>
      </c>
      <c r="D257" s="1708">
        <v>0</v>
      </c>
      <c r="E257" s="1705"/>
      <c r="F257" s="1709">
        <v>0</v>
      </c>
      <c r="G257" s="309">
        <f>IF(OR(B257="U",F257=0),0,  F257*POWER((1+'2. TaxData'!$I$65),(D257-'1. AgeData'!$D$30)))</f>
        <v>0</v>
      </c>
      <c r="H257" s="1704" t="s">
        <v>220</v>
      </c>
      <c r="I257" s="3053" t="s">
        <v>1905</v>
      </c>
      <c r="J257" s="1708">
        <v>0</v>
      </c>
      <c r="K257" s="1705"/>
      <c r="L257" s="1709">
        <v>0</v>
      </c>
      <c r="M257" s="310">
        <f>IF(OR(H257="U",L257=0),0,  L257*POWER((1+'2. TaxData'!$I$65),(J257-'1. AgeData'!$D$31)))</f>
        <v>0</v>
      </c>
    </row>
    <row r="258" spans="1:13" x14ac:dyDescent="0.25">
      <c r="A258" s="307">
        <v>93</v>
      </c>
      <c r="B258" s="1701" t="s">
        <v>220</v>
      </c>
      <c r="C258" s="3053" t="s">
        <v>1905</v>
      </c>
      <c r="D258" s="1708">
        <v>0</v>
      </c>
      <c r="E258" s="1705"/>
      <c r="F258" s="1709">
        <v>0</v>
      </c>
      <c r="G258" s="309">
        <f>IF(OR(B258="U",F258=0),0,  F258*POWER((1+'2. TaxData'!$I$65),(D258-'1. AgeData'!$D$30)))</f>
        <v>0</v>
      </c>
      <c r="H258" s="1704" t="s">
        <v>220</v>
      </c>
      <c r="I258" s="3053" t="s">
        <v>1905</v>
      </c>
      <c r="J258" s="1708">
        <v>0</v>
      </c>
      <c r="K258" s="1705"/>
      <c r="L258" s="1709">
        <v>0</v>
      </c>
      <c r="M258" s="310">
        <f>IF(OR(H258="U",L258=0),0,  L258*POWER((1+'2. TaxData'!$I$65),(J258-'1. AgeData'!$D$31)))</f>
        <v>0</v>
      </c>
    </row>
    <row r="259" spans="1:13" x14ac:dyDescent="0.25">
      <c r="A259" s="307">
        <v>94</v>
      </c>
      <c r="B259" s="1701" t="s">
        <v>220</v>
      </c>
      <c r="C259" s="3053" t="s">
        <v>1905</v>
      </c>
      <c r="D259" s="1708">
        <v>0</v>
      </c>
      <c r="E259" s="1705"/>
      <c r="F259" s="1709">
        <v>0</v>
      </c>
      <c r="G259" s="309">
        <f>IF(OR(B259="U",F259=0),0,  F259*POWER((1+'2. TaxData'!$I$65),(D259-'1. AgeData'!$D$30)))</f>
        <v>0</v>
      </c>
      <c r="H259" s="1704" t="s">
        <v>220</v>
      </c>
      <c r="I259" s="3053" t="s">
        <v>1905</v>
      </c>
      <c r="J259" s="1708">
        <v>0</v>
      </c>
      <c r="K259" s="1705"/>
      <c r="L259" s="1709">
        <v>0</v>
      </c>
      <c r="M259" s="310">
        <f>IF(OR(H259="U",L259=0),0,  L259*POWER((1+'2. TaxData'!$I$65),(J259-'1. AgeData'!$D$31)))</f>
        <v>0</v>
      </c>
    </row>
    <row r="260" spans="1:13" x14ac:dyDescent="0.25">
      <c r="A260" s="307">
        <v>95</v>
      </c>
      <c r="B260" s="1701" t="s">
        <v>220</v>
      </c>
      <c r="C260" s="3053" t="s">
        <v>1905</v>
      </c>
      <c r="D260" s="1708">
        <v>0</v>
      </c>
      <c r="E260" s="1705"/>
      <c r="F260" s="1709">
        <v>0</v>
      </c>
      <c r="G260" s="309">
        <f>IF(OR(B260="U",F260=0),0,  F260*POWER((1+'2. TaxData'!$I$65),(D260-'1. AgeData'!$D$30)))</f>
        <v>0</v>
      </c>
      <c r="H260" s="1704" t="s">
        <v>220</v>
      </c>
      <c r="I260" s="3053" t="s">
        <v>1905</v>
      </c>
      <c r="J260" s="1708">
        <v>0</v>
      </c>
      <c r="K260" s="1705"/>
      <c r="L260" s="1709">
        <v>0</v>
      </c>
      <c r="M260" s="310">
        <f>IF(OR(H260="U",L260=0),0,  L260*POWER((1+'2. TaxData'!$I$65),(J260-'1. AgeData'!$D$31)))</f>
        <v>0</v>
      </c>
    </row>
    <row r="261" spans="1:13" x14ac:dyDescent="0.25">
      <c r="A261" s="307">
        <v>96</v>
      </c>
      <c r="B261" s="1701" t="s">
        <v>220</v>
      </c>
      <c r="C261" s="3053" t="s">
        <v>1905</v>
      </c>
      <c r="D261" s="1708">
        <v>0</v>
      </c>
      <c r="E261" s="1705"/>
      <c r="F261" s="1709">
        <v>0</v>
      </c>
      <c r="G261" s="309">
        <f>IF(OR(B261="U",F261=0),0,  F261*POWER((1+'2. TaxData'!$I$65),(D261-'1. AgeData'!$D$30)))</f>
        <v>0</v>
      </c>
      <c r="H261" s="1704" t="s">
        <v>220</v>
      </c>
      <c r="I261" s="3053" t="s">
        <v>1905</v>
      </c>
      <c r="J261" s="1708">
        <v>0</v>
      </c>
      <c r="K261" s="1705"/>
      <c r="L261" s="1709">
        <v>0</v>
      </c>
      <c r="M261" s="310">
        <f>IF(OR(H261="U",L261=0),0,  L261*POWER((1+'2. TaxData'!$I$65),(J261-'1. AgeData'!$D$31)))</f>
        <v>0</v>
      </c>
    </row>
    <row r="262" spans="1:13" x14ac:dyDescent="0.25">
      <c r="A262" s="307">
        <v>97</v>
      </c>
      <c r="B262" s="1701" t="s">
        <v>220</v>
      </c>
      <c r="C262" s="3053" t="s">
        <v>1905</v>
      </c>
      <c r="D262" s="1708">
        <v>0</v>
      </c>
      <c r="E262" s="1705"/>
      <c r="F262" s="1709">
        <v>0</v>
      </c>
      <c r="G262" s="309">
        <f>IF(OR(B262="U",F262=0),0,  F262*POWER((1+'2. TaxData'!$I$65),(D262-'1. AgeData'!$D$30)))</f>
        <v>0</v>
      </c>
      <c r="H262" s="1704" t="s">
        <v>220</v>
      </c>
      <c r="I262" s="3053" t="s">
        <v>1905</v>
      </c>
      <c r="J262" s="1708">
        <v>0</v>
      </c>
      <c r="K262" s="1705"/>
      <c r="L262" s="1709">
        <v>0</v>
      </c>
      <c r="M262" s="310">
        <f>IF(OR(H262="U",L262=0),0,  L262*POWER((1+'2. TaxData'!$I$65),(J262-'1. AgeData'!$D$31)))</f>
        <v>0</v>
      </c>
    </row>
    <row r="263" spans="1:13" x14ac:dyDescent="0.25">
      <c r="A263" s="307">
        <v>98</v>
      </c>
      <c r="B263" s="1701" t="s">
        <v>220</v>
      </c>
      <c r="C263" s="3053" t="s">
        <v>1905</v>
      </c>
      <c r="D263" s="1708">
        <v>0</v>
      </c>
      <c r="E263" s="1705"/>
      <c r="F263" s="1709">
        <v>0</v>
      </c>
      <c r="G263" s="309">
        <f>IF(OR(B263="U",F263=0),0,  F263*POWER((1+'2. TaxData'!$I$65),(D263-'1. AgeData'!$D$30)))</f>
        <v>0</v>
      </c>
      <c r="H263" s="1704" t="s">
        <v>220</v>
      </c>
      <c r="I263" s="3053" t="s">
        <v>1905</v>
      </c>
      <c r="J263" s="1708">
        <v>0</v>
      </c>
      <c r="K263" s="1705"/>
      <c r="L263" s="1709">
        <v>0</v>
      </c>
      <c r="M263" s="310">
        <f>IF(OR(H263="U",L263=0),0,  L263*POWER((1+'2. TaxData'!$I$65),(J263-'1. AgeData'!$D$31)))</f>
        <v>0</v>
      </c>
    </row>
    <row r="264" spans="1:13" x14ac:dyDescent="0.25">
      <c r="A264" s="307">
        <v>99</v>
      </c>
      <c r="B264" s="1701" t="s">
        <v>220</v>
      </c>
      <c r="C264" s="3053" t="s">
        <v>1905</v>
      </c>
      <c r="D264" s="1708">
        <v>0</v>
      </c>
      <c r="E264" s="1705"/>
      <c r="F264" s="1709">
        <v>0</v>
      </c>
      <c r="G264" s="309">
        <f>IF(OR(B264="U",F264=0),0,  F264*POWER((1+'2. TaxData'!$I$65),(D264-'1. AgeData'!$D$30)))</f>
        <v>0</v>
      </c>
      <c r="H264" s="1704" t="s">
        <v>220</v>
      </c>
      <c r="I264" s="3053" t="s">
        <v>1905</v>
      </c>
      <c r="J264" s="1708">
        <v>0</v>
      </c>
      <c r="K264" s="1705"/>
      <c r="L264" s="1709">
        <v>0</v>
      </c>
      <c r="M264" s="310">
        <f>IF(OR(H264="U",L264=0),0,  L264*POWER((1+'2. TaxData'!$I$65),(J264-'1. AgeData'!$D$31)))</f>
        <v>0</v>
      </c>
    </row>
    <row r="265" spans="1:13" x14ac:dyDescent="0.25">
      <c r="A265" s="307">
        <v>100</v>
      </c>
      <c r="B265" s="1701" t="s">
        <v>220</v>
      </c>
      <c r="C265" s="3053" t="s">
        <v>1905</v>
      </c>
      <c r="D265" s="1708">
        <v>0</v>
      </c>
      <c r="E265" s="1705"/>
      <c r="F265" s="1709">
        <v>0</v>
      </c>
      <c r="G265" s="309">
        <f>IF(OR(B265="U",F265=0),0,  F265*POWER((1+'2. TaxData'!$I$65),(D265-'1. AgeData'!$D$30)))</f>
        <v>0</v>
      </c>
      <c r="H265" s="1704" t="s">
        <v>220</v>
      </c>
      <c r="I265" s="3053" t="s">
        <v>1905</v>
      </c>
      <c r="J265" s="1708">
        <v>0</v>
      </c>
      <c r="K265" s="1705"/>
      <c r="L265" s="1709">
        <v>0</v>
      </c>
      <c r="M265" s="310">
        <f>IF(OR(H265="U",L265=0),0,  L265*POWER((1+'2. TaxData'!$I$65),(J265-'1. AgeData'!$D$31)))</f>
        <v>0</v>
      </c>
    </row>
    <row r="266" spans="1:13" x14ac:dyDescent="0.25">
      <c r="A266" s="307">
        <v>101</v>
      </c>
      <c r="B266" s="1701" t="s">
        <v>220</v>
      </c>
      <c r="C266" s="3053" t="s">
        <v>1905</v>
      </c>
      <c r="D266" s="1708">
        <v>0</v>
      </c>
      <c r="E266" s="1705"/>
      <c r="F266" s="1709">
        <v>0</v>
      </c>
      <c r="G266" s="309">
        <f>IF(OR(B266="U",F266=0),0,  F266*POWER((1+'2. TaxData'!$I$65),(D266-'1. AgeData'!$D$30)))</f>
        <v>0</v>
      </c>
      <c r="H266" s="1704" t="s">
        <v>220</v>
      </c>
      <c r="I266" s="3053" t="s">
        <v>1905</v>
      </c>
      <c r="J266" s="1708">
        <v>0</v>
      </c>
      <c r="K266" s="1705"/>
      <c r="L266" s="1709">
        <v>0</v>
      </c>
      <c r="M266" s="310">
        <f>IF(OR(H266="U",L266=0),0,  L266*POWER((1+'2. TaxData'!$I$65),(J266-'1. AgeData'!$D$31)))</f>
        <v>0</v>
      </c>
    </row>
    <row r="267" spans="1:13" x14ac:dyDescent="0.25">
      <c r="A267" s="307">
        <v>102</v>
      </c>
      <c r="B267" s="1701" t="s">
        <v>220</v>
      </c>
      <c r="C267" s="3053" t="s">
        <v>1905</v>
      </c>
      <c r="D267" s="1708">
        <v>0</v>
      </c>
      <c r="E267" s="1705"/>
      <c r="F267" s="1709">
        <v>0</v>
      </c>
      <c r="G267" s="309">
        <f>IF(OR(B267="U",F267=0),0,  F267*POWER((1+'2. TaxData'!$I$65),(D267-'1. AgeData'!$D$30)))</f>
        <v>0</v>
      </c>
      <c r="H267" s="1704" t="s">
        <v>220</v>
      </c>
      <c r="I267" s="3053" t="s">
        <v>1905</v>
      </c>
      <c r="J267" s="1708">
        <v>0</v>
      </c>
      <c r="K267" s="1705"/>
      <c r="L267" s="1709">
        <v>0</v>
      </c>
      <c r="M267" s="310">
        <f>IF(OR(H267="U",L267=0),0,  L267*POWER((1+'2. TaxData'!$I$65),(J267-'1. AgeData'!$D$31)))</f>
        <v>0</v>
      </c>
    </row>
    <row r="268" spans="1:13" ht="15.75" thickBot="1" x14ac:dyDescent="0.3">
      <c r="A268" s="1852">
        <v>103</v>
      </c>
      <c r="B268" s="1874" t="s">
        <v>220</v>
      </c>
      <c r="C268" s="3054" t="s">
        <v>1905</v>
      </c>
      <c r="D268" s="1710">
        <v>0</v>
      </c>
      <c r="E268" s="1711"/>
      <c r="F268" s="1712">
        <v>0</v>
      </c>
      <c r="G268" s="1878">
        <f>IF(OR(B268="U",F268=0),0,  F268*POWER((1+'2. TaxData'!$I$65),(D268-'1. AgeData'!$D$30)))</f>
        <v>0</v>
      </c>
      <c r="H268" s="1879" t="s">
        <v>220</v>
      </c>
      <c r="I268" s="3054" t="s">
        <v>1905</v>
      </c>
      <c r="J268" s="1710">
        <v>0</v>
      </c>
      <c r="K268" s="1711"/>
      <c r="L268" s="1712">
        <v>0</v>
      </c>
      <c r="M268" s="1872">
        <f>IF(OR(H268="U",L268=0),0,  L268*POWER((1+'2. TaxData'!$I$65),(J268-'1. AgeData'!$D$31)))</f>
        <v>0</v>
      </c>
    </row>
    <row r="269" spans="1:13" ht="15.75" thickTop="1" x14ac:dyDescent="0.25">
      <c r="A269" s="133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</row>
    <row r="270" spans="1:13" ht="15.75" thickBot="1" x14ac:dyDescent="0.3">
      <c r="A270" s="133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</row>
    <row r="271" spans="1:13" ht="19.5" thickBot="1" x14ac:dyDescent="0.35">
      <c r="A271" s="1571" t="s">
        <v>1263</v>
      </c>
      <c r="B271" s="1572"/>
      <c r="C271" s="1573"/>
      <c r="D271" s="1573"/>
      <c r="E271" s="1572"/>
      <c r="F271" s="1572"/>
      <c r="G271" s="1572"/>
      <c r="H271" s="1572"/>
      <c r="I271" s="1572"/>
      <c r="J271" s="1572"/>
      <c r="K271" s="1575"/>
      <c r="L271" s="1577"/>
      <c r="M271" s="33"/>
    </row>
    <row r="272" spans="1:13" ht="19.5" thickBot="1" x14ac:dyDescent="0.35">
      <c r="A272" s="1841"/>
      <c r="B272" s="1842"/>
      <c r="C272" s="1841"/>
      <c r="D272" s="1841"/>
      <c r="E272" s="1842"/>
      <c r="F272" s="1842"/>
      <c r="G272" s="1842"/>
      <c r="H272" s="1842"/>
      <c r="I272" s="1842"/>
      <c r="J272" s="1842"/>
      <c r="K272" s="33"/>
      <c r="L272" s="1843"/>
      <c r="M272" s="33"/>
    </row>
    <row r="273" spans="1:13" ht="19.5" thickTop="1" x14ac:dyDescent="0.3">
      <c r="A273" s="1340" t="s">
        <v>2062</v>
      </c>
      <c r="B273" s="1341"/>
      <c r="C273" s="1341"/>
      <c r="D273" s="1341"/>
      <c r="E273" s="2282"/>
      <c r="F273" s="1341"/>
      <c r="G273" s="1341"/>
      <c r="H273" s="1341"/>
      <c r="I273" s="1341"/>
      <c r="J273" s="1341"/>
      <c r="K273" s="1341"/>
      <c r="L273" s="1341"/>
      <c r="M273" s="1342"/>
    </row>
    <row r="274" spans="1:13" ht="18.75" x14ac:dyDescent="0.3">
      <c r="A274" s="2427"/>
      <c r="B274" s="1842"/>
      <c r="C274" s="1841"/>
      <c r="D274" s="1841"/>
      <c r="E274" s="1842"/>
      <c r="F274" s="1842"/>
      <c r="G274" s="1842"/>
      <c r="H274" s="1842"/>
      <c r="I274" s="1842"/>
      <c r="J274" s="1842"/>
      <c r="K274" s="33"/>
      <c r="L274" s="1843"/>
      <c r="M274" s="1454"/>
    </row>
    <row r="275" spans="1:13" ht="18.75" x14ac:dyDescent="0.3">
      <c r="A275" s="2428" t="s">
        <v>2418</v>
      </c>
      <c r="B275" s="1842"/>
      <c r="C275" s="1841"/>
      <c r="D275" s="1841"/>
      <c r="E275" s="1842"/>
      <c r="F275" s="1842"/>
      <c r="G275" s="1842"/>
      <c r="H275" s="1842"/>
      <c r="I275" s="1842"/>
      <c r="J275" s="1842"/>
      <c r="K275" s="33"/>
      <c r="L275" s="1843"/>
      <c r="M275" s="1454"/>
    </row>
    <row r="276" spans="1:13" ht="18.75" x14ac:dyDescent="0.3">
      <c r="A276" s="2428" t="s">
        <v>2888</v>
      </c>
      <c r="B276" s="1842"/>
      <c r="C276" s="1841"/>
      <c r="D276" s="1841"/>
      <c r="E276" s="1842"/>
      <c r="F276" s="1842"/>
      <c r="G276" s="1842"/>
      <c r="H276" s="1842"/>
      <c r="I276" s="1842"/>
      <c r="J276" s="1842"/>
      <c r="K276" s="33"/>
      <c r="L276" s="1843"/>
      <c r="M276" s="1454"/>
    </row>
    <row r="277" spans="1:13" ht="18.75" x14ac:dyDescent="0.3">
      <c r="A277" s="2428" t="s">
        <v>2413</v>
      </c>
      <c r="B277" s="1842"/>
      <c r="C277" s="1841"/>
      <c r="D277" s="1841"/>
      <c r="E277" s="1842"/>
      <c r="F277" s="1842"/>
      <c r="G277" s="1842"/>
      <c r="H277" s="1842"/>
      <c r="I277" s="1842"/>
      <c r="J277" s="1842"/>
      <c r="K277" s="33"/>
      <c r="L277" s="1843"/>
      <c r="M277" s="1454"/>
    </row>
    <row r="278" spans="1:13" ht="18.75" x14ac:dyDescent="0.3">
      <c r="A278" s="2234"/>
      <c r="B278" s="1842"/>
      <c r="C278" s="1841"/>
      <c r="D278" s="1841"/>
      <c r="E278" s="1842"/>
      <c r="F278" s="1842"/>
      <c r="G278" s="1842"/>
      <c r="H278" s="1842"/>
      <c r="I278" s="1842"/>
      <c r="J278" s="1842"/>
      <c r="K278" s="33"/>
      <c r="L278" s="1843"/>
      <c r="M278" s="1454"/>
    </row>
    <row r="279" spans="1:13" x14ac:dyDescent="0.25">
      <c r="A279" s="6" t="s">
        <v>1951</v>
      </c>
      <c r="C279" s="6"/>
      <c r="D279" s="6"/>
      <c r="E279" s="13"/>
      <c r="F279" s="1227"/>
      <c r="G279" s="6"/>
      <c r="H279" s="6"/>
      <c r="I279" s="6"/>
      <c r="J279" s="6"/>
      <c r="K279" s="6"/>
      <c r="L279" s="6"/>
      <c r="M279" s="1311"/>
    </row>
    <row r="280" spans="1:13" ht="18.75" x14ac:dyDescent="0.3">
      <c r="A280" s="1438"/>
      <c r="B280" s="215" t="s">
        <v>1960</v>
      </c>
      <c r="C280" s="1841"/>
      <c r="D280" s="1841"/>
      <c r="E280" s="1842"/>
      <c r="F280" s="1842"/>
      <c r="G280" s="6"/>
      <c r="H280" s="6"/>
      <c r="J280" s="6"/>
      <c r="K280" s="6"/>
      <c r="L280" s="6"/>
      <c r="M280" s="1311"/>
    </row>
    <row r="281" spans="1:13" x14ac:dyDescent="0.25">
      <c r="A281" s="1416" t="s">
        <v>1319</v>
      </c>
      <c r="J281" s="6"/>
      <c r="K281" s="6"/>
      <c r="L281" s="6"/>
      <c r="M281" s="1311"/>
    </row>
    <row r="282" spans="1:13" x14ac:dyDescent="0.25">
      <c r="A282" s="1416"/>
      <c r="B282" t="s">
        <v>2040</v>
      </c>
      <c r="J282" s="6"/>
      <c r="K282" s="6"/>
      <c r="L282" s="6"/>
      <c r="M282" s="1311"/>
    </row>
    <row r="283" spans="1:13" x14ac:dyDescent="0.25">
      <c r="A283" s="1416"/>
      <c r="B283" t="s">
        <v>2431</v>
      </c>
      <c r="J283" s="6"/>
      <c r="K283" s="6"/>
      <c r="L283" s="6"/>
      <c r="M283" s="1311"/>
    </row>
    <row r="284" spans="1:13" ht="18.75" x14ac:dyDescent="0.3">
      <c r="A284" s="1438"/>
      <c r="B284" t="s">
        <v>2041</v>
      </c>
      <c r="G284" s="1183" t="s">
        <v>2038</v>
      </c>
      <c r="K284" s="6"/>
      <c r="L284" s="6"/>
      <c r="M284" s="1311"/>
    </row>
    <row r="285" spans="1:13" ht="18.75" x14ac:dyDescent="0.3">
      <c r="A285" s="1438"/>
      <c r="B285" s="33" t="s">
        <v>1955</v>
      </c>
      <c r="C285" s="1841"/>
      <c r="D285" s="1841"/>
      <c r="E285" s="1842"/>
      <c r="F285" s="6"/>
      <c r="G285" s="1227" t="s">
        <v>2004</v>
      </c>
      <c r="H285" s="6"/>
      <c r="K285" s="6"/>
      <c r="L285" s="6"/>
      <c r="M285" s="1311"/>
    </row>
    <row r="286" spans="1:13" ht="18.75" x14ac:dyDescent="0.3">
      <c r="A286" s="1438"/>
      <c r="B286" s="33" t="s">
        <v>1956</v>
      </c>
      <c r="C286" s="1841"/>
      <c r="D286" s="1841"/>
      <c r="E286" s="1842"/>
      <c r="F286" s="6"/>
      <c r="G286" s="1227" t="s">
        <v>2005</v>
      </c>
      <c r="H286" s="6"/>
      <c r="K286" s="6"/>
      <c r="L286" s="6"/>
      <c r="M286" s="1311"/>
    </row>
    <row r="287" spans="1:13" ht="18.75" x14ac:dyDescent="0.3">
      <c r="A287" s="1438"/>
      <c r="B287" s="215" t="s">
        <v>1957</v>
      </c>
      <c r="C287" s="1841"/>
      <c r="D287" s="1841"/>
      <c r="E287" s="1842"/>
      <c r="F287" s="1842"/>
      <c r="G287" s="1183" t="s">
        <v>2039</v>
      </c>
      <c r="I287" s="144"/>
      <c r="J287" s="6"/>
      <c r="K287" s="6"/>
      <c r="L287" s="6"/>
      <c r="M287" s="1311"/>
    </row>
    <row r="288" spans="1:13" ht="18.75" x14ac:dyDescent="0.3">
      <c r="A288" s="1438"/>
      <c r="B288" s="215" t="s">
        <v>1958</v>
      </c>
      <c r="C288" s="1841"/>
      <c r="D288" s="1841"/>
      <c r="E288" s="1842"/>
      <c r="F288" s="1842"/>
      <c r="G288" s="1227" t="s">
        <v>1953</v>
      </c>
      <c r="H288" s="6"/>
      <c r="I288" s="144"/>
      <c r="J288" s="6"/>
      <c r="K288" s="6"/>
      <c r="L288" s="6"/>
      <c r="M288" s="1311"/>
    </row>
    <row r="289" spans="1:13" ht="18" customHeight="1" x14ac:dyDescent="0.3">
      <c r="A289" s="1438"/>
      <c r="B289" s="215" t="s">
        <v>1959</v>
      </c>
      <c r="C289" s="1841"/>
      <c r="D289" s="1841"/>
      <c r="E289" s="1842"/>
      <c r="F289" s="1842"/>
      <c r="G289" s="1227" t="s">
        <v>1952</v>
      </c>
      <c r="H289" s="6"/>
      <c r="I289" s="144"/>
      <c r="J289" s="6"/>
      <c r="K289" s="6"/>
      <c r="L289" s="6"/>
      <c r="M289" s="1311"/>
    </row>
    <row r="290" spans="1:13" ht="18" customHeight="1" x14ac:dyDescent="0.3">
      <c r="A290" s="1438"/>
      <c r="B290" t="str">
        <f>IF(L330&lt;0,"PROBLEM! You are taking too much money out of S1's Roth Account. Take less in RothData worksheet",".")</f>
        <v>.</v>
      </c>
      <c r="C290" s="1841"/>
      <c r="D290" s="6"/>
      <c r="E290" s="6"/>
      <c r="F290" s="6"/>
      <c r="G290" s="6"/>
      <c r="H290" s="6"/>
      <c r="I290" s="6" t="s">
        <v>2468</v>
      </c>
      <c r="K290" s="6"/>
      <c r="L290" s="6"/>
      <c r="M290" s="1311"/>
    </row>
    <row r="291" spans="1:13" ht="18" customHeight="1" thickBot="1" x14ac:dyDescent="0.35">
      <c r="A291" s="1438"/>
      <c r="B291" t="str">
        <f>IF(M330&lt;0,"PROBLEM! You are taking too much money out of S2's Roth Account. Take less in RothData worksheet",".")</f>
        <v>.</v>
      </c>
      <c r="C291" s="1841"/>
      <c r="D291" s="1841"/>
      <c r="E291" s="1842"/>
      <c r="F291" s="1842"/>
      <c r="G291" s="1227"/>
      <c r="H291" s="6"/>
      <c r="I291" s="144"/>
      <c r="J291" s="6"/>
      <c r="K291" s="6"/>
      <c r="L291" s="6"/>
      <c r="M291" s="1311"/>
    </row>
    <row r="292" spans="1:13" ht="53.25" thickTop="1" thickBot="1" x14ac:dyDescent="0.3">
      <c r="A292" s="532" t="s">
        <v>142</v>
      </c>
      <c r="B292" s="533" t="s">
        <v>143</v>
      </c>
      <c r="C292" s="3203" t="s">
        <v>1872</v>
      </c>
      <c r="D292" s="3204" t="s">
        <v>1873</v>
      </c>
      <c r="E292" s="3202" t="s">
        <v>1906</v>
      </c>
      <c r="F292" s="3202" t="s">
        <v>1907</v>
      </c>
      <c r="G292" s="1258" t="s">
        <v>1908</v>
      </c>
      <c r="H292" s="1258" t="s">
        <v>1909</v>
      </c>
      <c r="I292" s="3049" t="s">
        <v>1874</v>
      </c>
      <c r="J292" s="3050" t="s">
        <v>1875</v>
      </c>
      <c r="K292" s="3205"/>
      <c r="L292" s="3206" t="s">
        <v>1978</v>
      </c>
      <c r="M292" s="3207" t="s">
        <v>1979</v>
      </c>
    </row>
    <row r="293" spans="1:13" ht="16.5" thickTop="1" thickBot="1" x14ac:dyDescent="0.3">
      <c r="A293" s="3208">
        <f>A294-1</f>
        <v>59</v>
      </c>
      <c r="B293" s="3209">
        <f>B294-1</f>
        <v>54</v>
      </c>
      <c r="C293" s="3236">
        <f>D92</f>
        <v>16000</v>
      </c>
      <c r="D293" s="3237">
        <f>D98</f>
        <v>11000</v>
      </c>
      <c r="E293" s="3238">
        <f>D93</f>
        <v>4000</v>
      </c>
      <c r="F293" s="3238">
        <f>D99</f>
        <v>3000</v>
      </c>
      <c r="G293" s="3239">
        <f>D94</f>
        <v>2000</v>
      </c>
      <c r="H293" s="3240">
        <f>D100</f>
        <v>4500</v>
      </c>
      <c r="I293" s="3241">
        <f>D95</f>
        <v>17000</v>
      </c>
      <c r="J293" s="3242">
        <f>D101</f>
        <v>15000</v>
      </c>
      <c r="K293" s="3235" t="s">
        <v>2469</v>
      </c>
      <c r="L293" s="3215"/>
      <c r="M293" s="3216"/>
    </row>
    <row r="294" spans="1:13" x14ac:dyDescent="0.25">
      <c r="A294" s="1444">
        <f>'1. AgeData'!$D$30</f>
        <v>60</v>
      </c>
      <c r="B294" s="883">
        <f>'1. AgeData'!$D$31</f>
        <v>55</v>
      </c>
      <c r="C294" s="869">
        <f>$D$92</f>
        <v>16000</v>
      </c>
      <c r="D294" s="868">
        <f>$D$98</f>
        <v>11000</v>
      </c>
      <c r="E294" s="1153">
        <f>IF(AND((A294-$K$116)&lt;=4,A294&gt;=$K$116),1,0) *MAX(0,(IF(A294=$K$116,$D$93, E293*(1+$E$93))-E489-E534-E587))</f>
        <v>0</v>
      </c>
      <c r="F294" s="2076">
        <f>IF(AND((B294-$K$122)&lt;=4,B294&gt;=$K$122),1,0) *MAX(0,(IF(B294=$K$122,$D$99, F293*(1+$E$99))-F489-F534-F587))</f>
        <v>0</v>
      </c>
      <c r="G294" s="2402">
        <f>IF(A294&lt;$K$117,0,IF(A294=$K$117,$D$94,MAX(0,((G293*(1+$E$94))-(G489+G534+G587)))))</f>
        <v>0</v>
      </c>
      <c r="H294" s="2477">
        <f>IF(B294&lt;$K$123,0,IF(B294=$K$123,$D$100,MAX(0,((H293*(1+$E$100))-(H489+H534+H587)))))</f>
        <v>0</v>
      </c>
      <c r="I294" s="993">
        <f>$D$95</f>
        <v>17000</v>
      </c>
      <c r="J294" s="2577">
        <f>$D$101</f>
        <v>15000</v>
      </c>
      <c r="K294" s="2353"/>
      <c r="L294" s="924">
        <f t="shared" ref="L294:L330" si="0">C294+E294+G294+I294</f>
        <v>33000</v>
      </c>
      <c r="M294" s="2320">
        <f t="shared" ref="M294:M330" si="1">D294+F294+H294+J294</f>
        <v>26000</v>
      </c>
    </row>
    <row r="295" spans="1:13" x14ac:dyDescent="0.25">
      <c r="A295" s="2281">
        <f>A294+1</f>
        <v>61</v>
      </c>
      <c r="B295" s="2287">
        <f>B294+1</f>
        <v>56</v>
      </c>
      <c r="C295" s="869">
        <f>(C294*(1+$E$92))+(C389+C634)-(C489+C587+E634)</f>
        <v>15954.312845802673</v>
      </c>
      <c r="D295" s="868">
        <f t="shared" ref="D295:D330" si="2">(D294*(1+$E$98))+(D389+G634)-(D587+I634)</f>
        <v>10900.850276642141</v>
      </c>
      <c r="E295" s="1153">
        <f t="shared" ref="E295:E330" si="3">IF(AND((A295-$K$116)&lt;=4,A295&gt;=$K$116),1,0) *MAX(0,(IF(A295=$K$116,$D$93, E294*(1+$E$93))-E490-E535-E588))</f>
        <v>0</v>
      </c>
      <c r="F295" s="2076">
        <f t="shared" ref="F295:F330" si="4">IF(AND((B295-$K$122)&lt;=4,B295&gt;=$K$122),1,0) *MAX(0,(IF(B295=$K$122,$D$99, F294*(1+$E$99))-F490-F535-F588))</f>
        <v>0</v>
      </c>
      <c r="G295" s="2402">
        <f t="shared" ref="G295:G330" si="5">IF(A295&lt;$K$117,0,IF(A295=$K$117,$D$94,MAX(0,((G294*(1+$E$94))-(G490+G535+G588)))))</f>
        <v>0</v>
      </c>
      <c r="H295" s="2477">
        <f t="shared" ref="H295:H330" si="6">IF(B295&lt;$K$123,0,IF(B295=$K$123,$D$100,MAX(0,((H294*(1+$E$100))-(H490+H535+H588)))))</f>
        <v>0</v>
      </c>
      <c r="I295" s="857">
        <f>$D$95-K588</f>
        <v>17000</v>
      </c>
      <c r="J295" s="2006">
        <f t="shared" ref="J295:J330" si="7">$D$101-L588</f>
        <v>15000</v>
      </c>
      <c r="K295" s="2409"/>
      <c r="L295" s="924">
        <f t="shared" si="0"/>
        <v>32954.312845802677</v>
      </c>
      <c r="M295" s="2320">
        <f t="shared" si="1"/>
        <v>25900.850276642141</v>
      </c>
    </row>
    <row r="296" spans="1:13" x14ac:dyDescent="0.25">
      <c r="A296" s="2281">
        <f t="shared" ref="A296:A324" si="8">A295+1</f>
        <v>62</v>
      </c>
      <c r="B296" s="2287">
        <f t="shared" ref="B296:B324" si="9">B295+1</f>
        <v>57</v>
      </c>
      <c r="C296" s="869">
        <f t="shared" ref="C296:C330" si="10">(C295*(1+$E$92))+(C390+C635)-(C588+E635)</f>
        <v>16731.147105257092</v>
      </c>
      <c r="D296" s="868">
        <f t="shared" si="2"/>
        <v>12296.059802913489</v>
      </c>
      <c r="E296" s="1153">
        <f t="shared" si="3"/>
        <v>0</v>
      </c>
      <c r="F296" s="2076">
        <f t="shared" si="4"/>
        <v>0</v>
      </c>
      <c r="G296" s="2402">
        <f t="shared" si="5"/>
        <v>0</v>
      </c>
      <c r="H296" s="2477">
        <f t="shared" si="6"/>
        <v>0</v>
      </c>
      <c r="I296" s="857">
        <f t="shared" ref="I296:I330" si="11">$D$95-K589</f>
        <v>17000</v>
      </c>
      <c r="J296" s="2006">
        <f t="shared" si="7"/>
        <v>15000</v>
      </c>
      <c r="K296" s="2409"/>
      <c r="L296" s="924">
        <f t="shared" si="0"/>
        <v>33731.147105257092</v>
      </c>
      <c r="M296" s="2320">
        <f t="shared" si="1"/>
        <v>27296.059802913489</v>
      </c>
    </row>
    <row r="297" spans="1:13" x14ac:dyDescent="0.25">
      <c r="A297" s="2281">
        <f t="shared" si="8"/>
        <v>63</v>
      </c>
      <c r="B297" s="2287">
        <f t="shared" si="9"/>
        <v>58</v>
      </c>
      <c r="C297" s="869">
        <f t="shared" si="10"/>
        <v>17865.970633048444</v>
      </c>
      <c r="D297" s="868">
        <f t="shared" si="2"/>
        <v>16034.676767778956</v>
      </c>
      <c r="E297" s="1153">
        <f t="shared" si="3"/>
        <v>0</v>
      </c>
      <c r="F297" s="2076">
        <f t="shared" si="4"/>
        <v>0</v>
      </c>
      <c r="G297" s="2402">
        <f t="shared" si="5"/>
        <v>0</v>
      </c>
      <c r="H297" s="2477">
        <f t="shared" si="6"/>
        <v>0</v>
      </c>
      <c r="I297" s="857">
        <f t="shared" si="11"/>
        <v>17000</v>
      </c>
      <c r="J297" s="2006">
        <f t="shared" si="7"/>
        <v>15000</v>
      </c>
      <c r="K297" s="2409"/>
      <c r="L297" s="924">
        <f t="shared" si="0"/>
        <v>34865.970633048448</v>
      </c>
      <c r="M297" s="2320">
        <f t="shared" si="1"/>
        <v>31034.676767778954</v>
      </c>
    </row>
    <row r="298" spans="1:13" x14ac:dyDescent="0.25">
      <c r="A298" s="2281">
        <f t="shared" si="8"/>
        <v>64</v>
      </c>
      <c r="B298" s="2287">
        <f t="shared" si="9"/>
        <v>59</v>
      </c>
      <c r="C298" s="869">
        <f t="shared" si="10"/>
        <v>19135.686074340949</v>
      </c>
      <c r="D298" s="868">
        <f t="shared" si="2"/>
        <v>18645.282316772555</v>
      </c>
      <c r="E298" s="1153">
        <f t="shared" si="3"/>
        <v>0</v>
      </c>
      <c r="F298" s="2076">
        <f t="shared" si="4"/>
        <v>0</v>
      </c>
      <c r="G298" s="2402">
        <f t="shared" si="5"/>
        <v>0</v>
      </c>
      <c r="H298" s="2477">
        <f t="shared" si="6"/>
        <v>0</v>
      </c>
      <c r="I298" s="857">
        <f t="shared" si="11"/>
        <v>17000</v>
      </c>
      <c r="J298" s="2006">
        <f t="shared" si="7"/>
        <v>15000</v>
      </c>
      <c r="K298" s="2409"/>
      <c r="L298" s="924">
        <f t="shared" si="0"/>
        <v>36135.686074340949</v>
      </c>
      <c r="M298" s="2320">
        <f t="shared" si="1"/>
        <v>33645.282316772558</v>
      </c>
    </row>
    <row r="299" spans="1:13" x14ac:dyDescent="0.25">
      <c r="A299" s="2281">
        <f t="shared" si="8"/>
        <v>65</v>
      </c>
      <c r="B299" s="2287">
        <f t="shared" si="9"/>
        <v>60</v>
      </c>
      <c r="C299" s="869">
        <f t="shared" si="10"/>
        <v>21905.574783017226</v>
      </c>
      <c r="D299" s="868">
        <f t="shared" si="2"/>
        <v>19320.241536639722</v>
      </c>
      <c r="E299" s="1153">
        <f t="shared" si="3"/>
        <v>0</v>
      </c>
      <c r="F299" s="2076">
        <f t="shared" si="4"/>
        <v>0</v>
      </c>
      <c r="G299" s="2402">
        <f t="shared" si="5"/>
        <v>0</v>
      </c>
      <c r="H299" s="2477">
        <f t="shared" si="6"/>
        <v>0</v>
      </c>
      <c r="I299" s="857">
        <f t="shared" si="11"/>
        <v>17000</v>
      </c>
      <c r="J299" s="2006">
        <f t="shared" si="7"/>
        <v>15000</v>
      </c>
      <c r="K299" s="2409"/>
      <c r="L299" s="924">
        <f t="shared" si="0"/>
        <v>38905.574783017226</v>
      </c>
      <c r="M299" s="2320">
        <f t="shared" si="1"/>
        <v>34320.241536639718</v>
      </c>
    </row>
    <row r="300" spans="1:13" x14ac:dyDescent="0.25">
      <c r="A300" s="2281">
        <f t="shared" si="8"/>
        <v>66</v>
      </c>
      <c r="B300" s="2287">
        <f t="shared" si="9"/>
        <v>61</v>
      </c>
      <c r="C300" s="869">
        <f t="shared" si="10"/>
        <v>23204.175475205848</v>
      </c>
      <c r="D300" s="868">
        <f t="shared" si="2"/>
        <v>20019.63428026608</v>
      </c>
      <c r="E300" s="1153">
        <f t="shared" si="3"/>
        <v>0</v>
      </c>
      <c r="F300" s="2076">
        <f t="shared" si="4"/>
        <v>2400</v>
      </c>
      <c r="G300" s="2402">
        <f t="shared" si="5"/>
        <v>0</v>
      </c>
      <c r="H300" s="2477">
        <f t="shared" si="6"/>
        <v>0</v>
      </c>
      <c r="I300" s="857">
        <f t="shared" si="11"/>
        <v>17000</v>
      </c>
      <c r="J300" s="2006">
        <f t="shared" si="7"/>
        <v>15000</v>
      </c>
      <c r="K300" s="2409"/>
      <c r="L300" s="924">
        <f t="shared" si="0"/>
        <v>40204.175475205848</v>
      </c>
      <c r="M300" s="2320">
        <f t="shared" si="1"/>
        <v>37419.63428026608</v>
      </c>
    </row>
    <row r="301" spans="1:13" x14ac:dyDescent="0.25">
      <c r="A301" s="2281">
        <f t="shared" si="8"/>
        <v>67</v>
      </c>
      <c r="B301" s="2287">
        <f t="shared" si="9"/>
        <v>62</v>
      </c>
      <c r="C301" s="869">
        <f t="shared" si="10"/>
        <v>24039.525792313259</v>
      </c>
      <c r="D301" s="868">
        <f t="shared" si="2"/>
        <v>20744.345041211713</v>
      </c>
      <c r="E301" s="1153">
        <f t="shared" si="3"/>
        <v>0</v>
      </c>
      <c r="F301" s="2076">
        <f t="shared" si="4"/>
        <v>1894.8000000000002</v>
      </c>
      <c r="G301" s="2402">
        <f t="shared" si="5"/>
        <v>0</v>
      </c>
      <c r="H301" s="2477">
        <f t="shared" si="6"/>
        <v>4500</v>
      </c>
      <c r="I301" s="857">
        <f t="shared" si="11"/>
        <v>17000</v>
      </c>
      <c r="J301" s="2006">
        <f t="shared" si="7"/>
        <v>15000</v>
      </c>
      <c r="K301" s="2409"/>
      <c r="L301" s="924">
        <f t="shared" si="0"/>
        <v>41039.525792313259</v>
      </c>
      <c r="M301" s="2320">
        <f t="shared" si="1"/>
        <v>42139.145041211712</v>
      </c>
    </row>
    <row r="302" spans="1:13" x14ac:dyDescent="0.25">
      <c r="A302" s="2281">
        <f t="shared" si="8"/>
        <v>68</v>
      </c>
      <c r="B302" s="2287">
        <f t="shared" si="9"/>
        <v>63</v>
      </c>
      <c r="C302" s="869">
        <f t="shared" si="10"/>
        <v>24904.948720836539</v>
      </c>
      <c r="D302" s="868">
        <f t="shared" si="2"/>
        <v>21495.290331703578</v>
      </c>
      <c r="E302" s="1153">
        <f t="shared" si="3"/>
        <v>0</v>
      </c>
      <c r="F302" s="2076">
        <f t="shared" si="4"/>
        <v>1302.9908000000005</v>
      </c>
      <c r="G302" s="2402">
        <f t="shared" si="5"/>
        <v>0</v>
      </c>
      <c r="H302" s="2477">
        <f t="shared" si="6"/>
        <v>4569.75</v>
      </c>
      <c r="I302" s="857">
        <f t="shared" si="11"/>
        <v>17000</v>
      </c>
      <c r="J302" s="2006">
        <f t="shared" si="7"/>
        <v>15000</v>
      </c>
      <c r="K302" s="2409"/>
      <c r="L302" s="924">
        <f t="shared" si="0"/>
        <v>41904.948720836539</v>
      </c>
      <c r="M302" s="2320">
        <f t="shared" si="1"/>
        <v>42368.031131703581</v>
      </c>
    </row>
    <row r="303" spans="1:13" x14ac:dyDescent="0.25">
      <c r="A303" s="2281">
        <f t="shared" si="8"/>
        <v>69</v>
      </c>
      <c r="B303" s="2287">
        <f t="shared" si="9"/>
        <v>64</v>
      </c>
      <c r="C303" s="869">
        <f t="shared" si="10"/>
        <v>25801.526874786654</v>
      </c>
      <c r="D303" s="868">
        <f t="shared" si="2"/>
        <v>22273.419841711249</v>
      </c>
      <c r="E303" s="1153">
        <f t="shared" si="3"/>
        <v>0</v>
      </c>
      <c r="F303" s="2076">
        <f t="shared" si="4"/>
        <v>678.85820680000052</v>
      </c>
      <c r="G303" s="2402">
        <f t="shared" si="5"/>
        <v>0</v>
      </c>
      <c r="H303" s="2477">
        <f t="shared" si="6"/>
        <v>4640.5811250000006</v>
      </c>
      <c r="I303" s="857">
        <f t="shared" si="11"/>
        <v>17000</v>
      </c>
      <c r="J303" s="2006">
        <f t="shared" si="7"/>
        <v>15000</v>
      </c>
      <c r="K303" s="2409"/>
      <c r="L303" s="924">
        <f t="shared" si="0"/>
        <v>42801.52687478665</v>
      </c>
      <c r="M303" s="2320">
        <f t="shared" si="1"/>
        <v>42592.85917351125</v>
      </c>
    </row>
    <row r="304" spans="1:13" x14ac:dyDescent="0.25">
      <c r="A304" s="2281">
        <f t="shared" si="8"/>
        <v>70</v>
      </c>
      <c r="B304" s="2287">
        <f t="shared" si="9"/>
        <v>65</v>
      </c>
      <c r="C304" s="869">
        <f t="shared" si="10"/>
        <v>26730.381842278974</v>
      </c>
      <c r="D304" s="868">
        <f t="shared" si="2"/>
        <v>23079.717639981198</v>
      </c>
      <c r="E304" s="1153">
        <f t="shared" si="3"/>
        <v>0</v>
      </c>
      <c r="F304" s="2076">
        <f t="shared" si="4"/>
        <v>14.256022342800065</v>
      </c>
      <c r="G304" s="2402">
        <f t="shared" si="5"/>
        <v>0</v>
      </c>
      <c r="H304" s="2477">
        <f t="shared" si="6"/>
        <v>4712.5101324375009</v>
      </c>
      <c r="I304" s="857">
        <f t="shared" si="11"/>
        <v>16379.56204379562</v>
      </c>
      <c r="J304" s="2006">
        <f t="shared" si="7"/>
        <v>15000</v>
      </c>
      <c r="K304" s="2409"/>
      <c r="L304" s="924">
        <f t="shared" si="0"/>
        <v>43109.943886074594</v>
      </c>
      <c r="M304" s="2320">
        <f t="shared" si="1"/>
        <v>42806.483794761501</v>
      </c>
    </row>
    <row r="305" spans="1:13" x14ac:dyDescent="0.25">
      <c r="A305" s="2281">
        <f t="shared" si="8"/>
        <v>71</v>
      </c>
      <c r="B305" s="2287">
        <f t="shared" si="9"/>
        <v>66</v>
      </c>
      <c r="C305" s="869">
        <f t="shared" si="10"/>
        <v>27692.675588601018</v>
      </c>
      <c r="D305" s="868">
        <f t="shared" si="2"/>
        <v>23915.203418548517</v>
      </c>
      <c r="E305" s="1153">
        <f t="shared" si="3"/>
        <v>3200</v>
      </c>
      <c r="F305" s="2076">
        <f t="shared" si="4"/>
        <v>0</v>
      </c>
      <c r="G305" s="2402">
        <f t="shared" si="5"/>
        <v>0</v>
      </c>
      <c r="H305" s="2477">
        <f t="shared" si="6"/>
        <v>4785.5540394902819</v>
      </c>
      <c r="I305" s="857">
        <f t="shared" si="11"/>
        <v>16381.903319102052</v>
      </c>
      <c r="J305" s="2006">
        <f t="shared" si="7"/>
        <v>15000</v>
      </c>
      <c r="K305" s="2409"/>
      <c r="L305" s="924">
        <f t="shared" si="0"/>
        <v>47274.578907703071</v>
      </c>
      <c r="M305" s="2320">
        <f t="shared" si="1"/>
        <v>43700.757458038803</v>
      </c>
    </row>
    <row r="306" spans="1:13" x14ac:dyDescent="0.25">
      <c r="A306" s="2281">
        <f t="shared" si="8"/>
        <v>72</v>
      </c>
      <c r="B306" s="2287">
        <f t="shared" si="9"/>
        <v>67</v>
      </c>
      <c r="C306" s="869">
        <f t="shared" si="10"/>
        <v>28689.611909790656</v>
      </c>
      <c r="D306" s="868">
        <f t="shared" si="2"/>
        <v>24780.933782299973</v>
      </c>
      <c r="E306" s="1153">
        <f t="shared" si="3"/>
        <v>2520.6400000000003</v>
      </c>
      <c r="F306" s="2076">
        <f t="shared" si="4"/>
        <v>0</v>
      </c>
      <c r="G306" s="2402">
        <f t="shared" si="5"/>
        <v>2000</v>
      </c>
      <c r="H306" s="2477">
        <f t="shared" si="6"/>
        <v>4859.7301271023825</v>
      </c>
      <c r="I306" s="857">
        <f t="shared" si="11"/>
        <v>16360.081901597576</v>
      </c>
      <c r="J306" s="2006">
        <f t="shared" si="7"/>
        <v>15000</v>
      </c>
      <c r="K306" s="2409"/>
      <c r="L306" s="924">
        <f t="shared" si="0"/>
        <v>49570.333811388235</v>
      </c>
      <c r="M306" s="2320">
        <f t="shared" si="1"/>
        <v>44640.663909402356</v>
      </c>
    </row>
    <row r="307" spans="1:13" x14ac:dyDescent="0.25">
      <c r="A307" s="2281">
        <f t="shared" si="8"/>
        <v>73</v>
      </c>
      <c r="B307" s="2287">
        <f t="shared" si="9"/>
        <v>68</v>
      </c>
      <c r="C307" s="869">
        <f t="shared" si="10"/>
        <v>29722.43793854312</v>
      </c>
      <c r="D307" s="868">
        <f t="shared" si="2"/>
        <v>25678.003585219234</v>
      </c>
      <c r="E307" s="1153">
        <f t="shared" si="3"/>
        <v>1775.4547946666673</v>
      </c>
      <c r="F307" s="2076">
        <f t="shared" si="4"/>
        <v>0</v>
      </c>
      <c r="G307" s="2402">
        <f t="shared" si="5"/>
        <v>1982.4283400809718</v>
      </c>
      <c r="H307" s="2477">
        <f t="shared" si="6"/>
        <v>5022.5310863603127</v>
      </c>
      <c r="I307" s="857">
        <f t="shared" si="11"/>
        <v>16337.648506008196</v>
      </c>
      <c r="J307" s="2006">
        <f t="shared" si="7"/>
        <v>15000</v>
      </c>
      <c r="K307" s="2409"/>
      <c r="L307" s="924">
        <f t="shared" si="0"/>
        <v>49817.969579298959</v>
      </c>
      <c r="M307" s="2320">
        <f t="shared" si="1"/>
        <v>45700.534671579546</v>
      </c>
    </row>
    <row r="308" spans="1:13" x14ac:dyDescent="0.25">
      <c r="A308" s="2281">
        <f t="shared" si="8"/>
        <v>74</v>
      </c>
      <c r="B308" s="2287">
        <f t="shared" si="9"/>
        <v>69</v>
      </c>
      <c r="C308" s="869">
        <f t="shared" si="10"/>
        <v>30792.445704330672</v>
      </c>
      <c r="D308" s="868">
        <f t="shared" si="2"/>
        <v>26607.547315004169</v>
      </c>
      <c r="E308" s="1153">
        <f t="shared" si="3"/>
        <v>954.66204309226725</v>
      </c>
      <c r="F308" s="2076">
        <f t="shared" si="4"/>
        <v>0</v>
      </c>
      <c r="G308" s="2402">
        <f t="shared" si="5"/>
        <v>1961.9760100547751</v>
      </c>
      <c r="H308" s="2477">
        <f t="shared" si="6"/>
        <v>5190.7858777533838</v>
      </c>
      <c r="I308" s="857">
        <f t="shared" si="11"/>
        <v>16313.544180419824</v>
      </c>
      <c r="J308" s="2006">
        <f t="shared" si="7"/>
        <v>15000</v>
      </c>
      <c r="K308" s="2409"/>
      <c r="L308" s="924">
        <f t="shared" si="0"/>
        <v>50022.627937897531</v>
      </c>
      <c r="M308" s="2320">
        <f t="shared" si="1"/>
        <v>46798.333192757549</v>
      </c>
    </row>
    <row r="309" spans="1:13" x14ac:dyDescent="0.25">
      <c r="A309" s="2281">
        <f t="shared" si="8"/>
        <v>75</v>
      </c>
      <c r="B309" s="2287">
        <f t="shared" si="9"/>
        <v>70</v>
      </c>
      <c r="C309" s="869">
        <f t="shared" si="10"/>
        <v>31900.973749686578</v>
      </c>
      <c r="D309" s="868">
        <f t="shared" si="2"/>
        <v>27570.74052780732</v>
      </c>
      <c r="E309" s="1153">
        <f t="shared" si="3"/>
        <v>35.990759024578551</v>
      </c>
      <c r="F309" s="2076">
        <f t="shared" si="4"/>
        <v>0</v>
      </c>
      <c r="G309" s="2402">
        <f t="shared" si="5"/>
        <v>1938.4948412741765</v>
      </c>
      <c r="H309" s="2477">
        <f t="shared" si="6"/>
        <v>5175.2324645941308</v>
      </c>
      <c r="I309" s="857">
        <f t="shared" si="11"/>
        <v>16287.61815806027</v>
      </c>
      <c r="J309" s="2006">
        <f t="shared" si="7"/>
        <v>14452.554744525547</v>
      </c>
      <c r="K309" s="2409"/>
      <c r="L309" s="924">
        <f t="shared" si="0"/>
        <v>50163.077508045608</v>
      </c>
      <c r="M309" s="2320">
        <f t="shared" si="1"/>
        <v>47198.527736926997</v>
      </c>
    </row>
    <row r="310" spans="1:13" s="215" customFormat="1" x14ac:dyDescent="0.25">
      <c r="A310" s="2281">
        <f t="shared" si="8"/>
        <v>76</v>
      </c>
      <c r="B310" s="2287">
        <f t="shared" si="9"/>
        <v>71</v>
      </c>
      <c r="C310" s="866">
        <f t="shared" si="10"/>
        <v>33049.408804675295</v>
      </c>
      <c r="D310" s="875">
        <f t="shared" si="2"/>
        <v>28568.801334913944</v>
      </c>
      <c r="E310" s="1153">
        <f t="shared" si="3"/>
        <v>0</v>
      </c>
      <c r="F310" s="2076">
        <f t="shared" si="4"/>
        <v>0</v>
      </c>
      <c r="G310" s="2402">
        <f t="shared" si="5"/>
        <v>1911.831725866469</v>
      </c>
      <c r="H310" s="2477">
        <f t="shared" si="6"/>
        <v>5153.3109610412748</v>
      </c>
      <c r="I310" s="993">
        <f t="shared" si="11"/>
        <v>16259.65372008817</v>
      </c>
      <c r="J310" s="2320">
        <f t="shared" si="7"/>
        <v>14454.620575678282</v>
      </c>
      <c r="K310" s="927"/>
      <c r="L310" s="924">
        <f t="shared" si="0"/>
        <v>51220.894250629935</v>
      </c>
      <c r="M310" s="2320">
        <f t="shared" si="1"/>
        <v>48176.732871633496</v>
      </c>
    </row>
    <row r="311" spans="1:13" x14ac:dyDescent="0.25">
      <c r="A311" s="2281">
        <f t="shared" si="8"/>
        <v>77</v>
      </c>
      <c r="B311" s="2287">
        <f t="shared" si="9"/>
        <v>72</v>
      </c>
      <c r="C311" s="869">
        <f t="shared" si="10"/>
        <v>34239.187521643609</v>
      </c>
      <c r="D311" s="868">
        <f t="shared" si="2"/>
        <v>29602.99194323783</v>
      </c>
      <c r="E311" s="1153">
        <f t="shared" si="3"/>
        <v>0</v>
      </c>
      <c r="F311" s="2076">
        <f t="shared" si="4"/>
        <v>0</v>
      </c>
      <c r="G311" s="2402">
        <f t="shared" si="5"/>
        <v>1882.2560497902821</v>
      </c>
      <c r="H311" s="2477">
        <f t="shared" si="6"/>
        <v>5124.6456688204835</v>
      </c>
      <c r="I311" s="857">
        <f t="shared" si="11"/>
        <v>16233.035201882634</v>
      </c>
      <c r="J311" s="2006">
        <f t="shared" si="7"/>
        <v>14435.366383762566</v>
      </c>
      <c r="K311" s="2409"/>
      <c r="L311" s="924">
        <f t="shared" si="0"/>
        <v>52354.478773316529</v>
      </c>
      <c r="M311" s="2320">
        <f t="shared" si="1"/>
        <v>49163.00399582088</v>
      </c>
    </row>
    <row r="312" spans="1:13" x14ac:dyDescent="0.25">
      <c r="A312" s="2281">
        <f t="shared" si="8"/>
        <v>78</v>
      </c>
      <c r="B312" s="2287">
        <f t="shared" si="9"/>
        <v>73</v>
      </c>
      <c r="C312" s="869">
        <f t="shared" si="10"/>
        <v>35471.798272422777</v>
      </c>
      <c r="D312" s="868">
        <f t="shared" si="2"/>
        <v>30674.620251583041</v>
      </c>
      <c r="E312" s="1153">
        <f t="shared" si="3"/>
        <v>0</v>
      </c>
      <c r="F312" s="2076">
        <f t="shared" si="4"/>
        <v>0</v>
      </c>
      <c r="G312" s="2402">
        <f t="shared" si="5"/>
        <v>1849.2015936725611</v>
      </c>
      <c r="H312" s="2477">
        <f t="shared" si="6"/>
        <v>5088.8457655753436</v>
      </c>
      <c r="I312" s="857">
        <f t="shared" si="11"/>
        <v>16200.343093503319</v>
      </c>
      <c r="J312" s="2006">
        <f t="shared" si="7"/>
        <v>14415.572211183702</v>
      </c>
      <c r="K312" s="2409"/>
      <c r="L312" s="924">
        <f t="shared" si="0"/>
        <v>53521.342959598653</v>
      </c>
      <c r="M312" s="2320">
        <f t="shared" si="1"/>
        <v>50179.038228342084</v>
      </c>
    </row>
    <row r="313" spans="1:13" x14ac:dyDescent="0.25">
      <c r="A313" s="2281">
        <f t="shared" si="8"/>
        <v>79</v>
      </c>
      <c r="B313" s="2287">
        <f t="shared" si="9"/>
        <v>74</v>
      </c>
      <c r="C313" s="869">
        <f t="shared" si="10"/>
        <v>36748.783010229999</v>
      </c>
      <c r="D313" s="868">
        <f t="shared" si="2"/>
        <v>31785.041504690347</v>
      </c>
      <c r="E313" s="1153">
        <f t="shared" si="3"/>
        <v>0</v>
      </c>
      <c r="F313" s="2076">
        <f t="shared" si="4"/>
        <v>0</v>
      </c>
      <c r="G313" s="2402">
        <f t="shared" si="5"/>
        <v>1812.9904332344142</v>
      </c>
      <c r="H313" s="2477">
        <f t="shared" si="6"/>
        <v>5045.5050497483644</v>
      </c>
      <c r="I313" s="857">
        <f t="shared" si="11"/>
        <v>16169.213174692137</v>
      </c>
      <c r="J313" s="2006">
        <f t="shared" si="7"/>
        <v>14394.303688605727</v>
      </c>
      <c r="K313" s="2409"/>
      <c r="L313" s="924">
        <f t="shared" si="0"/>
        <v>54730.986618156552</v>
      </c>
      <c r="M313" s="2320">
        <f t="shared" si="1"/>
        <v>51224.850243044435</v>
      </c>
    </row>
    <row r="314" spans="1:13" x14ac:dyDescent="0.25">
      <c r="A314" s="2281">
        <f t="shared" si="8"/>
        <v>80</v>
      </c>
      <c r="B314" s="2287">
        <f t="shared" si="9"/>
        <v>75</v>
      </c>
      <c r="C314" s="869">
        <f t="shared" si="10"/>
        <v>38071.739198598283</v>
      </c>
      <c r="D314" s="868">
        <f t="shared" si="2"/>
        <v>32935.660007160135</v>
      </c>
      <c r="E314" s="1153">
        <f t="shared" si="3"/>
        <v>0</v>
      </c>
      <c r="F314" s="2076">
        <f t="shared" si="4"/>
        <v>0</v>
      </c>
      <c r="G314" s="2402">
        <f t="shared" si="5"/>
        <v>1773.5108699019338</v>
      </c>
      <c r="H314" s="2477">
        <f t="shared" si="6"/>
        <v>4994.2017374848756</v>
      </c>
      <c r="I314" s="857">
        <f t="shared" si="11"/>
        <v>16135.336193866731</v>
      </c>
      <c r="J314" s="2006">
        <f t="shared" si="7"/>
        <v>14371.427786523767</v>
      </c>
      <c r="K314" s="2409"/>
      <c r="L314" s="924">
        <f t="shared" si="0"/>
        <v>55980.586262366945</v>
      </c>
      <c r="M314" s="2320">
        <f t="shared" si="1"/>
        <v>52301.289531168775</v>
      </c>
    </row>
    <row r="315" spans="1:13" x14ac:dyDescent="0.25">
      <c r="A315" s="2281">
        <f t="shared" si="8"/>
        <v>81</v>
      </c>
      <c r="B315" s="2287">
        <f t="shared" si="9"/>
        <v>76</v>
      </c>
      <c r="C315" s="869">
        <f t="shared" si="10"/>
        <v>39442.321809747824</v>
      </c>
      <c r="D315" s="868">
        <f t="shared" si="2"/>
        <v>34127.930899419334</v>
      </c>
      <c r="E315" s="1153">
        <f t="shared" si="3"/>
        <v>0</v>
      </c>
      <c r="F315" s="2076">
        <f t="shared" si="4"/>
        <v>0</v>
      </c>
      <c r="G315" s="2402">
        <f t="shared" si="5"/>
        <v>1730.652344930231</v>
      </c>
      <c r="H315" s="2477">
        <f t="shared" si="6"/>
        <v>4934.4983258049433</v>
      </c>
      <c r="I315" s="857">
        <f t="shared" si="11"/>
        <v>16098.584570175042</v>
      </c>
      <c r="J315" s="2006">
        <f t="shared" si="7"/>
        <v>14346.753282430738</v>
      </c>
      <c r="K315" s="2409"/>
      <c r="L315" s="924">
        <f t="shared" si="0"/>
        <v>57271.558724853101</v>
      </c>
      <c r="M315" s="2320">
        <f t="shared" si="1"/>
        <v>53409.182507655016</v>
      </c>
    </row>
    <row r="316" spans="1:13" x14ac:dyDescent="0.25">
      <c r="A316" s="2281">
        <f t="shared" si="8"/>
        <v>82</v>
      </c>
      <c r="B316" s="2287">
        <f t="shared" si="9"/>
        <v>77</v>
      </c>
      <c r="C316" s="869">
        <f t="shared" si="10"/>
        <v>40862.245394898746</v>
      </c>
      <c r="D316" s="868">
        <f t="shared" si="2"/>
        <v>35363.361997978318</v>
      </c>
      <c r="E316" s="1153">
        <f t="shared" si="3"/>
        <v>0</v>
      </c>
      <c r="F316" s="2076">
        <f t="shared" si="4"/>
        <v>0</v>
      </c>
      <c r="G316" s="2402">
        <f t="shared" si="5"/>
        <v>1684.3062847949154</v>
      </c>
      <c r="H316" s="2477">
        <f t="shared" si="6"/>
        <v>4867.0446647286108</v>
      </c>
      <c r="I316" s="857">
        <f t="shared" si="11"/>
        <v>16058.562305837717</v>
      </c>
      <c r="J316" s="2006">
        <f t="shared" si="7"/>
        <v>14323.266354602323</v>
      </c>
      <c r="K316" s="2409"/>
      <c r="L316" s="924">
        <f t="shared" si="0"/>
        <v>58605.113985531381</v>
      </c>
      <c r="M316" s="2320">
        <f t="shared" si="1"/>
        <v>54553.673017309251</v>
      </c>
    </row>
    <row r="317" spans="1:13" x14ac:dyDescent="0.25">
      <c r="A317" s="2281">
        <f t="shared" si="8"/>
        <v>83</v>
      </c>
      <c r="B317" s="2287">
        <f t="shared" si="9"/>
        <v>78</v>
      </c>
      <c r="C317" s="869">
        <f t="shared" si="10"/>
        <v>42333.286229115103</v>
      </c>
      <c r="D317" s="868">
        <f t="shared" si="2"/>
        <v>36643.515702305136</v>
      </c>
      <c r="E317" s="1153">
        <f t="shared" si="3"/>
        <v>0</v>
      </c>
      <c r="F317" s="2076">
        <f t="shared" si="4"/>
        <v>0</v>
      </c>
      <c r="G317" s="2402">
        <f t="shared" si="5"/>
        <v>1634.3671201091158</v>
      </c>
      <c r="H317" s="2477">
        <f t="shared" si="6"/>
        <v>4790.3347661828029</v>
      </c>
      <c r="I317" s="857">
        <f t="shared" si="11"/>
        <v>16014.812128476213</v>
      </c>
      <c r="J317" s="2006">
        <f t="shared" si="7"/>
        <v>14294.420376620576</v>
      </c>
      <c r="K317" s="2409"/>
      <c r="L317" s="924">
        <f t="shared" si="0"/>
        <v>59982.465477700433</v>
      </c>
      <c r="M317" s="2320">
        <f t="shared" si="1"/>
        <v>55728.270845108513</v>
      </c>
    </row>
    <row r="318" spans="1:13" x14ac:dyDescent="0.25">
      <c r="A318" s="2281">
        <f t="shared" si="8"/>
        <v>84</v>
      </c>
      <c r="B318" s="2287">
        <f t="shared" si="9"/>
        <v>79</v>
      </c>
      <c r="C318" s="869">
        <f t="shared" si="10"/>
        <v>43857.28453336325</v>
      </c>
      <c r="D318" s="868">
        <f t="shared" si="2"/>
        <v>37970.010970728581</v>
      </c>
      <c r="E318" s="1153">
        <f t="shared" si="3"/>
        <v>0</v>
      </c>
      <c r="F318" s="2076">
        <f t="shared" si="4"/>
        <v>0</v>
      </c>
      <c r="G318" s="2402">
        <f t="shared" si="5"/>
        <v>1580.733517809535</v>
      </c>
      <c r="H318" s="2477">
        <f t="shared" si="6"/>
        <v>4705.1527877123481</v>
      </c>
      <c r="I318" s="857">
        <f t="shared" si="11"/>
        <v>15966.786314291858</v>
      </c>
      <c r="J318" s="2006">
        <f t="shared" si="7"/>
        <v>14266.952801198944</v>
      </c>
      <c r="K318" s="2409"/>
      <c r="L318" s="924">
        <f t="shared" si="0"/>
        <v>61404.804365464646</v>
      </c>
      <c r="M318" s="2320">
        <f t="shared" si="1"/>
        <v>56942.116559639879</v>
      </c>
    </row>
    <row r="319" spans="1:13" x14ac:dyDescent="0.25">
      <c r="A319" s="2281">
        <f t="shared" si="8"/>
        <v>85</v>
      </c>
      <c r="B319" s="2287">
        <f t="shared" si="9"/>
        <v>80</v>
      </c>
      <c r="C319" s="869">
        <f t="shared" si="10"/>
        <v>45436.146776564332</v>
      </c>
      <c r="D319" s="868">
        <f t="shared" si="2"/>
        <v>39344.525367868955</v>
      </c>
      <c r="E319" s="1153">
        <f t="shared" si="3"/>
        <v>0</v>
      </c>
      <c r="F319" s="2076">
        <f t="shared" si="4"/>
        <v>0</v>
      </c>
      <c r="G319" s="2402">
        <f t="shared" si="5"/>
        <v>1524.0364515531828</v>
      </c>
      <c r="H319" s="2477">
        <f t="shared" si="6"/>
        <v>4611.1629575599445</v>
      </c>
      <c r="I319" s="857">
        <f t="shared" si="11"/>
        <v>15921.163086872171</v>
      </c>
      <c r="J319" s="2006">
        <f t="shared" si="7"/>
        <v>14237.061347529469</v>
      </c>
      <c r="K319" s="2409"/>
      <c r="L319" s="924">
        <f t="shared" si="0"/>
        <v>62881.346314989685</v>
      </c>
      <c r="M319" s="2320">
        <f t="shared" si="1"/>
        <v>58192.749672958365</v>
      </c>
    </row>
    <row r="320" spans="1:13" x14ac:dyDescent="0.25">
      <c r="A320" s="2281">
        <f t="shared" si="8"/>
        <v>86</v>
      </c>
      <c r="B320" s="2287">
        <f t="shared" si="9"/>
        <v>81</v>
      </c>
      <c r="C320" s="869">
        <f t="shared" si="10"/>
        <v>47071.84806052065</v>
      </c>
      <c r="D320" s="868">
        <f t="shared" si="2"/>
        <v>40768.79718618581</v>
      </c>
      <c r="E320" s="1153">
        <f t="shared" si="3"/>
        <v>0</v>
      </c>
      <c r="F320" s="2076">
        <f t="shared" si="4"/>
        <v>0</v>
      </c>
      <c r="G320" s="2402">
        <f t="shared" si="5"/>
        <v>1464.2607154679022</v>
      </c>
      <c r="H320" s="2477">
        <f t="shared" si="6"/>
        <v>4508.0300475007753</v>
      </c>
      <c r="I320" s="857">
        <f t="shared" si="11"/>
        <v>15870.839497384952</v>
      </c>
      <c r="J320" s="2006">
        <f t="shared" si="7"/>
        <v>14204.633444272096</v>
      </c>
      <c r="K320" s="2409"/>
      <c r="L320" s="924">
        <f t="shared" si="0"/>
        <v>64406.948273373499</v>
      </c>
      <c r="M320" s="2320">
        <f t="shared" si="1"/>
        <v>59481.460677958683</v>
      </c>
    </row>
    <row r="321" spans="1:13" x14ac:dyDescent="0.25">
      <c r="A321" s="2281">
        <f t="shared" si="8"/>
        <v>87</v>
      </c>
      <c r="B321" s="2287">
        <f t="shared" si="9"/>
        <v>82</v>
      </c>
      <c r="C321" s="869">
        <f t="shared" si="10"/>
        <v>48766.434590699391</v>
      </c>
      <c r="D321" s="868">
        <f t="shared" si="2"/>
        <v>42244.627644325737</v>
      </c>
      <c r="E321" s="1153">
        <f t="shared" si="3"/>
        <v>0</v>
      </c>
      <c r="F321" s="2076">
        <f t="shared" si="4"/>
        <v>0</v>
      </c>
      <c r="G321" s="2402">
        <f t="shared" si="5"/>
        <v>1401.4045924267493</v>
      </c>
      <c r="H321" s="2477">
        <f t="shared" si="6"/>
        <v>4395.4215659341116</v>
      </c>
      <c r="I321" s="857">
        <f t="shared" si="11"/>
        <v>15815.608992732467</v>
      </c>
      <c r="J321" s="2006">
        <f t="shared" si="7"/>
        <v>14169.319681621515</v>
      </c>
      <c r="K321" s="2409"/>
      <c r="L321" s="924">
        <f t="shared" si="0"/>
        <v>65983.448175858604</v>
      </c>
      <c r="M321" s="2320">
        <f t="shared" si="1"/>
        <v>60809.368891881364</v>
      </c>
    </row>
    <row r="322" spans="1:13" x14ac:dyDescent="0.25">
      <c r="A322" s="2281">
        <f t="shared" si="8"/>
        <v>88</v>
      </c>
      <c r="B322" s="2287">
        <f t="shared" si="9"/>
        <v>83</v>
      </c>
      <c r="C322" s="869">
        <f t="shared" si="10"/>
        <v>50522.026235964571</v>
      </c>
      <c r="D322" s="868">
        <f t="shared" si="2"/>
        <v>43773.883165050327</v>
      </c>
      <c r="E322" s="1153">
        <f t="shared" si="3"/>
        <v>0</v>
      </c>
      <c r="F322" s="2076">
        <f t="shared" si="4"/>
        <v>0</v>
      </c>
      <c r="G322" s="2402">
        <f t="shared" si="5"/>
        <v>1335.4822997053586</v>
      </c>
      <c r="H322" s="2477">
        <f t="shared" si="6"/>
        <v>4273.0104236116713</v>
      </c>
      <c r="I322" s="857">
        <f t="shared" si="11"/>
        <v>15754.676457265159</v>
      </c>
      <c r="J322" s="2006">
        <f t="shared" si="7"/>
        <v>14130.716583949601</v>
      </c>
      <c r="K322" s="2409"/>
      <c r="L322" s="924">
        <f t="shared" si="0"/>
        <v>67612.184992935086</v>
      </c>
      <c r="M322" s="2320">
        <f t="shared" si="1"/>
        <v>62177.610172611603</v>
      </c>
    </row>
    <row r="323" spans="1:13" x14ac:dyDescent="0.25">
      <c r="A323" s="2281">
        <f t="shared" si="8"/>
        <v>89</v>
      </c>
      <c r="B323" s="2287">
        <f t="shared" si="9"/>
        <v>84</v>
      </c>
      <c r="C323" s="869">
        <f t="shared" si="10"/>
        <v>52340.819180459301</v>
      </c>
      <c r="D323" s="868">
        <f t="shared" si="2"/>
        <v>45358.497735625147</v>
      </c>
      <c r="E323" s="1153">
        <f t="shared" si="3"/>
        <v>0</v>
      </c>
      <c r="F323" s="2076">
        <f t="shared" si="4"/>
        <v>0</v>
      </c>
      <c r="G323" s="2402">
        <f t="shared" si="5"/>
        <v>1266.5268969639053</v>
      </c>
      <c r="H323" s="2477">
        <f t="shared" si="6"/>
        <v>4140.4781809567485</v>
      </c>
      <c r="I323" s="857">
        <f t="shared" si="11"/>
        <v>15687.110295227903</v>
      </c>
      <c r="J323" s="2006">
        <f t="shared" si="7"/>
        <v>14088.34086555164</v>
      </c>
      <c r="K323" s="2409"/>
      <c r="L323" s="924">
        <f t="shared" si="0"/>
        <v>69294.456372651111</v>
      </c>
      <c r="M323" s="2320">
        <f t="shared" si="1"/>
        <v>63587.316782133537</v>
      </c>
    </row>
    <row r="324" spans="1:13" x14ac:dyDescent="0.25">
      <c r="A324" s="2281">
        <f t="shared" si="8"/>
        <v>90</v>
      </c>
      <c r="B324" s="2287">
        <f t="shared" si="9"/>
        <v>85</v>
      </c>
      <c r="C324" s="869">
        <f t="shared" si="10"/>
        <v>54225.08867095584</v>
      </c>
      <c r="D324" s="868">
        <f t="shared" si="2"/>
        <v>47000.47535365478</v>
      </c>
      <c r="E324" s="1153">
        <f t="shared" si="3"/>
        <v>0</v>
      </c>
      <c r="F324" s="2076">
        <f t="shared" si="4"/>
        <v>0</v>
      </c>
      <c r="G324" s="2402">
        <f t="shared" si="5"/>
        <v>1195.5769489867923</v>
      </c>
      <c r="H324" s="2477">
        <f t="shared" si="6"/>
        <v>3999.4221607649656</v>
      </c>
      <c r="I324" s="857">
        <f t="shared" si="11"/>
        <v>15623.937693401062</v>
      </c>
      <c r="J324" s="2006">
        <f t="shared" si="7"/>
        <v>14048.085076651916</v>
      </c>
      <c r="K324" s="2409"/>
      <c r="L324" s="924">
        <f t="shared" si="0"/>
        <v>71044.603313343687</v>
      </c>
      <c r="M324" s="2320">
        <f t="shared" si="1"/>
        <v>65047.982591071661</v>
      </c>
    </row>
    <row r="325" spans="1:13" x14ac:dyDescent="0.25">
      <c r="A325" s="2281">
        <f t="shared" ref="A325:A330" si="12">A324+1</f>
        <v>91</v>
      </c>
      <c r="B325" s="2287">
        <f t="shared" ref="B325:B330" si="13">B324+1</f>
        <v>86</v>
      </c>
      <c r="C325" s="869">
        <f t="shared" si="10"/>
        <v>56177.191863110253</v>
      </c>
      <c r="D325" s="868">
        <f t="shared" si="2"/>
        <v>48701.892561457084</v>
      </c>
      <c r="E325" s="1153">
        <f t="shared" si="3"/>
        <v>0</v>
      </c>
      <c r="F325" s="2076">
        <f t="shared" si="4"/>
        <v>0</v>
      </c>
      <c r="G325" s="2402">
        <f t="shared" si="5"/>
        <v>1122.7751689190447</v>
      </c>
      <c r="H325" s="2477">
        <f t="shared" si="6"/>
        <v>3849.7558413942115</v>
      </c>
      <c r="I325" s="857">
        <f t="shared" si="11"/>
        <v>15553.339102462865</v>
      </c>
      <c r="J325" s="2006">
        <f t="shared" si="7"/>
        <v>14003.681909457311</v>
      </c>
      <c r="K325" s="2409"/>
      <c r="L325" s="924">
        <f t="shared" si="0"/>
        <v>72853.306134492159</v>
      </c>
      <c r="M325" s="2320">
        <f t="shared" si="1"/>
        <v>66555.330312308608</v>
      </c>
    </row>
    <row r="326" spans="1:13" x14ac:dyDescent="0.25">
      <c r="A326" s="2281">
        <f t="shared" si="12"/>
        <v>92</v>
      </c>
      <c r="B326" s="2287">
        <f t="shared" si="13"/>
        <v>87</v>
      </c>
      <c r="C326" s="869">
        <f t="shared" si="10"/>
        <v>58199.570770182225</v>
      </c>
      <c r="D326" s="868">
        <f t="shared" si="2"/>
        <v>50464.901072181834</v>
      </c>
      <c r="E326" s="1153">
        <f t="shared" si="3"/>
        <v>0</v>
      </c>
      <c r="F326" s="2076">
        <f t="shared" si="4"/>
        <v>0</v>
      </c>
      <c r="G326" s="2402">
        <f t="shared" si="5"/>
        <v>1048.2911448209309</v>
      </c>
      <c r="H326" s="2477">
        <f t="shared" si="6"/>
        <v>3691.4274500365736</v>
      </c>
      <c r="I326" s="857">
        <f t="shared" si="11"/>
        <v>15475.162833091876</v>
      </c>
      <c r="J326" s="2006">
        <f t="shared" si="7"/>
        <v>13954.949111234529</v>
      </c>
      <c r="K326" s="2409"/>
      <c r="L326" s="924">
        <f t="shared" si="0"/>
        <v>74723.024748095035</v>
      </c>
      <c r="M326" s="2320">
        <f t="shared" si="1"/>
        <v>68111.277633452934</v>
      </c>
    </row>
    <row r="327" spans="1:13" x14ac:dyDescent="0.25">
      <c r="A327" s="2281">
        <f t="shared" si="12"/>
        <v>93</v>
      </c>
      <c r="B327" s="2287">
        <f t="shared" si="13"/>
        <v>88</v>
      </c>
      <c r="C327" s="869">
        <f t="shared" si="10"/>
        <v>60294.755317908784</v>
      </c>
      <c r="D327" s="868">
        <f t="shared" si="2"/>
        <v>52291.730490994814</v>
      </c>
      <c r="E327" s="1153">
        <f t="shared" si="3"/>
        <v>0</v>
      </c>
      <c r="F327" s="2076">
        <f t="shared" si="4"/>
        <v>0</v>
      </c>
      <c r="G327" s="2402">
        <f t="shared" si="5"/>
        <v>972.32497985957411</v>
      </c>
      <c r="H327" s="2477">
        <f t="shared" si="6"/>
        <v>3524.4266908697618</v>
      </c>
      <c r="I327" s="857">
        <f t="shared" si="11"/>
        <v>15388.00387155293</v>
      </c>
      <c r="J327" s="2006">
        <f t="shared" si="7"/>
        <v>13901.185109351612</v>
      </c>
      <c r="K327" s="2409"/>
      <c r="L327" s="924">
        <f t="shared" si="0"/>
        <v>76655.084169321286</v>
      </c>
      <c r="M327" s="2320">
        <f t="shared" si="1"/>
        <v>69717.342291216191</v>
      </c>
    </row>
    <row r="328" spans="1:13" x14ac:dyDescent="0.25">
      <c r="A328" s="2281">
        <f t="shared" si="12"/>
        <v>94</v>
      </c>
      <c r="B328" s="2287">
        <f t="shared" si="13"/>
        <v>89</v>
      </c>
      <c r="C328" s="869">
        <f t="shared" si="10"/>
        <v>62465.366509353502</v>
      </c>
      <c r="D328" s="868">
        <f t="shared" si="2"/>
        <v>54184.691134768829</v>
      </c>
      <c r="E328" s="1153">
        <f t="shared" si="3"/>
        <v>0</v>
      </c>
      <c r="F328" s="2076">
        <f t="shared" si="4"/>
        <v>0</v>
      </c>
      <c r="G328" s="2402">
        <f t="shared" si="5"/>
        <v>896.2987828354552</v>
      </c>
      <c r="H328" s="2477">
        <f t="shared" si="6"/>
        <v>3348.7927607747524</v>
      </c>
      <c r="I328" s="857">
        <f t="shared" si="11"/>
        <v>15309.010563565613</v>
      </c>
      <c r="J328" s="2006">
        <f t="shared" si="7"/>
        <v>13841.567907554032</v>
      </c>
      <c r="K328" s="2409"/>
      <c r="L328" s="924">
        <f t="shared" si="0"/>
        <v>78670.675855754569</v>
      </c>
      <c r="M328" s="2320">
        <f t="shared" si="1"/>
        <v>71375.051803097624</v>
      </c>
    </row>
    <row r="329" spans="1:13" x14ac:dyDescent="0.25">
      <c r="A329" s="2281">
        <f t="shared" si="12"/>
        <v>95</v>
      </c>
      <c r="B329" s="2287">
        <f t="shared" si="13"/>
        <v>90</v>
      </c>
      <c r="C329" s="869">
        <f t="shared" si="10"/>
        <v>64714.11970369023</v>
      </c>
      <c r="D329" s="868">
        <f t="shared" si="2"/>
        <v>56146.176953847462</v>
      </c>
      <c r="E329" s="1153">
        <f t="shared" si="3"/>
        <v>0</v>
      </c>
      <c r="F329" s="2076">
        <f t="shared" si="4"/>
        <v>0</v>
      </c>
      <c r="G329" s="2402">
        <f t="shared" si="5"/>
        <v>820.49066554954209</v>
      </c>
      <c r="H329" s="2477">
        <f t="shared" si="6"/>
        <v>3167.2235673155533</v>
      </c>
      <c r="I329" s="857">
        <f t="shared" si="11"/>
        <v>15219.882492608649</v>
      </c>
      <c r="J329" s="2006">
        <f t="shared" si="7"/>
        <v>13785.827376530347</v>
      </c>
      <c r="K329" s="2409"/>
      <c r="L329" s="924">
        <f t="shared" si="0"/>
        <v>80754.492861848426</v>
      </c>
      <c r="M329" s="2320">
        <f t="shared" si="1"/>
        <v>73099.227897693359</v>
      </c>
    </row>
    <row r="330" spans="1:13" ht="15.75" thickBot="1" x14ac:dyDescent="0.3">
      <c r="A330" s="2285">
        <f t="shared" si="12"/>
        <v>96</v>
      </c>
      <c r="B330" s="2288">
        <f t="shared" si="13"/>
        <v>91</v>
      </c>
      <c r="C330" s="1975">
        <f t="shared" si="10"/>
        <v>67043.828013023085</v>
      </c>
      <c r="D330" s="1896">
        <f t="shared" si="2"/>
        <v>58178.668559576741</v>
      </c>
      <c r="E330" s="3218">
        <f t="shared" si="3"/>
        <v>0</v>
      </c>
      <c r="F330" s="2077">
        <f t="shared" si="4"/>
        <v>0</v>
      </c>
      <c r="G330" s="3052">
        <f t="shared" si="5"/>
        <v>745.20507575245733</v>
      </c>
      <c r="H330" s="2480">
        <f t="shared" si="6"/>
        <v>2980.0641154025179</v>
      </c>
      <c r="I330" s="1969">
        <f t="shared" si="11"/>
        <v>15121.002161406339</v>
      </c>
      <c r="J330" s="2008">
        <f t="shared" si="7"/>
        <v>13723.534502173115</v>
      </c>
      <c r="K330" s="1948"/>
      <c r="L330" s="1973">
        <f t="shared" si="0"/>
        <v>82910.035250181885</v>
      </c>
      <c r="M330" s="2321">
        <f t="shared" si="1"/>
        <v>74882.267177152375</v>
      </c>
    </row>
    <row r="331" spans="1:13" ht="15.75" thickTop="1" x14ac:dyDescent="0.25"/>
    <row r="332" spans="1:13" ht="15.75" thickBot="1" x14ac:dyDescent="0.3"/>
    <row r="333" spans="1:13" ht="19.5" thickTop="1" x14ac:dyDescent="0.3">
      <c r="A333" s="1340" t="s">
        <v>2065</v>
      </c>
      <c r="B333" s="1341"/>
      <c r="C333" s="1341"/>
      <c r="D333" s="1341"/>
      <c r="E333" s="2282"/>
      <c r="F333" s="1341"/>
      <c r="G333" s="1341"/>
      <c r="H333" s="1341"/>
      <c r="I333" s="1341"/>
      <c r="J333" s="1341"/>
      <c r="K333" s="1341"/>
      <c r="L333" s="1341"/>
      <c r="M333" s="1342"/>
    </row>
    <row r="334" spans="1:13" ht="18.75" x14ac:dyDescent="0.3">
      <c r="A334" s="2428" t="s">
        <v>2066</v>
      </c>
      <c r="B334" s="1842"/>
      <c r="C334" s="1841"/>
      <c r="D334" s="1841"/>
      <c r="E334" s="1842"/>
      <c r="F334" s="1842"/>
      <c r="G334" s="1842"/>
      <c r="H334" s="1842"/>
      <c r="I334" s="1842"/>
      <c r="J334" s="1842"/>
      <c r="K334" s="33"/>
      <c r="L334" s="1843"/>
      <c r="M334" s="1454"/>
    </row>
    <row r="335" spans="1:13" ht="18.75" x14ac:dyDescent="0.3">
      <c r="A335" s="2428" t="s">
        <v>2805</v>
      </c>
      <c r="B335" s="1842"/>
      <c r="C335" s="1841"/>
      <c r="D335" s="1841"/>
      <c r="E335" s="1842"/>
      <c r="F335" s="1842"/>
      <c r="G335" s="1842"/>
      <c r="H335" s="1842"/>
      <c r="J335" s="1842"/>
      <c r="K335" s="33"/>
      <c r="L335" s="1843"/>
      <c r="M335" s="1454"/>
    </row>
    <row r="336" spans="1:13" ht="19.5" thickBot="1" x14ac:dyDescent="0.35">
      <c r="A336" s="2428"/>
      <c r="B336" s="1842"/>
      <c r="C336" s="1841"/>
      <c r="D336" s="1841"/>
      <c r="E336" s="1842"/>
      <c r="F336" s="1842"/>
      <c r="G336" s="1842"/>
      <c r="H336" s="1842"/>
      <c r="I336" s="1842"/>
      <c r="J336" s="1842"/>
      <c r="K336" s="33"/>
      <c r="L336" s="1843"/>
      <c r="M336" s="1454"/>
    </row>
    <row r="337" spans="1:13" ht="74.25" thickTop="1" thickBot="1" x14ac:dyDescent="0.3">
      <c r="A337" s="2370" t="s">
        <v>142</v>
      </c>
      <c r="B337" s="2371" t="s">
        <v>143</v>
      </c>
      <c r="C337" s="2376" t="s">
        <v>1978</v>
      </c>
      <c r="D337" s="2377" t="s">
        <v>1979</v>
      </c>
      <c r="E337" s="2372" t="s">
        <v>2067</v>
      </c>
      <c r="F337" s="2373" t="s">
        <v>2068</v>
      </c>
      <c r="G337" s="2374" t="s">
        <v>2069</v>
      </c>
      <c r="H337" s="2374" t="s">
        <v>2070</v>
      </c>
      <c r="I337" s="2375" t="s">
        <v>2071</v>
      </c>
      <c r="J337" s="2375" t="s">
        <v>2072</v>
      </c>
      <c r="L337" s="2376" t="s">
        <v>2073</v>
      </c>
      <c r="M337" s="2377" t="s">
        <v>2074</v>
      </c>
    </row>
    <row r="338" spans="1:13" ht="15.75" thickTop="1" x14ac:dyDescent="0.25">
      <c r="A338" s="2283">
        <f>'1. AgeData'!$D$30</f>
        <v>60</v>
      </c>
      <c r="B338" s="2286">
        <f>'1. AgeData'!$D$31</f>
        <v>55</v>
      </c>
      <c r="C338" s="865">
        <f>L294</f>
        <v>33000</v>
      </c>
      <c r="D338" s="1583">
        <f>M294</f>
        <v>26000</v>
      </c>
      <c r="E338" s="2399">
        <f t="shared" ref="E338:E374" si="14">H389+H435</f>
        <v>123</v>
      </c>
      <c r="F338" s="2475">
        <f t="shared" ref="F338:F374" si="15">I389+I435</f>
        <v>0</v>
      </c>
      <c r="G338" s="3219">
        <f>L489+L534+C587+E587+G587+K587</f>
        <v>0</v>
      </c>
      <c r="H338" s="2400">
        <f>M489+M534+D587+F587+H587+L587</f>
        <v>0</v>
      </c>
      <c r="I338" s="865">
        <f>E338-G338</f>
        <v>123</v>
      </c>
      <c r="J338" s="1894">
        <f>F338-H338</f>
        <v>0</v>
      </c>
      <c r="K338" s="2394"/>
      <c r="L338" s="2481">
        <f>IF(C338&lt;=0,0,I338/C338)</f>
        <v>3.7272727272727271E-3</v>
      </c>
      <c r="M338" s="2482">
        <f>IF(D338&lt;=0,0,J338/D338)</f>
        <v>0</v>
      </c>
    </row>
    <row r="339" spans="1:13" x14ac:dyDescent="0.25">
      <c r="A339" s="2281">
        <f>A338+1</f>
        <v>61</v>
      </c>
      <c r="B339" s="2287">
        <f>B338+1</f>
        <v>56</v>
      </c>
      <c r="C339" s="869">
        <f t="shared" ref="C339:D339" si="16">L295</f>
        <v>32954.312845802677</v>
      </c>
      <c r="D339" s="868">
        <f t="shared" si="16"/>
        <v>25900.850276642141</v>
      </c>
      <c r="E339" s="2473">
        <f t="shared" si="14"/>
        <v>1644.845</v>
      </c>
      <c r="F339" s="2476">
        <f t="shared" si="15"/>
        <v>2009.9999999999998</v>
      </c>
      <c r="G339" s="2402">
        <f t="shared" ref="G339:G374" si="17">L490+L535+E588+G588+K588</f>
        <v>0</v>
      </c>
      <c r="H339" s="2477">
        <f t="shared" ref="H339:H374" si="18">M490+M535+F588+H588+L588</f>
        <v>0</v>
      </c>
      <c r="I339" s="869">
        <f t="shared" ref="I339:I374" si="19">E339-G339</f>
        <v>1644.845</v>
      </c>
      <c r="J339" s="1895">
        <f t="shared" ref="J339:J374" si="20">F339-H339</f>
        <v>2009.9999999999998</v>
      </c>
      <c r="K339" s="2409"/>
      <c r="L339" s="2483">
        <f t="shared" ref="L339:L374" si="21">IF(C339&lt;=0,0,I339/C339)</f>
        <v>4.9912890239782397E-2</v>
      </c>
      <c r="M339" s="2484">
        <f t="shared" ref="M339:M374" si="22">IF(D339&lt;=0,0,J339/D339)</f>
        <v>7.7603629940004498E-2</v>
      </c>
    </row>
    <row r="340" spans="1:13" x14ac:dyDescent="0.25">
      <c r="A340" s="2281">
        <f t="shared" ref="A340:B355" si="23">A339+1</f>
        <v>62</v>
      </c>
      <c r="B340" s="2287">
        <f t="shared" si="23"/>
        <v>57</v>
      </c>
      <c r="C340" s="869">
        <f t="shared" ref="C340:D340" si="24">L296</f>
        <v>33731.147105257092</v>
      </c>
      <c r="D340" s="868">
        <f t="shared" si="24"/>
        <v>27296.059802913489</v>
      </c>
      <c r="E340" s="2473">
        <f t="shared" si="14"/>
        <v>2187.2176749999999</v>
      </c>
      <c r="F340" s="2476">
        <f t="shared" si="15"/>
        <v>2020.0499999999995</v>
      </c>
      <c r="G340" s="2402">
        <f t="shared" si="17"/>
        <v>0</v>
      </c>
      <c r="H340" s="2477">
        <f t="shared" si="18"/>
        <v>0</v>
      </c>
      <c r="I340" s="869">
        <f t="shared" si="19"/>
        <v>2187.2176749999999</v>
      </c>
      <c r="J340" s="1895">
        <f t="shared" si="20"/>
        <v>2020.0499999999995</v>
      </c>
      <c r="K340" s="2409"/>
      <c r="L340" s="2483">
        <f t="shared" si="21"/>
        <v>6.4842671023752879E-2</v>
      </c>
      <c r="M340" s="2484">
        <f t="shared" si="22"/>
        <v>7.4005186630796665E-2</v>
      </c>
    </row>
    <row r="341" spans="1:13" x14ac:dyDescent="0.25">
      <c r="A341" s="2281">
        <f t="shared" si="23"/>
        <v>63</v>
      </c>
      <c r="B341" s="2287">
        <f t="shared" si="23"/>
        <v>58</v>
      </c>
      <c r="C341" s="869">
        <f t="shared" ref="C341:D341" si="25">L297</f>
        <v>34865.970633048448</v>
      </c>
      <c r="D341" s="868">
        <f t="shared" si="25"/>
        <v>31034.676767778954</v>
      </c>
      <c r="E341" s="2473">
        <f t="shared" si="14"/>
        <v>1158.9194401249999</v>
      </c>
      <c r="F341" s="2476">
        <f t="shared" si="15"/>
        <v>3303.5998499999992</v>
      </c>
      <c r="G341" s="2402">
        <f t="shared" si="17"/>
        <v>0</v>
      </c>
      <c r="H341" s="2477">
        <f t="shared" si="18"/>
        <v>0</v>
      </c>
      <c r="I341" s="869">
        <f t="shared" si="19"/>
        <v>1158.9194401249999</v>
      </c>
      <c r="J341" s="1895">
        <f t="shared" si="20"/>
        <v>3303.5998499999992</v>
      </c>
      <c r="K341" s="2409"/>
      <c r="L341" s="2483">
        <f t="shared" si="21"/>
        <v>3.3239270815724649E-2</v>
      </c>
      <c r="M341" s="2484">
        <f t="shared" si="22"/>
        <v>0.10644866304616668</v>
      </c>
    </row>
    <row r="342" spans="1:13" x14ac:dyDescent="0.25">
      <c r="A342" s="2281">
        <f t="shared" si="23"/>
        <v>64</v>
      </c>
      <c r="B342" s="2287">
        <f t="shared" si="23"/>
        <v>59</v>
      </c>
      <c r="C342" s="869">
        <f t="shared" ref="C342:D342" si="26">L298</f>
        <v>36135.686074340949</v>
      </c>
      <c r="D342" s="868">
        <f t="shared" si="26"/>
        <v>33645.282316772558</v>
      </c>
      <c r="E342" s="2473">
        <f t="shared" si="14"/>
        <v>1171.151726726875</v>
      </c>
      <c r="F342" s="2476">
        <f t="shared" si="15"/>
        <v>0</v>
      </c>
      <c r="G342" s="2402">
        <f t="shared" si="17"/>
        <v>0</v>
      </c>
      <c r="H342" s="2477">
        <f t="shared" si="18"/>
        <v>0</v>
      </c>
      <c r="I342" s="869">
        <f t="shared" si="19"/>
        <v>1171.151726726875</v>
      </c>
      <c r="J342" s="1895">
        <f t="shared" si="20"/>
        <v>0</v>
      </c>
      <c r="K342" s="2409"/>
      <c r="L342" s="2483">
        <f t="shared" si="21"/>
        <v>3.2409837862701622E-2</v>
      </c>
      <c r="M342" s="2484">
        <f t="shared" si="22"/>
        <v>0</v>
      </c>
    </row>
    <row r="343" spans="1:13" x14ac:dyDescent="0.25">
      <c r="A343" s="2281">
        <f t="shared" si="23"/>
        <v>65</v>
      </c>
      <c r="B343" s="2287">
        <f t="shared" si="23"/>
        <v>60</v>
      </c>
      <c r="C343" s="869">
        <f t="shared" ref="C343:D343" si="27">L299</f>
        <v>38905.574783017226</v>
      </c>
      <c r="D343" s="868">
        <f t="shared" si="27"/>
        <v>34320.241536639718</v>
      </c>
      <c r="E343" s="2473">
        <f t="shared" si="14"/>
        <v>0</v>
      </c>
      <c r="F343" s="2476">
        <f t="shared" si="15"/>
        <v>0</v>
      </c>
      <c r="G343" s="2402">
        <f t="shared" si="17"/>
        <v>357</v>
      </c>
      <c r="H343" s="2477">
        <f t="shared" si="18"/>
        <v>0</v>
      </c>
      <c r="I343" s="869">
        <f t="shared" si="19"/>
        <v>-357</v>
      </c>
      <c r="J343" s="1895">
        <f t="shared" si="20"/>
        <v>0</v>
      </c>
      <c r="K343" s="2409"/>
      <c r="L343" s="2483">
        <f t="shared" si="21"/>
        <v>-9.1760628647963062E-3</v>
      </c>
      <c r="M343" s="2484">
        <f t="shared" si="22"/>
        <v>0</v>
      </c>
    </row>
    <row r="344" spans="1:13" x14ac:dyDescent="0.25">
      <c r="A344" s="2281">
        <f t="shared" si="23"/>
        <v>66</v>
      </c>
      <c r="B344" s="2287">
        <f t="shared" si="23"/>
        <v>61</v>
      </c>
      <c r="C344" s="869">
        <f t="shared" ref="C344:D344" si="28">L300</f>
        <v>40204.175475205848</v>
      </c>
      <c r="D344" s="868">
        <f t="shared" si="28"/>
        <v>37419.63428026608</v>
      </c>
      <c r="E344" s="2473">
        <f t="shared" si="14"/>
        <v>0</v>
      </c>
      <c r="F344" s="2476">
        <f t="shared" si="15"/>
        <v>0</v>
      </c>
      <c r="G344" s="2402">
        <f t="shared" si="17"/>
        <v>357</v>
      </c>
      <c r="H344" s="2477">
        <f t="shared" si="18"/>
        <v>600</v>
      </c>
      <c r="I344" s="869">
        <f t="shared" si="19"/>
        <v>-357</v>
      </c>
      <c r="J344" s="1895">
        <f t="shared" si="20"/>
        <v>-600</v>
      </c>
      <c r="K344" s="2409"/>
      <c r="L344" s="2483">
        <f t="shared" si="21"/>
        <v>-8.8796747049361587E-3</v>
      </c>
      <c r="M344" s="2484">
        <f t="shared" si="22"/>
        <v>-1.603436301664821E-2</v>
      </c>
    </row>
    <row r="345" spans="1:13" x14ac:dyDescent="0.25">
      <c r="A345" s="2281">
        <f t="shared" si="23"/>
        <v>67</v>
      </c>
      <c r="B345" s="2287">
        <f t="shared" si="23"/>
        <v>62</v>
      </c>
      <c r="C345" s="869">
        <f t="shared" ref="C345:D345" si="29">L301</f>
        <v>41039.525792313259</v>
      </c>
      <c r="D345" s="868">
        <f t="shared" si="29"/>
        <v>42139.145041211712</v>
      </c>
      <c r="E345" s="2473">
        <f t="shared" si="14"/>
        <v>0</v>
      </c>
      <c r="F345" s="2476">
        <f t="shared" si="15"/>
        <v>0</v>
      </c>
      <c r="G345" s="2402">
        <f t="shared" si="17"/>
        <v>357</v>
      </c>
      <c r="H345" s="2477">
        <f t="shared" si="18"/>
        <v>600</v>
      </c>
      <c r="I345" s="869">
        <f t="shared" si="19"/>
        <v>-357</v>
      </c>
      <c r="J345" s="1895">
        <f t="shared" si="20"/>
        <v>-600</v>
      </c>
      <c r="K345" s="2409"/>
      <c r="L345" s="2483">
        <f t="shared" si="21"/>
        <v>-8.6989309234870946E-3</v>
      </c>
      <c r="M345" s="2484">
        <f t="shared" si="22"/>
        <v>-1.4238542320049572E-2</v>
      </c>
    </row>
    <row r="346" spans="1:13" x14ac:dyDescent="0.25">
      <c r="A346" s="2281">
        <f t="shared" si="23"/>
        <v>68</v>
      </c>
      <c r="B346" s="2287">
        <f t="shared" si="23"/>
        <v>63</v>
      </c>
      <c r="C346" s="869">
        <f t="shared" ref="C346:D346" si="30">L302</f>
        <v>41904.948720836539</v>
      </c>
      <c r="D346" s="868">
        <f t="shared" si="30"/>
        <v>42368.031131703581</v>
      </c>
      <c r="E346" s="2473">
        <f t="shared" si="14"/>
        <v>0</v>
      </c>
      <c r="F346" s="2476">
        <f t="shared" si="15"/>
        <v>0</v>
      </c>
      <c r="G346" s="2402">
        <f t="shared" si="17"/>
        <v>357</v>
      </c>
      <c r="H346" s="2477">
        <f t="shared" si="18"/>
        <v>747.65380000000005</v>
      </c>
      <c r="I346" s="869">
        <f t="shared" si="19"/>
        <v>-357</v>
      </c>
      <c r="J346" s="1895">
        <f t="shared" si="20"/>
        <v>-747.65380000000005</v>
      </c>
      <c r="K346" s="2409"/>
      <c r="L346" s="2483">
        <f t="shared" si="21"/>
        <v>-8.5192802019224932E-3</v>
      </c>
      <c r="M346" s="2484">
        <f t="shared" si="22"/>
        <v>-1.7646649608896697E-2</v>
      </c>
    </row>
    <row r="347" spans="1:13" x14ac:dyDescent="0.25">
      <c r="A347" s="2281">
        <f t="shared" si="23"/>
        <v>69</v>
      </c>
      <c r="B347" s="2287">
        <f t="shared" si="23"/>
        <v>64</v>
      </c>
      <c r="C347" s="869">
        <f t="shared" ref="C347:D347" si="31">L303</f>
        <v>42801.52687478665</v>
      </c>
      <c r="D347" s="868">
        <f t="shared" si="31"/>
        <v>42592.85917351125</v>
      </c>
      <c r="E347" s="2473">
        <f t="shared" si="14"/>
        <v>0</v>
      </c>
      <c r="F347" s="2476">
        <f t="shared" si="15"/>
        <v>0</v>
      </c>
      <c r="G347" s="2402">
        <f t="shared" si="17"/>
        <v>357</v>
      </c>
      <c r="H347" s="2477">
        <f t="shared" si="18"/>
        <v>757.85622980000028</v>
      </c>
      <c r="I347" s="869">
        <f t="shared" si="19"/>
        <v>-357</v>
      </c>
      <c r="J347" s="1895">
        <f t="shared" si="20"/>
        <v>-757.85622980000028</v>
      </c>
      <c r="K347" s="2409"/>
      <c r="L347" s="2483">
        <f t="shared" si="21"/>
        <v>-8.3408239393978276E-3</v>
      </c>
      <c r="M347" s="2484">
        <f t="shared" si="22"/>
        <v>-1.7793034900820077E-2</v>
      </c>
    </row>
    <row r="348" spans="1:13" x14ac:dyDescent="0.25">
      <c r="A348" s="2281">
        <f t="shared" si="23"/>
        <v>70</v>
      </c>
      <c r="B348" s="2287">
        <f t="shared" si="23"/>
        <v>65</v>
      </c>
      <c r="C348" s="869">
        <f t="shared" ref="C348:D348" si="32">L304</f>
        <v>43109.943886074594</v>
      </c>
      <c r="D348" s="868">
        <f t="shared" si="32"/>
        <v>42806.483794761501</v>
      </c>
      <c r="E348" s="2473">
        <f t="shared" si="14"/>
        <v>0</v>
      </c>
      <c r="F348" s="2476">
        <f t="shared" si="15"/>
        <v>0</v>
      </c>
      <c r="G348" s="2402">
        <f t="shared" si="17"/>
        <v>1108.0357242022824</v>
      </c>
      <c r="H348" s="2477">
        <f t="shared" si="18"/>
        <v>774.94754387580053</v>
      </c>
      <c r="I348" s="869">
        <f t="shared" si="19"/>
        <v>-1108.0357242022824</v>
      </c>
      <c r="J348" s="1895">
        <f t="shared" si="20"/>
        <v>-774.94754387580053</v>
      </c>
      <c r="K348" s="2409"/>
      <c r="L348" s="2483">
        <f t="shared" si="21"/>
        <v>-2.5702555473754652E-2</v>
      </c>
      <c r="M348" s="2484">
        <f t="shared" si="22"/>
        <v>-1.8103508515002947E-2</v>
      </c>
    </row>
    <row r="349" spans="1:13" x14ac:dyDescent="0.25">
      <c r="A349" s="2281">
        <f t="shared" si="23"/>
        <v>71</v>
      </c>
      <c r="B349" s="2287">
        <f t="shared" si="23"/>
        <v>66</v>
      </c>
      <c r="C349" s="869">
        <f t="shared" ref="C349:D349" si="33">L305</f>
        <v>47274.578907703071</v>
      </c>
      <c r="D349" s="868">
        <f t="shared" si="33"/>
        <v>43700.757458038803</v>
      </c>
      <c r="E349" s="2473">
        <f t="shared" si="14"/>
        <v>0</v>
      </c>
      <c r="F349" s="2476">
        <f t="shared" si="15"/>
        <v>0</v>
      </c>
      <c r="G349" s="2402">
        <f t="shared" si="17"/>
        <v>2039.7838350952738</v>
      </c>
      <c r="H349" s="2477">
        <f t="shared" si="18"/>
        <v>582.17490574173576</v>
      </c>
      <c r="I349" s="869">
        <f t="shared" si="19"/>
        <v>-2039.7838350952738</v>
      </c>
      <c r="J349" s="1895">
        <f t="shared" si="20"/>
        <v>-582.17490574173576</v>
      </c>
      <c r="K349" s="2409"/>
      <c r="L349" s="2483">
        <f t="shared" si="21"/>
        <v>-4.3147583378323966E-2</v>
      </c>
      <c r="M349" s="2484">
        <f t="shared" si="22"/>
        <v>-1.3321849313498434E-2</v>
      </c>
    </row>
    <row r="350" spans="1:13" x14ac:dyDescent="0.25">
      <c r="A350" s="2281">
        <f t="shared" si="23"/>
        <v>72</v>
      </c>
      <c r="B350" s="2287">
        <f t="shared" si="23"/>
        <v>67</v>
      </c>
      <c r="C350" s="869">
        <f t="shared" ref="C350:D350" si="34">L306</f>
        <v>49570.333811388235</v>
      </c>
      <c r="D350" s="868">
        <f t="shared" si="34"/>
        <v>44640.663909402356</v>
      </c>
      <c r="E350" s="2473">
        <f t="shared" si="14"/>
        <v>0</v>
      </c>
      <c r="F350" s="2476">
        <f t="shared" si="15"/>
        <v>0</v>
      </c>
      <c r="G350" s="2402">
        <f t="shared" si="17"/>
        <v>1439.9180984024238</v>
      </c>
      <c r="H350" s="2477">
        <f t="shared" si="18"/>
        <v>86.139972710825063</v>
      </c>
      <c r="I350" s="869">
        <f t="shared" si="19"/>
        <v>-1439.9180984024238</v>
      </c>
      <c r="J350" s="1895">
        <f t="shared" si="20"/>
        <v>-86.139972710825063</v>
      </c>
      <c r="K350" s="2409"/>
      <c r="L350" s="2483">
        <f t="shared" si="21"/>
        <v>-2.9047980670883006E-2</v>
      </c>
      <c r="M350" s="2484">
        <f t="shared" si="22"/>
        <v>-1.9296301884229369E-3</v>
      </c>
    </row>
    <row r="351" spans="1:13" x14ac:dyDescent="0.25">
      <c r="A351" s="2281">
        <f t="shared" si="23"/>
        <v>73</v>
      </c>
      <c r="B351" s="2287">
        <f t="shared" si="23"/>
        <v>68</v>
      </c>
      <c r="C351" s="869">
        <f t="shared" ref="C351:D351" si="35">L307</f>
        <v>49817.969579298959</v>
      </c>
      <c r="D351" s="868">
        <f t="shared" si="35"/>
        <v>45700.534671579546</v>
      </c>
      <c r="E351" s="2473">
        <f t="shared" si="14"/>
        <v>0</v>
      </c>
      <c r="F351" s="2476">
        <f t="shared" si="15"/>
        <v>0</v>
      </c>
      <c r="G351" s="2402">
        <f t="shared" si="17"/>
        <v>1583.5364872441664</v>
      </c>
      <c r="H351" s="2477">
        <f t="shared" si="18"/>
        <v>0</v>
      </c>
      <c r="I351" s="869">
        <f t="shared" si="19"/>
        <v>-1583.5364872441664</v>
      </c>
      <c r="J351" s="1895">
        <f t="shared" si="20"/>
        <v>0</v>
      </c>
      <c r="K351" s="2409"/>
      <c r="L351" s="2483">
        <f t="shared" si="21"/>
        <v>-3.1786451768644121E-2</v>
      </c>
      <c r="M351" s="2484">
        <f t="shared" si="22"/>
        <v>0</v>
      </c>
    </row>
    <row r="352" spans="1:13" x14ac:dyDescent="0.25">
      <c r="A352" s="2281">
        <f t="shared" si="23"/>
        <v>74</v>
      </c>
      <c r="B352" s="2287">
        <f t="shared" si="23"/>
        <v>69</v>
      </c>
      <c r="C352" s="869">
        <f t="shared" ref="C352:D352" si="36">L308</f>
        <v>50022.627937897531</v>
      </c>
      <c r="D352" s="868">
        <f t="shared" si="36"/>
        <v>46798.333192757549</v>
      </c>
      <c r="E352" s="2473">
        <f t="shared" si="14"/>
        <v>0</v>
      </c>
      <c r="F352" s="2476">
        <f t="shared" si="15"/>
        <v>0</v>
      </c>
      <c r="G352" s="2402">
        <f t="shared" si="17"/>
        <v>1657.4785253202735</v>
      </c>
      <c r="H352" s="2477">
        <f t="shared" si="18"/>
        <v>0</v>
      </c>
      <c r="I352" s="869">
        <f t="shared" si="19"/>
        <v>-1657.4785253202735</v>
      </c>
      <c r="J352" s="1895">
        <f t="shared" si="20"/>
        <v>0</v>
      </c>
      <c r="K352" s="2409"/>
      <c r="L352" s="2483">
        <f t="shared" si="21"/>
        <v>-3.3134575164223926E-2</v>
      </c>
      <c r="M352" s="2484">
        <f t="shared" si="22"/>
        <v>0</v>
      </c>
    </row>
    <row r="353" spans="1:13" x14ac:dyDescent="0.25">
      <c r="A353" s="2281">
        <f t="shared" si="23"/>
        <v>75</v>
      </c>
      <c r="B353" s="2287">
        <f t="shared" si="23"/>
        <v>70</v>
      </c>
      <c r="C353" s="869">
        <f t="shared" ref="C353:D353" si="37">L309</f>
        <v>50163.077508045608</v>
      </c>
      <c r="D353" s="868">
        <f t="shared" si="37"/>
        <v>47198.527736926997</v>
      </c>
      <c r="E353" s="2473">
        <f t="shared" si="14"/>
        <v>0</v>
      </c>
      <c r="F353" s="2476">
        <f t="shared" si="15"/>
        <v>0</v>
      </c>
      <c r="G353" s="2402">
        <f t="shared" si="17"/>
        <v>3602.0206728167805</v>
      </c>
      <c r="H353" s="2477">
        <f t="shared" si="18"/>
        <v>1746.2912492815417</v>
      </c>
      <c r="I353" s="869">
        <f t="shared" si="19"/>
        <v>-3602.0206728167805</v>
      </c>
      <c r="J353" s="1895">
        <f t="shared" si="20"/>
        <v>-1746.2912492815417</v>
      </c>
      <c r="K353" s="2409"/>
      <c r="L353" s="2483">
        <f t="shared" si="21"/>
        <v>-7.1806213887875114E-2</v>
      </c>
      <c r="M353" s="2484">
        <f t="shared" si="22"/>
        <v>-3.6998850028012321E-2</v>
      </c>
    </row>
    <row r="354" spans="1:13" x14ac:dyDescent="0.25">
      <c r="A354" s="2281">
        <f t="shared" si="23"/>
        <v>76</v>
      </c>
      <c r="B354" s="2287">
        <f t="shared" si="23"/>
        <v>71</v>
      </c>
      <c r="C354" s="869">
        <f t="shared" ref="C354:D354" si="38">L310</f>
        <v>51220.894250629935</v>
      </c>
      <c r="D354" s="868">
        <f t="shared" si="38"/>
        <v>48176.732871633496</v>
      </c>
      <c r="E354" s="2473">
        <f t="shared" si="14"/>
        <v>0</v>
      </c>
      <c r="F354" s="2476">
        <f t="shared" si="15"/>
        <v>0</v>
      </c>
      <c r="G354" s="2402">
        <f t="shared" si="17"/>
        <v>1489.4478578814353</v>
      </c>
      <c r="H354" s="2477">
        <f t="shared" si="18"/>
        <v>740.67121543847838</v>
      </c>
      <c r="I354" s="869">
        <f t="shared" si="19"/>
        <v>-1489.4478578814353</v>
      </c>
      <c r="J354" s="1895">
        <f t="shared" si="20"/>
        <v>-740.67121543847838</v>
      </c>
      <c r="K354" s="2409"/>
      <c r="L354" s="2483">
        <f t="shared" si="21"/>
        <v>-2.9078911636985279E-2</v>
      </c>
      <c r="M354" s="2484">
        <f t="shared" si="22"/>
        <v>-1.5374044093276119E-2</v>
      </c>
    </row>
    <row r="355" spans="1:13" x14ac:dyDescent="0.25">
      <c r="A355" s="2281">
        <f t="shared" si="23"/>
        <v>77</v>
      </c>
      <c r="B355" s="2287">
        <f t="shared" si="23"/>
        <v>72</v>
      </c>
      <c r="C355" s="869">
        <f t="shared" ref="C355:D355" si="39">L311</f>
        <v>52354.478773316529</v>
      </c>
      <c r="D355" s="868">
        <f t="shared" si="39"/>
        <v>49163.00399582088</v>
      </c>
      <c r="E355" s="2473">
        <f t="shared" si="14"/>
        <v>0</v>
      </c>
      <c r="F355" s="2476">
        <f t="shared" si="15"/>
        <v>0</v>
      </c>
      <c r="G355" s="2402">
        <f t="shared" si="17"/>
        <v>1541.929290336393</v>
      </c>
      <c r="H355" s="2477">
        <f t="shared" si="18"/>
        <v>1950.0545033826211</v>
      </c>
      <c r="I355" s="869">
        <f t="shared" si="19"/>
        <v>-1541.929290336393</v>
      </c>
      <c r="J355" s="1895">
        <f t="shared" si="20"/>
        <v>-1950.0545033826211</v>
      </c>
      <c r="K355" s="2409"/>
      <c r="L355" s="2483">
        <f t="shared" si="21"/>
        <v>-2.9451716958402173E-2</v>
      </c>
      <c r="M355" s="2484">
        <f t="shared" si="22"/>
        <v>-3.9665080342698063E-2</v>
      </c>
    </row>
    <row r="356" spans="1:13" x14ac:dyDescent="0.25">
      <c r="A356" s="2281">
        <f t="shared" ref="A356:B371" si="40">A355+1</f>
        <v>78</v>
      </c>
      <c r="B356" s="2287">
        <f t="shared" si="40"/>
        <v>73</v>
      </c>
      <c r="C356" s="869">
        <f t="shared" ref="C356:D356" si="41">L312</f>
        <v>53521.342959598653</v>
      </c>
      <c r="D356" s="868">
        <f t="shared" si="41"/>
        <v>50179.038228342084</v>
      </c>
      <c r="E356" s="2473">
        <f t="shared" si="14"/>
        <v>0</v>
      </c>
      <c r="F356" s="2476">
        <f t="shared" si="15"/>
        <v>0</v>
      </c>
      <c r="G356" s="2402">
        <f t="shared" si="17"/>
        <v>1601.8148448412101</v>
      </c>
      <c r="H356" s="2477">
        <f t="shared" si="18"/>
        <v>2018.8881320302469</v>
      </c>
      <c r="I356" s="869">
        <f t="shared" si="19"/>
        <v>-1601.8148448412101</v>
      </c>
      <c r="J356" s="1895">
        <f t="shared" si="20"/>
        <v>-2018.8881320302469</v>
      </c>
      <c r="K356" s="2409"/>
      <c r="L356" s="2483">
        <f t="shared" si="21"/>
        <v>-2.9928524888666617E-2</v>
      </c>
      <c r="M356" s="2484">
        <f t="shared" si="22"/>
        <v>-4.0233695250259702E-2</v>
      </c>
    </row>
    <row r="357" spans="1:13" x14ac:dyDescent="0.25">
      <c r="A357" s="2281">
        <f t="shared" si="40"/>
        <v>79</v>
      </c>
      <c r="B357" s="2287">
        <f t="shared" si="40"/>
        <v>74</v>
      </c>
      <c r="C357" s="869">
        <f t="shared" ref="C357:D357" si="42">L313</f>
        <v>54730.986618156552</v>
      </c>
      <c r="D357" s="868">
        <f t="shared" si="42"/>
        <v>51224.850243044435</v>
      </c>
      <c r="E357" s="2473">
        <f t="shared" si="14"/>
        <v>0</v>
      </c>
      <c r="F357" s="2476">
        <f t="shared" si="15"/>
        <v>0</v>
      </c>
      <c r="G357" s="2402">
        <f t="shared" si="17"/>
        <v>1660.5933364700297</v>
      </c>
      <c r="H357" s="2477">
        <f t="shared" si="18"/>
        <v>2090.9150205556411</v>
      </c>
      <c r="I357" s="869">
        <f t="shared" si="19"/>
        <v>-1660.5933364700297</v>
      </c>
      <c r="J357" s="1895">
        <f t="shared" si="20"/>
        <v>-2090.9150205556411</v>
      </c>
      <c r="K357" s="2409"/>
      <c r="L357" s="2483">
        <f t="shared" si="21"/>
        <v>-3.0341008614654528E-2</v>
      </c>
      <c r="M357" s="2484">
        <f t="shared" si="22"/>
        <v>-4.0818372540572842E-2</v>
      </c>
    </row>
    <row r="358" spans="1:13" x14ac:dyDescent="0.25">
      <c r="A358" s="2281">
        <f t="shared" si="40"/>
        <v>80</v>
      </c>
      <c r="B358" s="2287">
        <f t="shared" si="40"/>
        <v>75</v>
      </c>
      <c r="C358" s="869">
        <f t="shared" ref="C358:D358" si="43">L314</f>
        <v>55980.586262366945</v>
      </c>
      <c r="D358" s="868">
        <f t="shared" si="43"/>
        <v>52301.289531168775</v>
      </c>
      <c r="E358" s="2473">
        <f t="shared" si="14"/>
        <v>0</v>
      </c>
      <c r="F358" s="2476">
        <f t="shared" si="15"/>
        <v>0</v>
      </c>
      <c r="G358" s="2402">
        <f t="shared" si="17"/>
        <v>1723.0499501712466</v>
      </c>
      <c r="H358" s="2477">
        <f t="shared" si="18"/>
        <v>2166.3263451926978</v>
      </c>
      <c r="I358" s="869">
        <f t="shared" si="19"/>
        <v>-1723.0499501712466</v>
      </c>
      <c r="J358" s="1895">
        <f t="shared" si="20"/>
        <v>-2166.3263451926978</v>
      </c>
      <c r="K358" s="2409"/>
      <c r="L358" s="2483">
        <f t="shared" si="21"/>
        <v>-3.0779419531187905E-2</v>
      </c>
      <c r="M358" s="2484">
        <f t="shared" si="22"/>
        <v>-4.1420132555272521E-2</v>
      </c>
    </row>
    <row r="359" spans="1:13" x14ac:dyDescent="0.25">
      <c r="A359" s="2281">
        <f t="shared" si="40"/>
        <v>81</v>
      </c>
      <c r="B359" s="2287">
        <f t="shared" si="40"/>
        <v>76</v>
      </c>
      <c r="C359" s="869">
        <f t="shared" ref="C359:D359" si="44">L315</f>
        <v>57271.558724853101</v>
      </c>
      <c r="D359" s="868">
        <f t="shared" si="44"/>
        <v>53409.182507655016</v>
      </c>
      <c r="E359" s="2473">
        <f t="shared" si="14"/>
        <v>0</v>
      </c>
      <c r="F359" s="2476">
        <f t="shared" si="15"/>
        <v>0</v>
      </c>
      <c r="G359" s="2402">
        <f t="shared" si="17"/>
        <v>1789.3406855675075</v>
      </c>
      <c r="H359" s="2477">
        <f t="shared" si="18"/>
        <v>880.25588745493837</v>
      </c>
      <c r="I359" s="869">
        <f t="shared" si="19"/>
        <v>-1789.3406855675075</v>
      </c>
      <c r="J359" s="1895">
        <f t="shared" si="20"/>
        <v>-880.25588745493837</v>
      </c>
      <c r="K359" s="2409"/>
      <c r="L359" s="2483">
        <f t="shared" si="21"/>
        <v>-3.1243093874290168E-2</v>
      </c>
      <c r="M359" s="2484">
        <f t="shared" si="22"/>
        <v>-1.648135856280469E-2</v>
      </c>
    </row>
    <row r="360" spans="1:13" x14ac:dyDescent="0.25">
      <c r="A360" s="2281">
        <f t="shared" si="40"/>
        <v>82</v>
      </c>
      <c r="B360" s="2287">
        <f t="shared" si="40"/>
        <v>77</v>
      </c>
      <c r="C360" s="869">
        <f t="shared" ref="C360:D360" si="45">L316</f>
        <v>58605.113985531381</v>
      </c>
      <c r="D360" s="868">
        <f t="shared" si="45"/>
        <v>54553.673017309251</v>
      </c>
      <c r="E360" s="2473">
        <f t="shared" si="14"/>
        <v>0</v>
      </c>
      <c r="F360" s="2476">
        <f t="shared" si="15"/>
        <v>0</v>
      </c>
      <c r="G360" s="2402">
        <f t="shared" si="17"/>
        <v>1859.8903415298621</v>
      </c>
      <c r="H360" s="2477">
        <f t="shared" si="18"/>
        <v>909.49300038847559</v>
      </c>
      <c r="I360" s="869">
        <f t="shared" si="19"/>
        <v>-1859.8903415298621</v>
      </c>
      <c r="J360" s="1895">
        <f t="shared" si="20"/>
        <v>-909.49300038847559</v>
      </c>
      <c r="K360" s="2409"/>
      <c r="L360" s="2483">
        <f t="shared" si="21"/>
        <v>-3.1735973450867067E-2</v>
      </c>
      <c r="M360" s="2484">
        <f t="shared" si="22"/>
        <v>-1.667152640849506E-2</v>
      </c>
    </row>
    <row r="361" spans="1:13" x14ac:dyDescent="0.25">
      <c r="A361" s="2281">
        <f t="shared" si="40"/>
        <v>83</v>
      </c>
      <c r="B361" s="2287">
        <f t="shared" si="40"/>
        <v>78</v>
      </c>
      <c r="C361" s="869">
        <f t="shared" ref="C361:D361" si="46">L317</f>
        <v>59982.465477700433</v>
      </c>
      <c r="D361" s="868">
        <f t="shared" si="46"/>
        <v>55728.270845108513</v>
      </c>
      <c r="E361" s="2473">
        <f t="shared" si="14"/>
        <v>0</v>
      </c>
      <c r="F361" s="2476">
        <f t="shared" si="15"/>
        <v>0</v>
      </c>
      <c r="G361" s="2402">
        <f t="shared" si="17"/>
        <v>1935.185270019887</v>
      </c>
      <c r="H361" s="2477">
        <f t="shared" si="18"/>
        <v>945.33551819364209</v>
      </c>
      <c r="I361" s="869">
        <f t="shared" si="19"/>
        <v>-1935.185270019887</v>
      </c>
      <c r="J361" s="1895">
        <f t="shared" si="20"/>
        <v>-945.33551819364209</v>
      </c>
      <c r="K361" s="2409"/>
      <c r="L361" s="2483">
        <f t="shared" si="21"/>
        <v>-3.2262516297189001E-2</v>
      </c>
      <c r="M361" s="2484">
        <f t="shared" si="22"/>
        <v>-1.6963302536716296E-2</v>
      </c>
    </row>
    <row r="362" spans="1:13" x14ac:dyDescent="0.25">
      <c r="A362" s="2281">
        <f t="shared" si="40"/>
        <v>84</v>
      </c>
      <c r="B362" s="2287">
        <f t="shared" si="40"/>
        <v>79</v>
      </c>
      <c r="C362" s="869">
        <f t="shared" ref="C362:D362" si="47">L318</f>
        <v>61404.804365464646</v>
      </c>
      <c r="D362" s="868">
        <f t="shared" si="47"/>
        <v>56942.116559639879</v>
      </c>
      <c r="E362" s="2473">
        <f t="shared" si="14"/>
        <v>0</v>
      </c>
      <c r="F362" s="2476">
        <f t="shared" si="15"/>
        <v>0</v>
      </c>
      <c r="G362" s="2402">
        <f t="shared" si="17"/>
        <v>2015.8024163824475</v>
      </c>
      <c r="H362" s="2477">
        <f t="shared" si="18"/>
        <v>978.70539193863488</v>
      </c>
      <c r="I362" s="869">
        <f t="shared" si="19"/>
        <v>-2015.8024163824475</v>
      </c>
      <c r="J362" s="1895">
        <f t="shared" si="20"/>
        <v>-978.70539193863488</v>
      </c>
      <c r="K362" s="2409"/>
      <c r="L362" s="2483">
        <f t="shared" si="21"/>
        <v>-3.2828089547927576E-2</v>
      </c>
      <c r="M362" s="2484">
        <f t="shared" si="22"/>
        <v>-1.7187724149901613E-2</v>
      </c>
    </row>
    <row r="363" spans="1:13" x14ac:dyDescent="0.25">
      <c r="A363" s="2281">
        <f t="shared" si="40"/>
        <v>85</v>
      </c>
      <c r="B363" s="2287">
        <f t="shared" si="40"/>
        <v>80</v>
      </c>
      <c r="C363" s="869">
        <f t="shared" ref="C363:D363" si="48">L319</f>
        <v>62881.346314989685</v>
      </c>
      <c r="D363" s="868">
        <f t="shared" si="48"/>
        <v>58192.749672958365</v>
      </c>
      <c r="E363" s="2473">
        <f t="shared" si="14"/>
        <v>0</v>
      </c>
      <c r="F363" s="2476">
        <f t="shared" si="15"/>
        <v>0</v>
      </c>
      <c r="G363" s="2402">
        <f t="shared" si="17"/>
        <v>2094.3661674300292</v>
      </c>
      <c r="H363" s="2477">
        <f t="shared" si="18"/>
        <v>1014.5511010112991</v>
      </c>
      <c r="I363" s="869">
        <f t="shared" si="19"/>
        <v>-2094.3661674300292</v>
      </c>
      <c r="J363" s="1895">
        <f t="shared" si="20"/>
        <v>-1014.5511010112991</v>
      </c>
      <c r="K363" s="2409"/>
      <c r="L363" s="2483">
        <f t="shared" si="21"/>
        <v>-3.3306636867136752E-2</v>
      </c>
      <c r="M363" s="2484">
        <f t="shared" si="22"/>
        <v>-1.7434321401086014E-2</v>
      </c>
    </row>
    <row r="364" spans="1:13" x14ac:dyDescent="0.25">
      <c r="A364" s="2281">
        <f t="shared" si="40"/>
        <v>86</v>
      </c>
      <c r="B364" s="2287">
        <f t="shared" si="40"/>
        <v>81</v>
      </c>
      <c r="C364" s="869">
        <f t="shared" ref="C364:D364" si="49">L320</f>
        <v>64406.948273373499</v>
      </c>
      <c r="D364" s="868">
        <f t="shared" si="49"/>
        <v>59481.460677958683</v>
      </c>
      <c r="E364" s="2473">
        <f t="shared" si="14"/>
        <v>0</v>
      </c>
      <c r="F364" s="2476">
        <f t="shared" si="15"/>
        <v>0</v>
      </c>
      <c r="G364" s="2402">
        <f t="shared" si="17"/>
        <v>1237.2481942145641</v>
      </c>
      <c r="H364" s="2477">
        <f t="shared" si="18"/>
        <v>1052.9734248653303</v>
      </c>
      <c r="I364" s="869">
        <f t="shared" si="19"/>
        <v>-1237.2481942145641</v>
      </c>
      <c r="J364" s="1895">
        <f t="shared" si="20"/>
        <v>-1052.9734248653303</v>
      </c>
      <c r="K364" s="2409"/>
      <c r="L364" s="2483">
        <f t="shared" si="21"/>
        <v>-1.920985588329847E-2</v>
      </c>
      <c r="M364" s="2484">
        <f t="shared" si="22"/>
        <v>-1.7702548203486164E-2</v>
      </c>
    </row>
    <row r="365" spans="1:13" x14ac:dyDescent="0.25">
      <c r="A365" s="2281">
        <f t="shared" si="40"/>
        <v>87</v>
      </c>
      <c r="B365" s="2287">
        <f t="shared" si="40"/>
        <v>82</v>
      </c>
      <c r="C365" s="869">
        <f t="shared" ref="C365:D365" si="50">L321</f>
        <v>65983.448175858604</v>
      </c>
      <c r="D365" s="868">
        <f t="shared" si="50"/>
        <v>60809.368891881364</v>
      </c>
      <c r="E365" s="2473">
        <f t="shared" si="14"/>
        <v>0</v>
      </c>
      <c r="F365" s="2476">
        <f t="shared" si="15"/>
        <v>0</v>
      </c>
      <c r="G365" s="2402">
        <f t="shared" si="17"/>
        <v>1293.6641949890191</v>
      </c>
      <c r="H365" s="2477">
        <f t="shared" si="18"/>
        <v>1094.3078065364252</v>
      </c>
      <c r="I365" s="869">
        <f t="shared" si="19"/>
        <v>-1293.6641949890191</v>
      </c>
      <c r="J365" s="1895">
        <f t="shared" si="20"/>
        <v>-1094.3078065364252</v>
      </c>
      <c r="K365" s="2409"/>
      <c r="L365" s="2483">
        <f t="shared" si="21"/>
        <v>-1.9605889518552511E-2</v>
      </c>
      <c r="M365" s="2484">
        <f t="shared" si="22"/>
        <v>-1.7995710636005725E-2</v>
      </c>
    </row>
    <row r="366" spans="1:13" x14ac:dyDescent="0.25">
      <c r="A366" s="2281">
        <f t="shared" si="40"/>
        <v>88</v>
      </c>
      <c r="B366" s="2287">
        <f t="shared" si="40"/>
        <v>83</v>
      </c>
      <c r="C366" s="869">
        <f t="shared" ref="C366:D366" si="51">L322</f>
        <v>67612.184992935086</v>
      </c>
      <c r="D366" s="868">
        <f t="shared" si="51"/>
        <v>62177.610172611603</v>
      </c>
      <c r="E366" s="2473">
        <f t="shared" si="14"/>
        <v>0</v>
      </c>
      <c r="F366" s="2476">
        <f t="shared" si="15"/>
        <v>0</v>
      </c>
      <c r="G366" s="2402">
        <f t="shared" si="17"/>
        <v>1355.6703610361587</v>
      </c>
      <c r="H366" s="2477">
        <f t="shared" si="18"/>
        <v>1138.9411808316336</v>
      </c>
      <c r="I366" s="869">
        <f t="shared" si="19"/>
        <v>-1355.6703610361587</v>
      </c>
      <c r="J366" s="1895">
        <f t="shared" si="20"/>
        <v>-1138.9411808316336</v>
      </c>
      <c r="K366" s="2409"/>
      <c r="L366" s="2483">
        <f t="shared" si="21"/>
        <v>-2.0050681118763063E-2</v>
      </c>
      <c r="M366" s="2484">
        <f t="shared" si="22"/>
        <v>-1.831754513674316E-2</v>
      </c>
    </row>
    <row r="367" spans="1:13" x14ac:dyDescent="0.25">
      <c r="A367" s="2281">
        <f t="shared" si="40"/>
        <v>89</v>
      </c>
      <c r="B367" s="2287">
        <f t="shared" si="40"/>
        <v>84</v>
      </c>
      <c r="C367" s="869">
        <f t="shared" ref="C367:D367" si="52">L323</f>
        <v>69294.456372651111</v>
      </c>
      <c r="D367" s="868">
        <f t="shared" si="52"/>
        <v>63587.316782133537</v>
      </c>
      <c r="E367" s="2473">
        <f t="shared" si="14"/>
        <v>0</v>
      </c>
      <c r="F367" s="2476">
        <f t="shared" si="15"/>
        <v>0</v>
      </c>
      <c r="G367" s="2402">
        <f t="shared" si="17"/>
        <v>1424.1798964142099</v>
      </c>
      <c r="H367" s="2477">
        <f t="shared" si="18"/>
        <v>1187.3372262942755</v>
      </c>
      <c r="I367" s="869">
        <f t="shared" si="19"/>
        <v>-1424.1798964142099</v>
      </c>
      <c r="J367" s="1895">
        <f t="shared" si="20"/>
        <v>-1187.3372262942755</v>
      </c>
      <c r="K367" s="2409"/>
      <c r="L367" s="2483">
        <f t="shared" si="21"/>
        <v>-2.0552580552119032E-2</v>
      </c>
      <c r="M367" s="2484">
        <f t="shared" si="22"/>
        <v>-1.867254802341161E-2</v>
      </c>
    </row>
    <row r="368" spans="1:13" x14ac:dyDescent="0.25">
      <c r="A368" s="2281">
        <f t="shared" si="40"/>
        <v>90</v>
      </c>
      <c r="B368" s="2287">
        <f t="shared" si="40"/>
        <v>85</v>
      </c>
      <c r="C368" s="869">
        <f t="shared" ref="C368:D368" si="53">L324</f>
        <v>71044.603313343687</v>
      </c>
      <c r="D368" s="868">
        <f t="shared" si="53"/>
        <v>65047.982591071661</v>
      </c>
      <c r="E368" s="2473">
        <f t="shared" si="14"/>
        <v>0</v>
      </c>
      <c r="F368" s="2476">
        <f t="shared" si="15"/>
        <v>0</v>
      </c>
      <c r="G368" s="2402">
        <f t="shared" si="17"/>
        <v>1487.1611572098077</v>
      </c>
      <c r="H368" s="2477">
        <f t="shared" si="18"/>
        <v>1231.6769626019181</v>
      </c>
      <c r="I368" s="869">
        <f t="shared" si="19"/>
        <v>-1487.1611572098077</v>
      </c>
      <c r="J368" s="1895">
        <f t="shared" si="20"/>
        <v>-1231.6769626019181</v>
      </c>
      <c r="K368" s="2409"/>
      <c r="L368" s="2483">
        <f t="shared" si="21"/>
        <v>-2.0932781490110554E-2</v>
      </c>
      <c r="M368" s="2484">
        <f t="shared" si="22"/>
        <v>-1.8934898724606648E-2</v>
      </c>
    </row>
    <row r="369" spans="1:13" x14ac:dyDescent="0.25">
      <c r="A369" s="2281">
        <f t="shared" si="40"/>
        <v>91</v>
      </c>
      <c r="B369" s="2287">
        <f t="shared" si="40"/>
        <v>86</v>
      </c>
      <c r="C369" s="869">
        <f t="shared" ref="C369:D369" si="54">L325</f>
        <v>72853.306134492159</v>
      </c>
      <c r="D369" s="868">
        <f t="shared" si="54"/>
        <v>66555.330312308608</v>
      </c>
      <c r="E369" s="2473">
        <f t="shared" si="14"/>
        <v>0</v>
      </c>
      <c r="F369" s="2476">
        <f t="shared" si="15"/>
        <v>0</v>
      </c>
      <c r="G369" s="2402">
        <f t="shared" si="17"/>
        <v>1557.3624668877642</v>
      </c>
      <c r="H369" s="2477">
        <f t="shared" si="18"/>
        <v>1279.9650522990696</v>
      </c>
      <c r="I369" s="869">
        <f t="shared" si="19"/>
        <v>-1557.3624668877642</v>
      </c>
      <c r="J369" s="1895">
        <f t="shared" si="20"/>
        <v>-1279.9650522990696</v>
      </c>
      <c r="K369" s="2409"/>
      <c r="L369" s="2483">
        <f t="shared" si="21"/>
        <v>-2.137668898667093E-2</v>
      </c>
      <c r="M369" s="2484">
        <f t="shared" si="22"/>
        <v>-1.9231593416979189E-2</v>
      </c>
    </row>
    <row r="370" spans="1:13" x14ac:dyDescent="0.25">
      <c r="A370" s="2281">
        <f t="shared" si="40"/>
        <v>92</v>
      </c>
      <c r="B370" s="2287">
        <f t="shared" si="40"/>
        <v>87</v>
      </c>
      <c r="C370" s="869">
        <f t="shared" ref="C370:D370" si="55">L326</f>
        <v>74723.024748095035</v>
      </c>
      <c r="D370" s="868">
        <f t="shared" si="55"/>
        <v>68111.277633452934</v>
      </c>
      <c r="E370" s="2473">
        <f t="shared" si="14"/>
        <v>0</v>
      </c>
      <c r="F370" s="2476">
        <f t="shared" si="15"/>
        <v>0</v>
      </c>
      <c r="G370" s="2402">
        <f t="shared" si="17"/>
        <v>1634.9131638609717</v>
      </c>
      <c r="H370" s="2477">
        <f t="shared" si="18"/>
        <v>1332.3461008098152</v>
      </c>
      <c r="I370" s="869">
        <f t="shared" si="19"/>
        <v>-1634.9131638609717</v>
      </c>
      <c r="J370" s="1895">
        <f t="shared" si="20"/>
        <v>-1332.3461008098152</v>
      </c>
      <c r="K370" s="2409"/>
      <c r="L370" s="2483">
        <f t="shared" si="21"/>
        <v>-2.187964378279068E-2</v>
      </c>
      <c r="M370" s="2484">
        <f t="shared" si="22"/>
        <v>-1.9561314177366597E-2</v>
      </c>
    </row>
    <row r="371" spans="1:13" x14ac:dyDescent="0.25">
      <c r="A371" s="2281">
        <f t="shared" si="40"/>
        <v>93</v>
      </c>
      <c r="B371" s="2287">
        <f t="shared" si="40"/>
        <v>88</v>
      </c>
      <c r="C371" s="869">
        <f t="shared" ref="C371:D371" si="56">L327</f>
        <v>76655.084169321286</v>
      </c>
      <c r="D371" s="868">
        <f t="shared" si="56"/>
        <v>69717.342291216191</v>
      </c>
      <c r="E371" s="2473">
        <f t="shared" si="14"/>
        <v>0</v>
      </c>
      <c r="F371" s="2476">
        <f t="shared" si="15"/>
        <v>0</v>
      </c>
      <c r="G371" s="2402">
        <f t="shared" si="17"/>
        <v>1721.1931226992508</v>
      </c>
      <c r="H371" s="2477">
        <f t="shared" si="18"/>
        <v>1389.4784693914255</v>
      </c>
      <c r="I371" s="869">
        <f t="shared" si="19"/>
        <v>-1721.1931226992508</v>
      </c>
      <c r="J371" s="1895">
        <f t="shared" si="20"/>
        <v>-1389.4784693914255</v>
      </c>
      <c r="K371" s="2409"/>
      <c r="L371" s="2483">
        <f t="shared" si="21"/>
        <v>-2.2453737300677346E-2</v>
      </c>
      <c r="M371" s="2484">
        <f t="shared" si="22"/>
        <v>-1.9930169793154727E-2</v>
      </c>
    </row>
    <row r="372" spans="1:13" x14ac:dyDescent="0.25">
      <c r="A372" s="2281">
        <f t="shared" ref="A372:B374" si="57">A371+1</f>
        <v>94</v>
      </c>
      <c r="B372" s="2287">
        <f t="shared" si="57"/>
        <v>89</v>
      </c>
      <c r="C372" s="869">
        <f t="shared" ref="C372:D372" si="58">L328</f>
        <v>78670.675855754569</v>
      </c>
      <c r="D372" s="868">
        <f t="shared" si="58"/>
        <v>71375.051803097624</v>
      </c>
      <c r="E372" s="2473">
        <f t="shared" si="14"/>
        <v>0</v>
      </c>
      <c r="F372" s="2476">
        <f t="shared" si="15"/>
        <v>0</v>
      </c>
      <c r="G372" s="2402">
        <f t="shared" si="17"/>
        <v>1797.8383353200554</v>
      </c>
      <c r="H372" s="2477">
        <f t="shared" si="18"/>
        <v>1452.1343166851145</v>
      </c>
      <c r="I372" s="869">
        <f t="shared" si="19"/>
        <v>-1797.8383353200554</v>
      </c>
      <c r="J372" s="1895">
        <f t="shared" si="20"/>
        <v>-1452.1343166851145</v>
      </c>
      <c r="K372" s="2409"/>
      <c r="L372" s="2483">
        <f t="shared" si="21"/>
        <v>-2.285271247213453E-2</v>
      </c>
      <c r="M372" s="2484">
        <f t="shared" si="22"/>
        <v>-2.034512452181636E-2</v>
      </c>
    </row>
    <row r="373" spans="1:13" x14ac:dyDescent="0.25">
      <c r="A373" s="2281">
        <f t="shared" si="57"/>
        <v>95</v>
      </c>
      <c r="B373" s="2287">
        <f t="shared" si="57"/>
        <v>90</v>
      </c>
      <c r="C373" s="869">
        <f t="shared" ref="C373:D373" si="59">L329</f>
        <v>80754.492861848426</v>
      </c>
      <c r="D373" s="868">
        <f t="shared" si="59"/>
        <v>73099.227897693359</v>
      </c>
      <c r="E373" s="2473">
        <f t="shared" si="14"/>
        <v>0</v>
      </c>
      <c r="F373" s="2476">
        <f t="shared" si="15"/>
        <v>0</v>
      </c>
      <c r="G373" s="2402">
        <f t="shared" si="17"/>
        <v>1884.3382960931476</v>
      </c>
      <c r="H373" s="2477">
        <f t="shared" si="18"/>
        <v>1507.9263744148057</v>
      </c>
      <c r="I373" s="869">
        <f t="shared" si="19"/>
        <v>-1884.3382960931476</v>
      </c>
      <c r="J373" s="1895">
        <f t="shared" si="20"/>
        <v>-1507.9263744148057</v>
      </c>
      <c r="K373" s="2409"/>
      <c r="L373" s="2483">
        <f t="shared" si="21"/>
        <v>-2.3334160482151731E-2</v>
      </c>
      <c r="M373" s="2484">
        <f t="shared" si="22"/>
        <v>-2.0628485659591873E-2</v>
      </c>
    </row>
    <row r="374" spans="1:13" ht="15.75" thickBot="1" x14ac:dyDescent="0.3">
      <c r="A374" s="2285">
        <f t="shared" si="57"/>
        <v>96</v>
      </c>
      <c r="B374" s="2288">
        <f t="shared" si="57"/>
        <v>91</v>
      </c>
      <c r="C374" s="1975">
        <f t="shared" ref="C374:D374" si="60">L330</f>
        <v>82910.035250181885</v>
      </c>
      <c r="D374" s="1896">
        <f t="shared" si="60"/>
        <v>74882.267177152375</v>
      </c>
      <c r="E374" s="2474">
        <f t="shared" si="14"/>
        <v>0</v>
      </c>
      <c r="F374" s="2478">
        <f t="shared" si="15"/>
        <v>0</v>
      </c>
      <c r="G374" s="2479">
        <f t="shared" si="17"/>
        <v>1980.2929824886655</v>
      </c>
      <c r="H374" s="2480">
        <f t="shared" si="18"/>
        <v>1569.7269392449907</v>
      </c>
      <c r="I374" s="1975">
        <f t="shared" si="19"/>
        <v>-1980.2929824886655</v>
      </c>
      <c r="J374" s="1887">
        <f t="shared" si="20"/>
        <v>-1569.7269392449907</v>
      </c>
      <c r="K374" s="1948"/>
      <c r="L374" s="2485">
        <f t="shared" si="21"/>
        <v>-2.3884840677164242E-2</v>
      </c>
      <c r="M374" s="2486">
        <f t="shared" si="22"/>
        <v>-2.0962599002663961E-2</v>
      </c>
    </row>
    <row r="375" spans="1:13" ht="15.75" thickTop="1" x14ac:dyDescent="0.25"/>
    <row r="377" spans="1:13" s="1367" customFormat="1" ht="16.5" thickBot="1" x14ac:dyDescent="0.3"/>
    <row r="378" spans="1:13" s="215" customFormat="1" ht="19.5" thickTop="1" x14ac:dyDescent="0.3">
      <c r="A378" s="1340" t="s">
        <v>2019</v>
      </c>
      <c r="B378" s="1341"/>
      <c r="C378" s="1341"/>
      <c r="D378" s="1341"/>
      <c r="E378" s="2282"/>
      <c r="F378" s="1341"/>
      <c r="G378" s="1341"/>
      <c r="H378" s="1341"/>
      <c r="I378" s="1341"/>
      <c r="J378" s="1341"/>
      <c r="K378" s="1341"/>
      <c r="L378" s="1341"/>
      <c r="M378" s="1342"/>
    </row>
    <row r="379" spans="1:13" s="215" customFormat="1" ht="18.75" x14ac:dyDescent="0.3">
      <c r="A379" s="1416" t="s">
        <v>2018</v>
      </c>
      <c r="H379" s="6"/>
      <c r="I379" s="144"/>
      <c r="J379" s="6"/>
      <c r="K379" s="6"/>
      <c r="L379" s="6"/>
      <c r="M379" s="1311"/>
    </row>
    <row r="380" spans="1:13" s="215" customFormat="1" ht="18.75" x14ac:dyDescent="0.3">
      <c r="A380" s="1438"/>
      <c r="B380" s="33" t="s">
        <v>1955</v>
      </c>
      <c r="C380" s="1841"/>
      <c r="D380" s="1841"/>
      <c r="E380" s="1842"/>
      <c r="F380" s="6"/>
      <c r="G380" s="1227" t="s">
        <v>2004</v>
      </c>
      <c r="H380" s="6"/>
      <c r="I380" s="144"/>
      <c r="J380" s="6"/>
      <c r="K380" s="6"/>
      <c r="L380" s="6"/>
      <c r="M380" s="1311"/>
    </row>
    <row r="381" spans="1:13" s="215" customFormat="1" ht="18.75" x14ac:dyDescent="0.3">
      <c r="A381" s="1438"/>
      <c r="B381" s="33" t="s">
        <v>1956</v>
      </c>
      <c r="C381" s="1841"/>
      <c r="D381" s="1841"/>
      <c r="E381" s="1842"/>
      <c r="F381" s="6"/>
      <c r="G381" s="1227" t="s">
        <v>2005</v>
      </c>
      <c r="H381" s="6"/>
      <c r="I381" s="144"/>
      <c r="J381" s="6"/>
      <c r="K381" s="6"/>
      <c r="L381" s="6"/>
      <c r="M381" s="1311"/>
    </row>
    <row r="382" spans="1:13" ht="15.75" thickBot="1" x14ac:dyDescent="0.3">
      <c r="A382" s="2281"/>
      <c r="B382" s="684"/>
      <c r="C382" s="1295"/>
      <c r="D382" s="1295"/>
      <c r="E382" s="2254"/>
      <c r="F382" s="6"/>
      <c r="G382" s="6"/>
      <c r="H382" s="6"/>
      <c r="I382" s="6"/>
      <c r="J382" s="6"/>
      <c r="K382" s="6"/>
      <c r="L382" s="6"/>
      <c r="M382" s="1311"/>
    </row>
    <row r="383" spans="1:13" ht="19.5" thickTop="1" x14ac:dyDescent="0.3">
      <c r="A383" s="1340" t="s">
        <v>1990</v>
      </c>
      <c r="B383" s="1341"/>
      <c r="C383" s="1341"/>
      <c r="D383" s="1341"/>
      <c r="E383" s="2282"/>
      <c r="F383" s="1341"/>
      <c r="G383" s="1341"/>
      <c r="H383" s="1341"/>
      <c r="I383" s="1341"/>
      <c r="J383" s="1341"/>
      <c r="K383" s="1341"/>
      <c r="L383" s="1341"/>
      <c r="M383" s="2409"/>
    </row>
    <row r="384" spans="1:13" x14ac:dyDescent="0.25">
      <c r="A384" s="1416" t="s">
        <v>1919</v>
      </c>
      <c r="B384" s="6"/>
      <c r="C384" s="6"/>
      <c r="D384" s="6"/>
      <c r="E384" s="13"/>
      <c r="F384" s="6"/>
      <c r="G384" s="6"/>
      <c r="H384" s="6"/>
      <c r="I384" s="6"/>
      <c r="J384" s="6"/>
      <c r="K384" s="6"/>
      <c r="M384" s="2409"/>
    </row>
    <row r="385" spans="1:13" ht="18.75" x14ac:dyDescent="0.3">
      <c r="A385" s="1416" t="s">
        <v>1980</v>
      </c>
      <c r="B385" s="6"/>
      <c r="C385" s="6"/>
      <c r="D385" s="6"/>
      <c r="E385" s="13"/>
      <c r="F385" s="6"/>
      <c r="G385" s="6"/>
      <c r="H385" s="6"/>
      <c r="I385" s="144"/>
      <c r="J385" s="6"/>
      <c r="K385" s="6"/>
      <c r="L385" s="6"/>
      <c r="M385" s="2409"/>
    </row>
    <row r="386" spans="1:13" x14ac:dyDescent="0.25">
      <c r="A386" s="2330" t="s">
        <v>1898</v>
      </c>
      <c r="B386" s="6"/>
      <c r="C386" s="6"/>
      <c r="D386" s="6"/>
      <c r="E386" s="1295"/>
      <c r="F386" s="1295"/>
      <c r="G386" s="33"/>
      <c r="H386" s="1295"/>
      <c r="I386" s="1295"/>
      <c r="J386" s="1295"/>
      <c r="K386" s="1295"/>
      <c r="L386" s="1295"/>
      <c r="M386" s="2409"/>
    </row>
    <row r="387" spans="1:13" ht="19.5" thickBot="1" x14ac:dyDescent="0.35">
      <c r="A387" s="1320"/>
      <c r="B387" s="1295"/>
      <c r="C387" s="1295"/>
      <c r="D387" s="1295"/>
      <c r="E387" s="2254"/>
      <c r="F387" s="6"/>
      <c r="G387" s="6"/>
      <c r="H387" s="6"/>
      <c r="I387" s="6"/>
      <c r="J387" s="6"/>
      <c r="K387" s="6"/>
      <c r="L387" s="6"/>
      <c r="M387" s="2409"/>
    </row>
    <row r="388" spans="1:13" ht="50.25" thickTop="1" thickBot="1" x14ac:dyDescent="0.3">
      <c r="A388" s="313" t="s">
        <v>142</v>
      </c>
      <c r="B388" s="407" t="s">
        <v>143</v>
      </c>
      <c r="C388" s="512" t="s">
        <v>1981</v>
      </c>
      <c r="D388" s="512" t="s">
        <v>1982</v>
      </c>
      <c r="E388" s="2279" t="s">
        <v>1983</v>
      </c>
      <c r="F388" s="2279" t="s">
        <v>1984</v>
      </c>
      <c r="G388" s="2394"/>
      <c r="H388" s="2303" t="s">
        <v>1985</v>
      </c>
      <c r="I388" s="2304" t="s">
        <v>1986</v>
      </c>
      <c r="J388" s="6"/>
      <c r="K388" s="6"/>
      <c r="L388" s="6"/>
      <c r="M388" s="2409"/>
    </row>
    <row r="389" spans="1:13" ht="15.75" thickTop="1" x14ac:dyDescent="0.25">
      <c r="A389" s="2283">
        <f>'1. AgeData'!$D$30</f>
        <v>60</v>
      </c>
      <c r="B389" s="2286">
        <f>'1. AgeData'!$D$31</f>
        <v>55</v>
      </c>
      <c r="C389" s="837">
        <f t="shared" ref="C389:C425" si="61">IF(AND(A389&gt;=$F$115,A389&lt;=$G$115,$I$105="yes"),$D$115*POWER((1+$E$115),(A389-A$389)),0)</f>
        <v>0</v>
      </c>
      <c r="D389" s="837">
        <f t="shared" ref="D389:D425" si="62">IF(AND(B389&gt;=$F$121,B389&lt;=$G$121,$I$105="yes"),$D$121*POWER((1+$E$121),(B389-B$389)),0)</f>
        <v>0</v>
      </c>
      <c r="E389" s="869">
        <f t="shared" ref="E389:E425" si="63">IF(AND(A389&gt;=$F$118,A389&lt;=$G$118,$I$105="yes"),$D$118*POWER((1+$E$118),(A389-A$389)),0)</f>
        <v>123</v>
      </c>
      <c r="F389" s="1447">
        <f t="shared" ref="F389:F425" si="64">IF(AND(B389&gt;=$F$124,B389&lt;=$G$124,$I$105="yes"),$D$124*POWER((1+$E$124),(B389-B$389)),0)</f>
        <v>0</v>
      </c>
      <c r="G389" s="2409"/>
      <c r="H389" s="1970">
        <f t="shared" ref="H389:H425" si="65">C389+E389</f>
        <v>123</v>
      </c>
      <c r="I389" s="2284">
        <f t="shared" ref="I389:I425" si="66">D389+F389</f>
        <v>0</v>
      </c>
      <c r="J389" s="6"/>
      <c r="K389" s="6"/>
      <c r="L389" s="6"/>
      <c r="M389" s="2409"/>
    </row>
    <row r="390" spans="1:13" x14ac:dyDescent="0.25">
      <c r="A390" s="2281">
        <f>A389+1</f>
        <v>61</v>
      </c>
      <c r="B390" s="2287">
        <f>B389+1</f>
        <v>56</v>
      </c>
      <c r="C390" s="837">
        <f t="shared" si="61"/>
        <v>1010</v>
      </c>
      <c r="D390" s="837">
        <f t="shared" si="62"/>
        <v>2009.9999999999998</v>
      </c>
      <c r="E390" s="869">
        <f t="shared" si="63"/>
        <v>124.84499999999998</v>
      </c>
      <c r="F390" s="408">
        <f t="shared" si="64"/>
        <v>0</v>
      </c>
      <c r="G390" s="2409"/>
      <c r="H390" s="924">
        <f t="shared" si="65"/>
        <v>1134.845</v>
      </c>
      <c r="I390" s="2320">
        <f t="shared" si="66"/>
        <v>2009.9999999999998</v>
      </c>
      <c r="J390" s="6"/>
      <c r="K390" s="6"/>
      <c r="L390" s="6"/>
      <c r="M390" s="2409"/>
    </row>
    <row r="391" spans="1:13" x14ac:dyDescent="0.25">
      <c r="A391" s="2281">
        <f t="shared" ref="A391:B406" si="67">A390+1</f>
        <v>62</v>
      </c>
      <c r="B391" s="2287">
        <f t="shared" si="67"/>
        <v>57</v>
      </c>
      <c r="C391" s="837">
        <f t="shared" si="61"/>
        <v>1020.1</v>
      </c>
      <c r="D391" s="837">
        <f t="shared" si="62"/>
        <v>2020.0499999999995</v>
      </c>
      <c r="E391" s="869">
        <f t="shared" si="63"/>
        <v>126.71767499999997</v>
      </c>
      <c r="F391" s="408">
        <f t="shared" si="64"/>
        <v>0</v>
      </c>
      <c r="G391" s="2409"/>
      <c r="H391" s="924">
        <f t="shared" si="65"/>
        <v>1146.817675</v>
      </c>
      <c r="I391" s="2320">
        <f t="shared" si="66"/>
        <v>2020.0499999999995</v>
      </c>
      <c r="J391" s="6"/>
      <c r="K391" s="6"/>
      <c r="L391" s="6"/>
      <c r="M391" s="2409"/>
    </row>
    <row r="392" spans="1:13" x14ac:dyDescent="0.25">
      <c r="A392" s="2281">
        <f t="shared" si="67"/>
        <v>63</v>
      </c>
      <c r="B392" s="2287">
        <f t="shared" si="67"/>
        <v>58</v>
      </c>
      <c r="C392" s="837">
        <f t="shared" si="61"/>
        <v>1030.3009999999999</v>
      </c>
      <c r="D392" s="837">
        <f t="shared" si="62"/>
        <v>2030.1502499999992</v>
      </c>
      <c r="E392" s="869">
        <f t="shared" si="63"/>
        <v>128.61844012499995</v>
      </c>
      <c r="F392" s="408">
        <f t="shared" si="64"/>
        <v>0</v>
      </c>
      <c r="G392" s="2409"/>
      <c r="H392" s="924">
        <f t="shared" si="65"/>
        <v>1158.9194401249999</v>
      </c>
      <c r="I392" s="2320">
        <f t="shared" si="66"/>
        <v>2030.1502499999992</v>
      </c>
      <c r="J392" s="6"/>
      <c r="K392" s="6"/>
      <c r="L392" s="6"/>
      <c r="M392" s="2409"/>
    </row>
    <row r="393" spans="1:13" x14ac:dyDescent="0.25">
      <c r="A393" s="2281">
        <f t="shared" si="67"/>
        <v>64</v>
      </c>
      <c r="B393" s="2287">
        <f t="shared" si="67"/>
        <v>59</v>
      </c>
      <c r="C393" s="837">
        <f t="shared" si="61"/>
        <v>1040.60401</v>
      </c>
      <c r="D393" s="837">
        <f t="shared" si="62"/>
        <v>0</v>
      </c>
      <c r="E393" s="869">
        <f t="shared" si="63"/>
        <v>130.54771672687494</v>
      </c>
      <c r="F393" s="408">
        <f t="shared" si="64"/>
        <v>0</v>
      </c>
      <c r="G393" s="2409"/>
      <c r="H393" s="924">
        <f t="shared" si="65"/>
        <v>1171.151726726875</v>
      </c>
      <c r="I393" s="2320">
        <f t="shared" si="66"/>
        <v>0</v>
      </c>
      <c r="J393" s="6"/>
      <c r="K393" s="6"/>
      <c r="L393" s="6"/>
      <c r="M393" s="2409"/>
    </row>
    <row r="394" spans="1:13" x14ac:dyDescent="0.25">
      <c r="A394" s="2281">
        <f t="shared" si="67"/>
        <v>65</v>
      </c>
      <c r="B394" s="2287">
        <f t="shared" si="67"/>
        <v>60</v>
      </c>
      <c r="C394" s="837">
        <f t="shared" si="61"/>
        <v>0</v>
      </c>
      <c r="D394" s="837">
        <f t="shared" si="62"/>
        <v>0</v>
      </c>
      <c r="E394" s="869">
        <f t="shared" si="63"/>
        <v>0</v>
      </c>
      <c r="F394" s="408">
        <f t="shared" si="64"/>
        <v>0</v>
      </c>
      <c r="G394" s="2409"/>
      <c r="H394" s="924">
        <f t="shared" si="65"/>
        <v>0</v>
      </c>
      <c r="I394" s="2320">
        <f t="shared" si="66"/>
        <v>0</v>
      </c>
      <c r="J394" s="6"/>
      <c r="K394" s="6"/>
      <c r="L394" s="6"/>
      <c r="M394" s="2409"/>
    </row>
    <row r="395" spans="1:13" x14ac:dyDescent="0.25">
      <c r="A395" s="2281">
        <f t="shared" si="67"/>
        <v>66</v>
      </c>
      <c r="B395" s="2287">
        <f t="shared" si="67"/>
        <v>61</v>
      </c>
      <c r="C395" s="837">
        <f t="shared" si="61"/>
        <v>0</v>
      </c>
      <c r="D395" s="837">
        <f t="shared" si="62"/>
        <v>0</v>
      </c>
      <c r="E395" s="869">
        <f t="shared" si="63"/>
        <v>0</v>
      </c>
      <c r="F395" s="408">
        <f t="shared" si="64"/>
        <v>0</v>
      </c>
      <c r="G395" s="2409"/>
      <c r="H395" s="924">
        <f t="shared" si="65"/>
        <v>0</v>
      </c>
      <c r="I395" s="2320">
        <f t="shared" si="66"/>
        <v>0</v>
      </c>
      <c r="J395" s="6"/>
      <c r="K395" s="6"/>
      <c r="L395" s="6"/>
      <c r="M395" s="2409"/>
    </row>
    <row r="396" spans="1:13" x14ac:dyDescent="0.25">
      <c r="A396" s="2281">
        <f t="shared" si="67"/>
        <v>67</v>
      </c>
      <c r="B396" s="2287">
        <f t="shared" si="67"/>
        <v>62</v>
      </c>
      <c r="C396" s="837">
        <f t="shared" si="61"/>
        <v>0</v>
      </c>
      <c r="D396" s="837">
        <f t="shared" si="62"/>
        <v>0</v>
      </c>
      <c r="E396" s="869">
        <f t="shared" si="63"/>
        <v>0</v>
      </c>
      <c r="F396" s="408">
        <f t="shared" si="64"/>
        <v>0</v>
      </c>
      <c r="G396" s="2409"/>
      <c r="H396" s="924">
        <f t="shared" si="65"/>
        <v>0</v>
      </c>
      <c r="I396" s="2320">
        <f t="shared" si="66"/>
        <v>0</v>
      </c>
      <c r="J396" s="6"/>
      <c r="K396" s="6"/>
      <c r="L396" s="6"/>
      <c r="M396" s="2409"/>
    </row>
    <row r="397" spans="1:13" x14ac:dyDescent="0.25">
      <c r="A397" s="2281">
        <f t="shared" si="67"/>
        <v>68</v>
      </c>
      <c r="B397" s="2287">
        <f t="shared" si="67"/>
        <v>63</v>
      </c>
      <c r="C397" s="837">
        <f t="shared" si="61"/>
        <v>0</v>
      </c>
      <c r="D397" s="837">
        <f t="shared" si="62"/>
        <v>0</v>
      </c>
      <c r="E397" s="869">
        <f t="shared" si="63"/>
        <v>0</v>
      </c>
      <c r="F397" s="408">
        <f t="shared" si="64"/>
        <v>0</v>
      </c>
      <c r="G397" s="2409"/>
      <c r="H397" s="924">
        <f t="shared" si="65"/>
        <v>0</v>
      </c>
      <c r="I397" s="2320">
        <f t="shared" si="66"/>
        <v>0</v>
      </c>
      <c r="J397" s="6"/>
      <c r="K397" s="6"/>
      <c r="L397" s="6"/>
      <c r="M397" s="2409"/>
    </row>
    <row r="398" spans="1:13" x14ac:dyDescent="0.25">
      <c r="A398" s="2281">
        <f t="shared" si="67"/>
        <v>69</v>
      </c>
      <c r="B398" s="2287">
        <f t="shared" si="67"/>
        <v>64</v>
      </c>
      <c r="C398" s="837">
        <f t="shared" si="61"/>
        <v>0</v>
      </c>
      <c r="D398" s="837">
        <f t="shared" si="62"/>
        <v>0</v>
      </c>
      <c r="E398" s="869">
        <f t="shared" si="63"/>
        <v>0</v>
      </c>
      <c r="F398" s="408">
        <f t="shared" si="64"/>
        <v>0</v>
      </c>
      <c r="G398" s="2409"/>
      <c r="H398" s="924">
        <f t="shared" si="65"/>
        <v>0</v>
      </c>
      <c r="I398" s="2320">
        <f t="shared" si="66"/>
        <v>0</v>
      </c>
      <c r="J398" s="6"/>
      <c r="K398" s="6"/>
      <c r="L398" s="6"/>
      <c r="M398" s="2409"/>
    </row>
    <row r="399" spans="1:13" x14ac:dyDescent="0.25">
      <c r="A399" s="2281">
        <f t="shared" si="67"/>
        <v>70</v>
      </c>
      <c r="B399" s="2287">
        <f t="shared" si="67"/>
        <v>65</v>
      </c>
      <c r="C399" s="837">
        <f t="shared" si="61"/>
        <v>0</v>
      </c>
      <c r="D399" s="837">
        <f t="shared" si="62"/>
        <v>0</v>
      </c>
      <c r="E399" s="869">
        <f t="shared" si="63"/>
        <v>0</v>
      </c>
      <c r="F399" s="408">
        <f t="shared" si="64"/>
        <v>0</v>
      </c>
      <c r="G399" s="2409"/>
      <c r="H399" s="924">
        <f t="shared" si="65"/>
        <v>0</v>
      </c>
      <c r="I399" s="2320">
        <f t="shared" si="66"/>
        <v>0</v>
      </c>
      <c r="J399" s="6"/>
      <c r="K399" s="6"/>
      <c r="L399" s="6"/>
      <c r="M399" s="2409"/>
    </row>
    <row r="400" spans="1:13" x14ac:dyDescent="0.25">
      <c r="A400" s="2281">
        <f t="shared" si="67"/>
        <v>71</v>
      </c>
      <c r="B400" s="2287">
        <f t="shared" si="67"/>
        <v>66</v>
      </c>
      <c r="C400" s="837">
        <f t="shared" si="61"/>
        <v>0</v>
      </c>
      <c r="D400" s="837">
        <f t="shared" si="62"/>
        <v>0</v>
      </c>
      <c r="E400" s="869">
        <f t="shared" si="63"/>
        <v>0</v>
      </c>
      <c r="F400" s="408">
        <f t="shared" si="64"/>
        <v>0</v>
      </c>
      <c r="G400" s="2409"/>
      <c r="H400" s="924">
        <f t="shared" si="65"/>
        <v>0</v>
      </c>
      <c r="I400" s="2320">
        <f t="shared" si="66"/>
        <v>0</v>
      </c>
      <c r="J400" s="6"/>
      <c r="K400" s="6"/>
      <c r="L400" s="6"/>
      <c r="M400" s="2409"/>
    </row>
    <row r="401" spans="1:13" x14ac:dyDescent="0.25">
      <c r="A401" s="2281">
        <f t="shared" si="67"/>
        <v>72</v>
      </c>
      <c r="B401" s="2287">
        <f t="shared" si="67"/>
        <v>67</v>
      </c>
      <c r="C401" s="837">
        <f t="shared" si="61"/>
        <v>0</v>
      </c>
      <c r="D401" s="837">
        <f t="shared" si="62"/>
        <v>0</v>
      </c>
      <c r="E401" s="869">
        <f t="shared" si="63"/>
        <v>0</v>
      </c>
      <c r="F401" s="408">
        <f t="shared" si="64"/>
        <v>0</v>
      </c>
      <c r="G401" s="2409"/>
      <c r="H401" s="924">
        <f t="shared" si="65"/>
        <v>0</v>
      </c>
      <c r="I401" s="2320">
        <f t="shared" si="66"/>
        <v>0</v>
      </c>
      <c r="J401" s="6"/>
      <c r="K401" s="6"/>
      <c r="L401" s="6"/>
      <c r="M401" s="2409"/>
    </row>
    <row r="402" spans="1:13" x14ac:dyDescent="0.25">
      <c r="A402" s="2281">
        <f t="shared" si="67"/>
        <v>73</v>
      </c>
      <c r="B402" s="2287">
        <f t="shared" si="67"/>
        <v>68</v>
      </c>
      <c r="C402" s="837">
        <f t="shared" si="61"/>
        <v>0</v>
      </c>
      <c r="D402" s="837">
        <f t="shared" si="62"/>
        <v>0</v>
      </c>
      <c r="E402" s="869">
        <f t="shared" si="63"/>
        <v>0</v>
      </c>
      <c r="F402" s="408">
        <f t="shared" si="64"/>
        <v>0</v>
      </c>
      <c r="G402" s="2409"/>
      <c r="H402" s="924">
        <f t="shared" si="65"/>
        <v>0</v>
      </c>
      <c r="I402" s="2320">
        <f t="shared" si="66"/>
        <v>0</v>
      </c>
      <c r="J402" s="6"/>
      <c r="K402" s="6"/>
      <c r="L402" s="6"/>
      <c r="M402" s="2409"/>
    </row>
    <row r="403" spans="1:13" x14ac:dyDescent="0.25">
      <c r="A403" s="2281">
        <f t="shared" si="67"/>
        <v>74</v>
      </c>
      <c r="B403" s="2287">
        <f t="shared" si="67"/>
        <v>69</v>
      </c>
      <c r="C403" s="837">
        <f t="shared" si="61"/>
        <v>0</v>
      </c>
      <c r="D403" s="837">
        <f t="shared" si="62"/>
        <v>0</v>
      </c>
      <c r="E403" s="869">
        <f t="shared" si="63"/>
        <v>0</v>
      </c>
      <c r="F403" s="408">
        <f t="shared" si="64"/>
        <v>0</v>
      </c>
      <c r="G403" s="2409"/>
      <c r="H403" s="924">
        <f t="shared" si="65"/>
        <v>0</v>
      </c>
      <c r="I403" s="2320">
        <f t="shared" si="66"/>
        <v>0</v>
      </c>
      <c r="J403" s="6"/>
      <c r="K403" s="6"/>
      <c r="L403" s="6"/>
      <c r="M403" s="2409"/>
    </row>
    <row r="404" spans="1:13" x14ac:dyDescent="0.25">
      <c r="A404" s="2281">
        <f t="shared" si="67"/>
        <v>75</v>
      </c>
      <c r="B404" s="2287">
        <f t="shared" si="67"/>
        <v>70</v>
      </c>
      <c r="C404" s="837">
        <f t="shared" si="61"/>
        <v>0</v>
      </c>
      <c r="D404" s="837">
        <f t="shared" si="62"/>
        <v>0</v>
      </c>
      <c r="E404" s="869">
        <f t="shared" si="63"/>
        <v>0</v>
      </c>
      <c r="F404" s="408">
        <f t="shared" si="64"/>
        <v>0</v>
      </c>
      <c r="G404" s="2409"/>
      <c r="H404" s="924">
        <f t="shared" si="65"/>
        <v>0</v>
      </c>
      <c r="I404" s="2320">
        <f t="shared" si="66"/>
        <v>0</v>
      </c>
      <c r="J404" s="6"/>
      <c r="K404" s="6"/>
      <c r="L404" s="6"/>
      <c r="M404" s="2409"/>
    </row>
    <row r="405" spans="1:13" x14ac:dyDescent="0.25">
      <c r="A405" s="2281">
        <f t="shared" si="67"/>
        <v>76</v>
      </c>
      <c r="B405" s="2287">
        <f t="shared" si="67"/>
        <v>71</v>
      </c>
      <c r="C405" s="837">
        <f t="shared" si="61"/>
        <v>0</v>
      </c>
      <c r="D405" s="837">
        <f t="shared" si="62"/>
        <v>0</v>
      </c>
      <c r="E405" s="869">
        <f t="shared" si="63"/>
        <v>0</v>
      </c>
      <c r="F405" s="408">
        <f t="shared" si="64"/>
        <v>0</v>
      </c>
      <c r="G405" s="2409"/>
      <c r="H405" s="924">
        <f t="shared" si="65"/>
        <v>0</v>
      </c>
      <c r="I405" s="2320">
        <f t="shared" si="66"/>
        <v>0</v>
      </c>
      <c r="J405" s="6"/>
      <c r="K405" s="6"/>
      <c r="L405" s="6"/>
      <c r="M405" s="2409"/>
    </row>
    <row r="406" spans="1:13" x14ac:dyDescent="0.25">
      <c r="A406" s="2281">
        <f t="shared" si="67"/>
        <v>77</v>
      </c>
      <c r="B406" s="2287">
        <f t="shared" si="67"/>
        <v>72</v>
      </c>
      <c r="C406" s="837">
        <f t="shared" si="61"/>
        <v>0</v>
      </c>
      <c r="D406" s="837">
        <f t="shared" si="62"/>
        <v>0</v>
      </c>
      <c r="E406" s="869">
        <f t="shared" si="63"/>
        <v>0</v>
      </c>
      <c r="F406" s="408">
        <f t="shared" si="64"/>
        <v>0</v>
      </c>
      <c r="G406" s="2409"/>
      <c r="H406" s="924">
        <f t="shared" si="65"/>
        <v>0</v>
      </c>
      <c r="I406" s="2320">
        <f t="shared" si="66"/>
        <v>0</v>
      </c>
      <c r="J406" s="6"/>
      <c r="K406" s="6"/>
      <c r="L406" s="6"/>
      <c r="M406" s="2409"/>
    </row>
    <row r="407" spans="1:13" x14ac:dyDescent="0.25">
      <c r="A407" s="2281">
        <f t="shared" ref="A407:B422" si="68">A406+1</f>
        <v>78</v>
      </c>
      <c r="B407" s="2287">
        <f t="shared" si="68"/>
        <v>73</v>
      </c>
      <c r="C407" s="837">
        <f t="shared" si="61"/>
        <v>0</v>
      </c>
      <c r="D407" s="837">
        <f t="shared" si="62"/>
        <v>0</v>
      </c>
      <c r="E407" s="869">
        <f t="shared" si="63"/>
        <v>0</v>
      </c>
      <c r="F407" s="408">
        <f t="shared" si="64"/>
        <v>0</v>
      </c>
      <c r="G407" s="2409"/>
      <c r="H407" s="924">
        <f t="shared" si="65"/>
        <v>0</v>
      </c>
      <c r="I407" s="2320">
        <f t="shared" si="66"/>
        <v>0</v>
      </c>
      <c r="J407" s="6"/>
      <c r="K407" s="6"/>
      <c r="L407" s="6"/>
      <c r="M407" s="2409"/>
    </row>
    <row r="408" spans="1:13" x14ac:dyDescent="0.25">
      <c r="A408" s="2281">
        <f t="shared" si="68"/>
        <v>79</v>
      </c>
      <c r="B408" s="2287">
        <f t="shared" si="68"/>
        <v>74</v>
      </c>
      <c r="C408" s="837">
        <f t="shared" si="61"/>
        <v>0</v>
      </c>
      <c r="D408" s="837">
        <f t="shared" si="62"/>
        <v>0</v>
      </c>
      <c r="E408" s="869">
        <f t="shared" si="63"/>
        <v>0</v>
      </c>
      <c r="F408" s="408">
        <f t="shared" si="64"/>
        <v>0</v>
      </c>
      <c r="G408" s="2409"/>
      <c r="H408" s="924">
        <f t="shared" si="65"/>
        <v>0</v>
      </c>
      <c r="I408" s="2320">
        <f t="shared" si="66"/>
        <v>0</v>
      </c>
      <c r="J408" s="6"/>
      <c r="K408" s="6"/>
      <c r="L408" s="6"/>
      <c r="M408" s="2409"/>
    </row>
    <row r="409" spans="1:13" x14ac:dyDescent="0.25">
      <c r="A409" s="2281">
        <f t="shared" si="68"/>
        <v>80</v>
      </c>
      <c r="B409" s="2287">
        <f t="shared" si="68"/>
        <v>75</v>
      </c>
      <c r="C409" s="837">
        <f t="shared" si="61"/>
        <v>0</v>
      </c>
      <c r="D409" s="837">
        <f t="shared" si="62"/>
        <v>0</v>
      </c>
      <c r="E409" s="869">
        <f t="shared" si="63"/>
        <v>0</v>
      </c>
      <c r="F409" s="408">
        <f t="shared" si="64"/>
        <v>0</v>
      </c>
      <c r="G409" s="2409"/>
      <c r="H409" s="924">
        <f t="shared" si="65"/>
        <v>0</v>
      </c>
      <c r="I409" s="2320">
        <f t="shared" si="66"/>
        <v>0</v>
      </c>
      <c r="J409" s="6"/>
      <c r="K409" s="6"/>
      <c r="L409" s="6"/>
      <c r="M409" s="2409"/>
    </row>
    <row r="410" spans="1:13" x14ac:dyDescent="0.25">
      <c r="A410" s="2281">
        <f t="shared" si="68"/>
        <v>81</v>
      </c>
      <c r="B410" s="2287">
        <f t="shared" si="68"/>
        <v>76</v>
      </c>
      <c r="C410" s="837">
        <f t="shared" si="61"/>
        <v>0</v>
      </c>
      <c r="D410" s="837">
        <f t="shared" si="62"/>
        <v>0</v>
      </c>
      <c r="E410" s="869">
        <f t="shared" si="63"/>
        <v>0</v>
      </c>
      <c r="F410" s="408">
        <f t="shared" si="64"/>
        <v>0</v>
      </c>
      <c r="G410" s="2409"/>
      <c r="H410" s="924">
        <f t="shared" si="65"/>
        <v>0</v>
      </c>
      <c r="I410" s="2320">
        <f t="shared" si="66"/>
        <v>0</v>
      </c>
      <c r="J410" s="6"/>
      <c r="K410" s="6"/>
      <c r="L410" s="6"/>
      <c r="M410" s="2409"/>
    </row>
    <row r="411" spans="1:13" x14ac:dyDescent="0.25">
      <c r="A411" s="2281">
        <f t="shared" si="68"/>
        <v>82</v>
      </c>
      <c r="B411" s="2287">
        <f t="shared" si="68"/>
        <v>77</v>
      </c>
      <c r="C411" s="837">
        <f t="shared" si="61"/>
        <v>0</v>
      </c>
      <c r="D411" s="837">
        <f t="shared" si="62"/>
        <v>0</v>
      </c>
      <c r="E411" s="869">
        <f t="shared" si="63"/>
        <v>0</v>
      </c>
      <c r="F411" s="408">
        <f t="shared" si="64"/>
        <v>0</v>
      </c>
      <c r="G411" s="2409"/>
      <c r="H411" s="924">
        <f t="shared" si="65"/>
        <v>0</v>
      </c>
      <c r="I411" s="2320">
        <f t="shared" si="66"/>
        <v>0</v>
      </c>
      <c r="J411" s="6"/>
      <c r="K411" s="6"/>
      <c r="L411" s="6"/>
      <c r="M411" s="2409"/>
    </row>
    <row r="412" spans="1:13" x14ac:dyDescent="0.25">
      <c r="A412" s="2281">
        <f t="shared" si="68"/>
        <v>83</v>
      </c>
      <c r="B412" s="2287">
        <f t="shared" si="68"/>
        <v>78</v>
      </c>
      <c r="C412" s="837">
        <f t="shared" si="61"/>
        <v>0</v>
      </c>
      <c r="D412" s="837">
        <f t="shared" si="62"/>
        <v>0</v>
      </c>
      <c r="E412" s="869">
        <f t="shared" si="63"/>
        <v>0</v>
      </c>
      <c r="F412" s="408">
        <f t="shared" si="64"/>
        <v>0</v>
      </c>
      <c r="G412" s="2409"/>
      <c r="H412" s="924">
        <f t="shared" si="65"/>
        <v>0</v>
      </c>
      <c r="I412" s="2320">
        <f t="shared" si="66"/>
        <v>0</v>
      </c>
      <c r="J412" s="6"/>
      <c r="K412" s="6"/>
      <c r="L412" s="6"/>
      <c r="M412" s="2409"/>
    </row>
    <row r="413" spans="1:13" x14ac:dyDescent="0.25">
      <c r="A413" s="2281">
        <f t="shared" si="68"/>
        <v>84</v>
      </c>
      <c r="B413" s="2287">
        <f t="shared" si="68"/>
        <v>79</v>
      </c>
      <c r="C413" s="837">
        <f t="shared" si="61"/>
        <v>0</v>
      </c>
      <c r="D413" s="837">
        <f t="shared" si="62"/>
        <v>0</v>
      </c>
      <c r="E413" s="869">
        <f t="shared" si="63"/>
        <v>0</v>
      </c>
      <c r="F413" s="408">
        <f t="shared" si="64"/>
        <v>0</v>
      </c>
      <c r="G413" s="2409"/>
      <c r="H413" s="924">
        <f t="shared" si="65"/>
        <v>0</v>
      </c>
      <c r="I413" s="2320">
        <f t="shared" si="66"/>
        <v>0</v>
      </c>
      <c r="J413" s="6"/>
      <c r="K413" s="6"/>
      <c r="L413" s="6"/>
      <c r="M413" s="2409"/>
    </row>
    <row r="414" spans="1:13" x14ac:dyDescent="0.25">
      <c r="A414" s="2281">
        <f t="shared" si="68"/>
        <v>85</v>
      </c>
      <c r="B414" s="2287">
        <f t="shared" si="68"/>
        <v>80</v>
      </c>
      <c r="C414" s="837">
        <f t="shared" si="61"/>
        <v>0</v>
      </c>
      <c r="D414" s="837">
        <f t="shared" si="62"/>
        <v>0</v>
      </c>
      <c r="E414" s="869">
        <f t="shared" si="63"/>
        <v>0</v>
      </c>
      <c r="F414" s="408">
        <f t="shared" si="64"/>
        <v>0</v>
      </c>
      <c r="G414" s="2409"/>
      <c r="H414" s="924">
        <f t="shared" si="65"/>
        <v>0</v>
      </c>
      <c r="I414" s="2320">
        <f t="shared" si="66"/>
        <v>0</v>
      </c>
      <c r="J414" s="6"/>
      <c r="K414" s="6"/>
      <c r="L414" s="6"/>
      <c r="M414" s="2409"/>
    </row>
    <row r="415" spans="1:13" x14ac:dyDescent="0.25">
      <c r="A415" s="2281">
        <f t="shared" si="68"/>
        <v>86</v>
      </c>
      <c r="B415" s="2287">
        <f t="shared" si="68"/>
        <v>81</v>
      </c>
      <c r="C415" s="837">
        <f t="shared" si="61"/>
        <v>0</v>
      </c>
      <c r="D415" s="837">
        <f t="shared" si="62"/>
        <v>0</v>
      </c>
      <c r="E415" s="869">
        <f t="shared" si="63"/>
        <v>0</v>
      </c>
      <c r="F415" s="408">
        <f t="shared" si="64"/>
        <v>0</v>
      </c>
      <c r="G415" s="2409"/>
      <c r="H415" s="924">
        <f t="shared" si="65"/>
        <v>0</v>
      </c>
      <c r="I415" s="2320">
        <f t="shared" si="66"/>
        <v>0</v>
      </c>
      <c r="J415" s="6"/>
      <c r="K415" s="6"/>
      <c r="L415" s="6"/>
      <c r="M415" s="2409"/>
    </row>
    <row r="416" spans="1:13" x14ac:dyDescent="0.25">
      <c r="A416" s="2281">
        <f t="shared" si="68"/>
        <v>87</v>
      </c>
      <c r="B416" s="2287">
        <f t="shared" si="68"/>
        <v>82</v>
      </c>
      <c r="C416" s="837">
        <f t="shared" si="61"/>
        <v>0</v>
      </c>
      <c r="D416" s="837">
        <f t="shared" si="62"/>
        <v>0</v>
      </c>
      <c r="E416" s="869">
        <f t="shared" si="63"/>
        <v>0</v>
      </c>
      <c r="F416" s="408">
        <f t="shared" si="64"/>
        <v>0</v>
      </c>
      <c r="G416" s="2409"/>
      <c r="H416" s="924">
        <f t="shared" si="65"/>
        <v>0</v>
      </c>
      <c r="I416" s="2320">
        <f t="shared" si="66"/>
        <v>0</v>
      </c>
      <c r="J416" s="6"/>
      <c r="K416" s="6"/>
      <c r="L416" s="6"/>
      <c r="M416" s="2409"/>
    </row>
    <row r="417" spans="1:13" x14ac:dyDescent="0.25">
      <c r="A417" s="2281">
        <f t="shared" si="68"/>
        <v>88</v>
      </c>
      <c r="B417" s="2287">
        <f t="shared" si="68"/>
        <v>83</v>
      </c>
      <c r="C417" s="837">
        <f t="shared" si="61"/>
        <v>0</v>
      </c>
      <c r="D417" s="837">
        <f t="shared" si="62"/>
        <v>0</v>
      </c>
      <c r="E417" s="869">
        <f t="shared" si="63"/>
        <v>0</v>
      </c>
      <c r="F417" s="408">
        <f t="shared" si="64"/>
        <v>0</v>
      </c>
      <c r="G417" s="2409"/>
      <c r="H417" s="924">
        <f t="shared" si="65"/>
        <v>0</v>
      </c>
      <c r="I417" s="2320">
        <f t="shared" si="66"/>
        <v>0</v>
      </c>
      <c r="J417" s="6"/>
      <c r="K417" s="6"/>
      <c r="L417" s="6"/>
      <c r="M417" s="2409"/>
    </row>
    <row r="418" spans="1:13" x14ac:dyDescent="0.25">
      <c r="A418" s="2281">
        <f t="shared" si="68"/>
        <v>89</v>
      </c>
      <c r="B418" s="2287">
        <f t="shared" si="68"/>
        <v>84</v>
      </c>
      <c r="C418" s="837">
        <f t="shared" si="61"/>
        <v>0</v>
      </c>
      <c r="D418" s="837">
        <f t="shared" si="62"/>
        <v>0</v>
      </c>
      <c r="E418" s="869">
        <f t="shared" si="63"/>
        <v>0</v>
      </c>
      <c r="F418" s="408">
        <f t="shared" si="64"/>
        <v>0</v>
      </c>
      <c r="G418" s="2409"/>
      <c r="H418" s="924">
        <f t="shared" si="65"/>
        <v>0</v>
      </c>
      <c r="I418" s="2320">
        <f t="shared" si="66"/>
        <v>0</v>
      </c>
      <c r="J418" s="6"/>
      <c r="K418" s="6"/>
      <c r="L418" s="6"/>
      <c r="M418" s="2409"/>
    </row>
    <row r="419" spans="1:13" x14ac:dyDescent="0.25">
      <c r="A419" s="2281">
        <f t="shared" si="68"/>
        <v>90</v>
      </c>
      <c r="B419" s="2287">
        <f t="shared" si="68"/>
        <v>85</v>
      </c>
      <c r="C419" s="837">
        <f t="shared" si="61"/>
        <v>0</v>
      </c>
      <c r="D419" s="837">
        <f t="shared" si="62"/>
        <v>0</v>
      </c>
      <c r="E419" s="869">
        <f t="shared" si="63"/>
        <v>0</v>
      </c>
      <c r="F419" s="408">
        <f t="shared" si="64"/>
        <v>0</v>
      </c>
      <c r="G419" s="2409"/>
      <c r="H419" s="924">
        <f t="shared" si="65"/>
        <v>0</v>
      </c>
      <c r="I419" s="2320">
        <f t="shared" si="66"/>
        <v>0</v>
      </c>
      <c r="J419" s="6"/>
      <c r="K419" s="6"/>
      <c r="L419" s="6"/>
      <c r="M419" s="2409"/>
    </row>
    <row r="420" spans="1:13" x14ac:dyDescent="0.25">
      <c r="A420" s="2281">
        <f t="shared" si="68"/>
        <v>91</v>
      </c>
      <c r="B420" s="2287">
        <f t="shared" si="68"/>
        <v>86</v>
      </c>
      <c r="C420" s="837">
        <f t="shared" si="61"/>
        <v>0</v>
      </c>
      <c r="D420" s="837">
        <f t="shared" si="62"/>
        <v>0</v>
      </c>
      <c r="E420" s="869">
        <f t="shared" si="63"/>
        <v>0</v>
      </c>
      <c r="F420" s="408">
        <f t="shared" si="64"/>
        <v>0</v>
      </c>
      <c r="G420" s="2409"/>
      <c r="H420" s="924">
        <f t="shared" si="65"/>
        <v>0</v>
      </c>
      <c r="I420" s="2320">
        <f t="shared" si="66"/>
        <v>0</v>
      </c>
      <c r="J420" s="6"/>
      <c r="K420" s="6"/>
      <c r="L420" s="6"/>
      <c r="M420" s="2409"/>
    </row>
    <row r="421" spans="1:13" x14ac:dyDescent="0.25">
      <c r="A421" s="2281">
        <f t="shared" si="68"/>
        <v>92</v>
      </c>
      <c r="B421" s="2287">
        <f t="shared" si="68"/>
        <v>87</v>
      </c>
      <c r="C421" s="837">
        <f t="shared" si="61"/>
        <v>0</v>
      </c>
      <c r="D421" s="837">
        <f t="shared" si="62"/>
        <v>0</v>
      </c>
      <c r="E421" s="869">
        <f t="shared" si="63"/>
        <v>0</v>
      </c>
      <c r="F421" s="408">
        <f t="shared" si="64"/>
        <v>0</v>
      </c>
      <c r="G421" s="2409"/>
      <c r="H421" s="924">
        <f t="shared" si="65"/>
        <v>0</v>
      </c>
      <c r="I421" s="2320">
        <f t="shared" si="66"/>
        <v>0</v>
      </c>
      <c r="J421" s="6"/>
      <c r="K421" s="6"/>
      <c r="L421" s="6"/>
      <c r="M421" s="2409"/>
    </row>
    <row r="422" spans="1:13" x14ac:dyDescent="0.25">
      <c r="A422" s="2281">
        <f t="shared" si="68"/>
        <v>93</v>
      </c>
      <c r="B422" s="2287">
        <f t="shared" si="68"/>
        <v>88</v>
      </c>
      <c r="C422" s="837">
        <f t="shared" si="61"/>
        <v>0</v>
      </c>
      <c r="D422" s="837">
        <f t="shared" si="62"/>
        <v>0</v>
      </c>
      <c r="E422" s="869">
        <f t="shared" si="63"/>
        <v>0</v>
      </c>
      <c r="F422" s="408">
        <f t="shared" si="64"/>
        <v>0</v>
      </c>
      <c r="G422" s="2409"/>
      <c r="H422" s="924">
        <f t="shared" si="65"/>
        <v>0</v>
      </c>
      <c r="I422" s="2320">
        <f t="shared" si="66"/>
        <v>0</v>
      </c>
      <c r="J422" s="6"/>
      <c r="K422" s="6"/>
      <c r="L422" s="6"/>
      <c r="M422" s="2409"/>
    </row>
    <row r="423" spans="1:13" x14ac:dyDescent="0.25">
      <c r="A423" s="2281">
        <f t="shared" ref="A423:B425" si="69">A422+1</f>
        <v>94</v>
      </c>
      <c r="B423" s="2287">
        <f t="shared" si="69"/>
        <v>89</v>
      </c>
      <c r="C423" s="837">
        <f t="shared" si="61"/>
        <v>0</v>
      </c>
      <c r="D423" s="837">
        <f t="shared" si="62"/>
        <v>0</v>
      </c>
      <c r="E423" s="869">
        <f t="shared" si="63"/>
        <v>0</v>
      </c>
      <c r="F423" s="408">
        <f t="shared" si="64"/>
        <v>0</v>
      </c>
      <c r="G423" s="2409"/>
      <c r="H423" s="924">
        <f t="shared" si="65"/>
        <v>0</v>
      </c>
      <c r="I423" s="2320">
        <f t="shared" si="66"/>
        <v>0</v>
      </c>
      <c r="J423" s="6"/>
      <c r="K423" s="6"/>
      <c r="L423" s="6"/>
      <c r="M423" s="2409"/>
    </row>
    <row r="424" spans="1:13" x14ac:dyDescent="0.25">
      <c r="A424" s="2281">
        <f t="shared" si="69"/>
        <v>95</v>
      </c>
      <c r="B424" s="2287">
        <f t="shared" si="69"/>
        <v>90</v>
      </c>
      <c r="C424" s="837">
        <f t="shared" si="61"/>
        <v>0</v>
      </c>
      <c r="D424" s="837">
        <f t="shared" si="62"/>
        <v>0</v>
      </c>
      <c r="E424" s="869">
        <f t="shared" si="63"/>
        <v>0</v>
      </c>
      <c r="F424" s="408">
        <f t="shared" si="64"/>
        <v>0</v>
      </c>
      <c r="G424" s="2409"/>
      <c r="H424" s="924">
        <f t="shared" si="65"/>
        <v>0</v>
      </c>
      <c r="I424" s="2320">
        <f t="shared" si="66"/>
        <v>0</v>
      </c>
      <c r="J424" s="6"/>
      <c r="K424" s="6"/>
      <c r="L424" s="6"/>
      <c r="M424" s="2409"/>
    </row>
    <row r="425" spans="1:13" ht="15.75" thickBot="1" x14ac:dyDescent="0.3">
      <c r="A425" s="2285">
        <f t="shared" si="69"/>
        <v>96</v>
      </c>
      <c r="B425" s="2288">
        <f t="shared" si="69"/>
        <v>91</v>
      </c>
      <c r="C425" s="1975">
        <f t="shared" si="61"/>
        <v>0</v>
      </c>
      <c r="D425" s="1896">
        <f t="shared" si="62"/>
        <v>0</v>
      </c>
      <c r="E425" s="1975">
        <f t="shared" si="63"/>
        <v>0</v>
      </c>
      <c r="F425" s="2393">
        <f t="shared" si="64"/>
        <v>0</v>
      </c>
      <c r="G425" s="1948"/>
      <c r="H425" s="1973">
        <f t="shared" si="65"/>
        <v>0</v>
      </c>
      <c r="I425" s="2321">
        <f t="shared" si="66"/>
        <v>0</v>
      </c>
      <c r="J425" s="2073"/>
      <c r="K425" s="1314"/>
      <c r="L425" s="1315"/>
      <c r="M425" s="2409"/>
    </row>
    <row r="426" spans="1:13" ht="15.75" thickTop="1" x14ac:dyDescent="0.25">
      <c r="A426" s="2281"/>
      <c r="B426" s="684"/>
      <c r="C426" s="1295"/>
      <c r="D426" s="1295"/>
      <c r="E426" s="2254"/>
      <c r="F426" s="6"/>
      <c r="G426" s="6"/>
      <c r="H426" s="6"/>
      <c r="I426" s="6"/>
      <c r="J426" s="6"/>
      <c r="K426" s="6"/>
      <c r="L426" s="6"/>
      <c r="M426" s="1311"/>
    </row>
    <row r="427" spans="1:13" ht="15.75" thickBot="1" x14ac:dyDescent="0.3">
      <c r="A427" s="2281"/>
      <c r="B427" s="684"/>
      <c r="C427" s="1295"/>
      <c r="D427" s="1295"/>
      <c r="E427" s="2254"/>
      <c r="F427" s="6"/>
      <c r="G427" s="6"/>
      <c r="H427" s="6"/>
      <c r="I427" s="6"/>
      <c r="J427" s="6"/>
      <c r="K427" s="6"/>
      <c r="L427" s="6"/>
      <c r="M427" s="1311"/>
    </row>
    <row r="428" spans="1:13" ht="19.5" thickTop="1" x14ac:dyDescent="0.3">
      <c r="A428" s="1340" t="s">
        <v>1969</v>
      </c>
      <c r="B428" s="1341"/>
      <c r="C428" s="1341"/>
      <c r="D428" s="1341"/>
      <c r="E428" s="1341"/>
      <c r="F428" s="1341"/>
      <c r="G428" s="1341"/>
      <c r="H428" s="1341"/>
      <c r="I428" s="1341"/>
      <c r="J428" s="1341"/>
      <c r="K428" s="1341"/>
      <c r="L428" s="1342"/>
      <c r="M428" s="2409"/>
    </row>
    <row r="429" spans="1:13" x14ac:dyDescent="0.25">
      <c r="A429" s="1435" t="s">
        <v>479</v>
      </c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1311"/>
      <c r="M429" s="1311"/>
    </row>
    <row r="430" spans="1:13" x14ac:dyDescent="0.25">
      <c r="A430" s="1435" t="s">
        <v>480</v>
      </c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1311"/>
      <c r="M430" s="1311"/>
    </row>
    <row r="431" spans="1:13" x14ac:dyDescent="0.25">
      <c r="A431" s="1416" t="s">
        <v>2032</v>
      </c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1311"/>
      <c r="M431" s="1311"/>
    </row>
    <row r="432" spans="1:13" ht="15.75" x14ac:dyDescent="0.25">
      <c r="A432" s="2429"/>
      <c r="B432" s="1095" t="s">
        <v>179</v>
      </c>
      <c r="C432" s="1095"/>
      <c r="D432" s="1095"/>
      <c r="E432" s="1095"/>
      <c r="F432" s="1095"/>
      <c r="G432" s="1095"/>
      <c r="H432" s="1095"/>
      <c r="I432" s="1473" t="s">
        <v>1104</v>
      </c>
      <c r="J432" s="6"/>
      <c r="K432" s="6"/>
      <c r="L432" s="1311"/>
      <c r="M432" s="1311"/>
    </row>
    <row r="433" spans="1:13" ht="15.75" thickBot="1" x14ac:dyDescent="0.3">
      <c r="A433" s="2430"/>
      <c r="B433" s="1314"/>
      <c r="C433" s="1314"/>
      <c r="D433" s="1314"/>
      <c r="E433" s="1314"/>
      <c r="F433" s="1314"/>
      <c r="G433" s="1314"/>
      <c r="H433" s="1314"/>
      <c r="I433" s="1314"/>
      <c r="J433" s="6"/>
      <c r="K433" s="6"/>
      <c r="L433" s="1311"/>
      <c r="M433" s="1311"/>
    </row>
    <row r="434" spans="1:13" ht="62.25" thickTop="1" thickBot="1" x14ac:dyDescent="0.3">
      <c r="A434" s="313" t="s">
        <v>142</v>
      </c>
      <c r="B434" s="407" t="s">
        <v>143</v>
      </c>
      <c r="C434" s="512" t="s">
        <v>2012</v>
      </c>
      <c r="D434" s="512" t="s">
        <v>2013</v>
      </c>
      <c r="E434" s="453" t="s">
        <v>2014</v>
      </c>
      <c r="F434" s="453" t="s">
        <v>2015</v>
      </c>
      <c r="G434" s="2468"/>
      <c r="H434" s="431" t="s">
        <v>2016</v>
      </c>
      <c r="I434" s="431" t="s">
        <v>2017</v>
      </c>
      <c r="J434" s="2446"/>
      <c r="K434" s="515"/>
      <c r="L434" s="2445"/>
      <c r="M434" s="1311"/>
    </row>
    <row r="435" spans="1:13" ht="15.75" thickTop="1" x14ac:dyDescent="0.25">
      <c r="A435" s="2283">
        <f>'1. AgeData'!$D$30</f>
        <v>60</v>
      </c>
      <c r="B435" s="2431">
        <f>'1. AgeData'!$D$31</f>
        <v>55</v>
      </c>
      <c r="C435" s="869">
        <f>IF('S. Setup'!$J$59&lt;&gt;"yes",0,SUMIF($B$634:$B$736,("="&amp;A435),$C$634:$C$736))</f>
        <v>0</v>
      </c>
      <c r="D435" s="837">
        <f>IF('S. Setup'!$J$59&lt;&gt;"yes",0,SUMIF($F$634:$F$736,("="&amp;B435),$G$634:$G$736))</f>
        <v>0</v>
      </c>
      <c r="E435" s="1160">
        <f>IF('S. Setup'!$J$59&lt;&gt;"yes",0,SUMIF($F$742:$F$844,("="&amp;A435),$G$742:$G$844))</f>
        <v>0</v>
      </c>
      <c r="F435" s="2438">
        <f>IF('S. Setup'!$J$59&lt;&gt;"yes",0,SUMIF($J$742:$J$844,("="&amp;B435),$K$742:$K$844))</f>
        <v>0</v>
      </c>
      <c r="G435" s="992"/>
      <c r="H435" s="2442">
        <f>C435+E435</f>
        <v>0</v>
      </c>
      <c r="I435" s="2284">
        <f>D435+F435</f>
        <v>0</v>
      </c>
      <c r="J435" s="2447"/>
      <c r="K435" s="924"/>
      <c r="L435" s="2320"/>
      <c r="M435" s="1311"/>
    </row>
    <row r="436" spans="1:13" x14ac:dyDescent="0.25">
      <c r="A436" s="1444">
        <f t="shared" ref="A436:A471" si="70">A435+1</f>
        <v>61</v>
      </c>
      <c r="B436" s="851">
        <f t="shared" ref="B436:B471" si="71">B435+1</f>
        <v>56</v>
      </c>
      <c r="C436" s="869">
        <f>IF('S. Setup'!$J$59&lt;&gt;"yes",0,SUMIF($B$634:$B$736,("="&amp;A436),$C$634:$C$736))</f>
        <v>510</v>
      </c>
      <c r="D436" s="837">
        <f>IF('S. Setup'!$J$59&lt;&gt;"yes",0,SUMIF($F$634:$F$736,("="&amp;B436),$G$634:$G$736))</f>
        <v>0</v>
      </c>
      <c r="E436" s="1162">
        <f>IF('S. Setup'!$J$59&lt;&gt;"yes",0,SUMIF($F$742:$F$844,("="&amp;A436),$G$742:$G$844))</f>
        <v>0</v>
      </c>
      <c r="F436" s="2439">
        <f>IF('S. Setup'!$J$59&lt;&gt;"yes",0,SUMIF($J$742:$J$844,("="&amp;B436),$K$742:$K$844))</f>
        <v>0</v>
      </c>
      <c r="G436" s="993"/>
      <c r="H436" s="2443">
        <f t="shared" ref="H436:H471" si="72">C436+E436</f>
        <v>510</v>
      </c>
      <c r="I436" s="2320">
        <f t="shared" ref="I436:I471" si="73">D436+F436</f>
        <v>0</v>
      </c>
      <c r="J436" s="2447"/>
      <c r="K436" s="924"/>
      <c r="L436" s="2320"/>
      <c r="M436" s="1311"/>
    </row>
    <row r="437" spans="1:13" x14ac:dyDescent="0.25">
      <c r="A437" s="1444">
        <f t="shared" si="70"/>
        <v>62</v>
      </c>
      <c r="B437" s="871">
        <f t="shared" si="71"/>
        <v>57</v>
      </c>
      <c r="C437" s="869">
        <f>IF('S. Setup'!$J$59&lt;&gt;"yes",0,SUMIF($B$634:$B$736,("="&amp;A437),$C$634:$C$736))</f>
        <v>1040.4000000000001</v>
      </c>
      <c r="D437" s="837">
        <f>IF('S. Setup'!$J$59&lt;&gt;"yes",0,SUMIF($F$634:$F$736,("="&amp;B437),$G$634:$G$736))</f>
        <v>0</v>
      </c>
      <c r="E437" s="1162">
        <f>IF('S. Setup'!$J$59&lt;&gt;"yes",0,SUMIF($F$742:$F$844,("="&amp;A437),$G$742:$G$844))</f>
        <v>0</v>
      </c>
      <c r="F437" s="2439">
        <f>IF('S. Setup'!$J$59&lt;&gt;"yes",0,SUMIF($J$742:$J$844,("="&amp;B437),$K$742:$K$844))</f>
        <v>0</v>
      </c>
      <c r="G437" s="993"/>
      <c r="H437" s="2443">
        <f t="shared" si="72"/>
        <v>1040.4000000000001</v>
      </c>
      <c r="I437" s="2320">
        <f t="shared" si="73"/>
        <v>0</v>
      </c>
      <c r="J437" s="2447"/>
      <c r="K437" s="924"/>
      <c r="L437" s="2320"/>
      <c r="M437" s="1311"/>
    </row>
    <row r="438" spans="1:13" x14ac:dyDescent="0.25">
      <c r="A438" s="2432">
        <f t="shared" si="70"/>
        <v>63</v>
      </c>
      <c r="B438" s="851">
        <f t="shared" si="71"/>
        <v>58</v>
      </c>
      <c r="C438" s="869">
        <f>IF('S. Setup'!$J$59&lt;&gt;"yes",0,SUMIF($B$634:$B$736,("="&amp;A438),$C$634:$C$736))</f>
        <v>0</v>
      </c>
      <c r="D438" s="837">
        <f>IF('S. Setup'!$J$59&lt;&gt;"yes",0,SUMIF($F$634:$F$736,("="&amp;B438),$G$634:$G$736))</f>
        <v>1273.4495999999999</v>
      </c>
      <c r="E438" s="1162">
        <f>IF('S. Setup'!$J$59&lt;&gt;"yes",0,SUMIF($F$742:$F$844,("="&amp;A438),$G$742:$G$844))</f>
        <v>0</v>
      </c>
      <c r="F438" s="2439">
        <f>IF('S. Setup'!$J$59&lt;&gt;"yes",0,SUMIF($J$742:$J$844,("="&amp;B438),$K$742:$K$844))</f>
        <v>0</v>
      </c>
      <c r="G438" s="993"/>
      <c r="H438" s="2443">
        <f t="shared" si="72"/>
        <v>0</v>
      </c>
      <c r="I438" s="2320">
        <f t="shared" si="73"/>
        <v>1273.4495999999999</v>
      </c>
      <c r="J438" s="2447"/>
      <c r="K438" s="924"/>
      <c r="L438" s="2320"/>
      <c r="M438" s="1311"/>
    </row>
    <row r="439" spans="1:13" x14ac:dyDescent="0.25">
      <c r="A439" s="1444">
        <f t="shared" si="70"/>
        <v>64</v>
      </c>
      <c r="B439" s="851">
        <f t="shared" si="71"/>
        <v>59</v>
      </c>
      <c r="C439" s="869">
        <f>IF('S. Setup'!$J$59&lt;&gt;"yes",0,SUMIF($B$634:$B$736,("="&amp;A439),$C$634:$C$736))</f>
        <v>0</v>
      </c>
      <c r="D439" s="837">
        <f>IF('S. Setup'!$J$59&lt;&gt;"yes",0,SUMIF($F$634:$F$736,("="&amp;B439),$G$634:$G$736))</f>
        <v>0</v>
      </c>
      <c r="E439" s="1162">
        <f>IF('S. Setup'!$J$59&lt;&gt;"yes",0,SUMIF($F$742:$F$844,("="&amp;A439),$G$742:$G$844))</f>
        <v>0</v>
      </c>
      <c r="F439" s="2439">
        <f>IF('S. Setup'!$J$59&lt;&gt;"yes",0,SUMIF($J$742:$J$844,("="&amp;B439),$K$742:$K$844))</f>
        <v>0</v>
      </c>
      <c r="G439" s="993"/>
      <c r="H439" s="2443">
        <f t="shared" si="72"/>
        <v>0</v>
      </c>
      <c r="I439" s="2320">
        <f t="shared" si="73"/>
        <v>0</v>
      </c>
      <c r="J439" s="2447"/>
      <c r="K439" s="924"/>
      <c r="L439" s="2320"/>
      <c r="M439" s="1311"/>
    </row>
    <row r="440" spans="1:13" x14ac:dyDescent="0.25">
      <c r="A440" s="1444">
        <f t="shared" si="70"/>
        <v>65</v>
      </c>
      <c r="B440" s="851">
        <f t="shared" si="71"/>
        <v>60</v>
      </c>
      <c r="C440" s="869">
        <f>IF('S. Setup'!$J$59&lt;&gt;"yes",0,SUMIF($B$634:$B$736,("="&amp;A440),$C$634:$C$736))</f>
        <v>0</v>
      </c>
      <c r="D440" s="837">
        <f>IF('S. Setup'!$J$59&lt;&gt;"yes",0,SUMIF($F$634:$F$736,("="&amp;B440),$G$634:$G$736))</f>
        <v>0</v>
      </c>
      <c r="E440" s="1162">
        <f>IF('S. Setup'!$J$59&lt;&gt;"yes",0,SUMIF($F$742:$F$844,("="&amp;A440),$G$742:$G$844))</f>
        <v>0</v>
      </c>
      <c r="F440" s="2439">
        <f>IF('S. Setup'!$J$59&lt;&gt;"yes",0,SUMIF($J$742:$J$844,("="&amp;B440),$K$742:$K$844))</f>
        <v>0</v>
      </c>
      <c r="G440" s="993"/>
      <c r="H440" s="2443">
        <f t="shared" si="72"/>
        <v>0</v>
      </c>
      <c r="I440" s="2320">
        <f t="shared" si="73"/>
        <v>0</v>
      </c>
      <c r="J440" s="2447"/>
      <c r="K440" s="924"/>
      <c r="L440" s="2320"/>
      <c r="M440" s="1311"/>
    </row>
    <row r="441" spans="1:13" x14ac:dyDescent="0.25">
      <c r="A441" s="1444">
        <f t="shared" si="70"/>
        <v>66</v>
      </c>
      <c r="B441" s="851">
        <f t="shared" si="71"/>
        <v>61</v>
      </c>
      <c r="C441" s="869">
        <f>IF('S. Setup'!$J$59&lt;&gt;"yes",0,SUMIF($B$634:$B$736,("="&amp;A441),$C$634:$C$736))</f>
        <v>0</v>
      </c>
      <c r="D441" s="837">
        <f>IF('S. Setup'!$J$59&lt;&gt;"yes",0,SUMIF($F$634:$F$736,("="&amp;B441),$G$634:$G$736))</f>
        <v>0</v>
      </c>
      <c r="E441" s="1162">
        <f>IF('S. Setup'!$J$59&lt;&gt;"yes",0,SUMIF($F$742:$F$844,("="&amp;A441),$G$742:$G$844))</f>
        <v>0</v>
      </c>
      <c r="F441" s="2439">
        <f>IF('S. Setup'!$J$59&lt;&gt;"yes",0,SUMIF($J$742:$J$844,("="&amp;B441),$K$742:$K$844))</f>
        <v>0</v>
      </c>
      <c r="G441" s="993"/>
      <c r="H441" s="2443">
        <f t="shared" si="72"/>
        <v>0</v>
      </c>
      <c r="I441" s="2320">
        <f t="shared" si="73"/>
        <v>0</v>
      </c>
      <c r="J441" s="2447"/>
      <c r="K441" s="924"/>
      <c r="L441" s="2320"/>
      <c r="M441" s="1311"/>
    </row>
    <row r="442" spans="1:13" x14ac:dyDescent="0.25">
      <c r="A442" s="1444">
        <f t="shared" si="70"/>
        <v>67</v>
      </c>
      <c r="B442" s="851">
        <f t="shared" si="71"/>
        <v>62</v>
      </c>
      <c r="C442" s="869">
        <f>IF('S. Setup'!$J$59&lt;&gt;"yes",0,SUMIF($B$634:$B$736,("="&amp;A442),$C$634:$C$736))</f>
        <v>0</v>
      </c>
      <c r="D442" s="837">
        <f>IF('S. Setup'!$J$59&lt;&gt;"yes",0,SUMIF($F$634:$F$736,("="&amp;B442),$G$634:$G$736))</f>
        <v>0</v>
      </c>
      <c r="E442" s="1162">
        <f>IF('S. Setup'!$J$59&lt;&gt;"yes",0,SUMIF($F$742:$F$844,("="&amp;A442),$G$742:$G$844))</f>
        <v>0</v>
      </c>
      <c r="F442" s="2439">
        <f>IF('S. Setup'!$J$59&lt;&gt;"yes",0,SUMIF($J$742:$J$844,("="&amp;B442),$K$742:$K$844))</f>
        <v>0</v>
      </c>
      <c r="G442" s="993"/>
      <c r="H442" s="2443">
        <f t="shared" si="72"/>
        <v>0</v>
      </c>
      <c r="I442" s="2320">
        <f t="shared" si="73"/>
        <v>0</v>
      </c>
      <c r="J442" s="2447"/>
      <c r="K442" s="924"/>
      <c r="L442" s="2320"/>
      <c r="M442" s="1311"/>
    </row>
    <row r="443" spans="1:13" x14ac:dyDescent="0.25">
      <c r="A443" s="1444">
        <f t="shared" si="70"/>
        <v>68</v>
      </c>
      <c r="B443" s="851">
        <f t="shared" si="71"/>
        <v>63</v>
      </c>
      <c r="C443" s="869">
        <f>IF('S. Setup'!$J$59&lt;&gt;"yes",0,SUMIF($B$634:$B$736,("="&amp;A443),$C$634:$C$736))</f>
        <v>0</v>
      </c>
      <c r="D443" s="837">
        <f>IF('S. Setup'!$J$59&lt;&gt;"yes",0,SUMIF($F$634:$F$736,("="&amp;B443),$G$634:$G$736))</f>
        <v>0</v>
      </c>
      <c r="E443" s="1162">
        <f>IF('S. Setup'!$J$59&lt;&gt;"yes",0,SUMIF($F$742:$F$844,("="&amp;A443),$G$742:$G$844))</f>
        <v>0</v>
      </c>
      <c r="F443" s="2439">
        <f>IF('S. Setup'!$J$59&lt;&gt;"yes",0,SUMIF($J$742:$J$844,("="&amp;B443),$K$742:$K$844))</f>
        <v>0</v>
      </c>
      <c r="G443" s="993"/>
      <c r="H443" s="2443">
        <f t="shared" si="72"/>
        <v>0</v>
      </c>
      <c r="I443" s="2320">
        <f t="shared" si="73"/>
        <v>0</v>
      </c>
      <c r="J443" s="2447"/>
      <c r="K443" s="924"/>
      <c r="L443" s="2320"/>
      <c r="M443" s="1311"/>
    </row>
    <row r="444" spans="1:13" x14ac:dyDescent="0.25">
      <c r="A444" s="1444">
        <f t="shared" si="70"/>
        <v>69</v>
      </c>
      <c r="B444" s="851">
        <f t="shared" si="71"/>
        <v>64</v>
      </c>
      <c r="C444" s="869">
        <f>IF('S. Setup'!$J$59&lt;&gt;"yes",0,SUMIF($B$634:$B$736,("="&amp;A444),$C$634:$C$736))</f>
        <v>0</v>
      </c>
      <c r="D444" s="837">
        <f>IF('S. Setup'!$J$59&lt;&gt;"yes",0,SUMIF($F$634:$F$736,("="&amp;B444),$G$634:$G$736))</f>
        <v>0</v>
      </c>
      <c r="E444" s="1162">
        <f>IF('S. Setup'!$J$59&lt;&gt;"yes",0,SUMIF($F$742:$F$844,("="&amp;A444),$G$742:$G$844))</f>
        <v>0</v>
      </c>
      <c r="F444" s="2439">
        <f>IF('S. Setup'!$J$59&lt;&gt;"yes",0,SUMIF($J$742:$J$844,("="&amp;B444),$K$742:$K$844))</f>
        <v>0</v>
      </c>
      <c r="G444" s="993"/>
      <c r="H444" s="2443">
        <f t="shared" si="72"/>
        <v>0</v>
      </c>
      <c r="I444" s="2320">
        <f t="shared" si="73"/>
        <v>0</v>
      </c>
      <c r="J444" s="2447"/>
      <c r="K444" s="924"/>
      <c r="L444" s="2320"/>
      <c r="M444" s="1311"/>
    </row>
    <row r="445" spans="1:13" x14ac:dyDescent="0.25">
      <c r="A445" s="2433">
        <f t="shared" si="70"/>
        <v>70</v>
      </c>
      <c r="B445" s="871">
        <f t="shared" si="71"/>
        <v>65</v>
      </c>
      <c r="C445" s="869">
        <f>IF('S. Setup'!$J$59&lt;&gt;"yes",0,SUMIF($B$634:$B$736,("="&amp;A445),$C$634:$C$736))</f>
        <v>0</v>
      </c>
      <c r="D445" s="837">
        <f>IF('S. Setup'!$J$59&lt;&gt;"yes",0,SUMIF($F$634:$F$736,("="&amp;B445),$G$634:$G$736))</f>
        <v>0</v>
      </c>
      <c r="E445" s="1162">
        <f>IF('S. Setup'!$J$59&lt;&gt;"yes",0,SUMIF($F$742:$F$844,("="&amp;A445),$G$742:$G$844))</f>
        <v>0</v>
      </c>
      <c r="F445" s="2439">
        <f>IF('S. Setup'!$J$59&lt;&gt;"yes",0,SUMIF($J$742:$J$844,("="&amp;B445),$K$742:$K$844))</f>
        <v>0</v>
      </c>
      <c r="G445" s="993"/>
      <c r="H445" s="2443">
        <f t="shared" si="72"/>
        <v>0</v>
      </c>
      <c r="I445" s="2320">
        <f t="shared" si="73"/>
        <v>0</v>
      </c>
      <c r="J445" s="2447"/>
      <c r="K445" s="924"/>
      <c r="L445" s="2320"/>
      <c r="M445" s="1311"/>
    </row>
    <row r="446" spans="1:13" x14ac:dyDescent="0.25">
      <c r="A446" s="1444">
        <f t="shared" si="70"/>
        <v>71</v>
      </c>
      <c r="B446" s="851">
        <f t="shared" si="71"/>
        <v>66</v>
      </c>
      <c r="C446" s="869">
        <f>IF('S. Setup'!$J$59&lt;&gt;"yes",0,SUMIF($B$634:$B$736,("="&amp;A446),$C$634:$C$736))</f>
        <v>0</v>
      </c>
      <c r="D446" s="837">
        <f>IF('S. Setup'!$J$59&lt;&gt;"yes",0,SUMIF($F$634:$F$736,("="&amp;B446),$G$634:$G$736))</f>
        <v>0</v>
      </c>
      <c r="E446" s="1162">
        <f>IF('S. Setup'!$J$59&lt;&gt;"yes",0,SUMIF($F$742:$F$844,("="&amp;A446),$G$742:$G$844))</f>
        <v>0</v>
      </c>
      <c r="F446" s="2439">
        <f>IF('S. Setup'!$J$59&lt;&gt;"yes",0,SUMIF($J$742:$J$844,("="&amp;B446),$K$742:$K$844))</f>
        <v>0</v>
      </c>
      <c r="G446" s="993"/>
      <c r="H446" s="2443">
        <f t="shared" si="72"/>
        <v>0</v>
      </c>
      <c r="I446" s="2320">
        <f t="shared" si="73"/>
        <v>0</v>
      </c>
      <c r="J446" s="2447"/>
      <c r="K446" s="924"/>
      <c r="L446" s="2320"/>
      <c r="M446" s="1311"/>
    </row>
    <row r="447" spans="1:13" x14ac:dyDescent="0.25">
      <c r="A447" s="2433">
        <f t="shared" si="70"/>
        <v>72</v>
      </c>
      <c r="B447" s="874">
        <f t="shared" si="71"/>
        <v>67</v>
      </c>
      <c r="C447" s="869">
        <f>IF('S. Setup'!$J$59&lt;&gt;"yes",0,SUMIF($B$634:$B$736,("="&amp;A447),$C$634:$C$736))</f>
        <v>0</v>
      </c>
      <c r="D447" s="837">
        <f>IF('S. Setup'!$J$59&lt;&gt;"yes",0,SUMIF($F$634:$F$736,("="&amp;B447),$G$634:$G$736))</f>
        <v>0</v>
      </c>
      <c r="E447" s="1162">
        <f>IF('S. Setup'!$J$59&lt;&gt;"yes",0,SUMIF($F$742:$F$844,("="&amp;A447),$G$742:$G$844))</f>
        <v>0</v>
      </c>
      <c r="F447" s="2439">
        <f>IF('S. Setup'!$J$59&lt;&gt;"yes",0,SUMIF($J$742:$J$844,("="&amp;B447),$K$742:$K$844))</f>
        <v>0</v>
      </c>
      <c r="G447" s="993"/>
      <c r="H447" s="2443">
        <f t="shared" si="72"/>
        <v>0</v>
      </c>
      <c r="I447" s="2320">
        <f t="shared" si="73"/>
        <v>0</v>
      </c>
      <c r="J447" s="2447"/>
      <c r="K447" s="924"/>
      <c r="L447" s="2320"/>
      <c r="M447" s="1311"/>
    </row>
    <row r="448" spans="1:13" x14ac:dyDescent="0.25">
      <c r="A448" s="1444">
        <f t="shared" si="70"/>
        <v>73</v>
      </c>
      <c r="B448" s="851">
        <f t="shared" si="71"/>
        <v>68</v>
      </c>
      <c r="C448" s="869">
        <f>IF('S. Setup'!$J$59&lt;&gt;"yes",0,SUMIF($B$634:$B$736,("="&amp;A448),$C$634:$C$736))</f>
        <v>0</v>
      </c>
      <c r="D448" s="837">
        <f>IF('S. Setup'!$J$59&lt;&gt;"yes",0,SUMIF($F$634:$F$736,("="&amp;B448),$G$634:$G$736))</f>
        <v>0</v>
      </c>
      <c r="E448" s="1162">
        <f>IF('S. Setup'!$J$59&lt;&gt;"yes",0,SUMIF($F$742:$F$844,("="&amp;A448),$G$742:$G$844))</f>
        <v>0</v>
      </c>
      <c r="F448" s="2439">
        <f>IF('S. Setup'!$J$59&lt;&gt;"yes",0,SUMIF($J$742:$J$844,("="&amp;B448),$K$742:$K$844))</f>
        <v>0</v>
      </c>
      <c r="G448" s="993"/>
      <c r="H448" s="2443">
        <f t="shared" si="72"/>
        <v>0</v>
      </c>
      <c r="I448" s="2320">
        <f t="shared" si="73"/>
        <v>0</v>
      </c>
      <c r="J448" s="2447"/>
      <c r="K448" s="924"/>
      <c r="L448" s="2320"/>
      <c r="M448" s="1311"/>
    </row>
    <row r="449" spans="1:13" x14ac:dyDescent="0.25">
      <c r="A449" s="1444">
        <f t="shared" si="70"/>
        <v>74</v>
      </c>
      <c r="B449" s="851">
        <f t="shared" si="71"/>
        <v>69</v>
      </c>
      <c r="C449" s="869">
        <f>IF('S. Setup'!$J$59&lt;&gt;"yes",0,SUMIF($B$634:$B$736,("="&amp;A449),$C$634:$C$736))</f>
        <v>0</v>
      </c>
      <c r="D449" s="837">
        <f>IF('S. Setup'!$J$59&lt;&gt;"yes",0,SUMIF($F$634:$F$736,("="&amp;B449),$G$634:$G$736))</f>
        <v>0</v>
      </c>
      <c r="E449" s="1162">
        <f>IF('S. Setup'!$J$59&lt;&gt;"yes",0,SUMIF($F$742:$F$844,("="&amp;A449),$G$742:$G$844))</f>
        <v>0</v>
      </c>
      <c r="F449" s="2439">
        <f>IF('S. Setup'!$J$59&lt;&gt;"yes",0,SUMIF($J$742:$J$844,("="&amp;B449),$K$742:$K$844))</f>
        <v>0</v>
      </c>
      <c r="G449" s="993"/>
      <c r="H449" s="2443">
        <f t="shared" si="72"/>
        <v>0</v>
      </c>
      <c r="I449" s="2320">
        <f t="shared" si="73"/>
        <v>0</v>
      </c>
      <c r="J449" s="2447"/>
      <c r="K449" s="924"/>
      <c r="L449" s="2320"/>
      <c r="M449" s="1311"/>
    </row>
    <row r="450" spans="1:13" x14ac:dyDescent="0.25">
      <c r="A450" s="1444">
        <f t="shared" si="70"/>
        <v>75</v>
      </c>
      <c r="B450" s="851">
        <f t="shared" si="71"/>
        <v>70</v>
      </c>
      <c r="C450" s="869">
        <f>IF('S. Setup'!$J$59&lt;&gt;"yes",0,SUMIF($B$634:$B$736,("="&amp;A450),$C$634:$C$736))</f>
        <v>0</v>
      </c>
      <c r="D450" s="837">
        <f>IF('S. Setup'!$J$59&lt;&gt;"yes",0,SUMIF($F$634:$F$736,("="&amp;B450),$G$634:$G$736))</f>
        <v>0</v>
      </c>
      <c r="E450" s="1162">
        <f>IF('S. Setup'!$J$59&lt;&gt;"yes",0,SUMIF($F$742:$F$844,("="&amp;A450),$G$742:$G$844))</f>
        <v>0</v>
      </c>
      <c r="F450" s="2439">
        <f>IF('S. Setup'!$J$59&lt;&gt;"yes",0,SUMIF($J$742:$J$844,("="&amp;B450),$K$742:$K$844))</f>
        <v>0</v>
      </c>
      <c r="G450" s="993"/>
      <c r="H450" s="2443">
        <f t="shared" si="72"/>
        <v>0</v>
      </c>
      <c r="I450" s="2320">
        <f t="shared" si="73"/>
        <v>0</v>
      </c>
      <c r="J450" s="2447"/>
      <c r="K450" s="924"/>
      <c r="L450" s="2320"/>
      <c r="M450" s="1311"/>
    </row>
    <row r="451" spans="1:13" x14ac:dyDescent="0.25">
      <c r="A451" s="1444">
        <f t="shared" si="70"/>
        <v>76</v>
      </c>
      <c r="B451" s="851">
        <f t="shared" si="71"/>
        <v>71</v>
      </c>
      <c r="C451" s="869">
        <f>IF('S. Setup'!$J$59&lt;&gt;"yes",0,SUMIF($B$634:$B$736,("="&amp;A451),$C$634:$C$736))</f>
        <v>0</v>
      </c>
      <c r="D451" s="837">
        <f>IF('S. Setup'!$J$59&lt;&gt;"yes",0,SUMIF($F$634:$F$736,("="&amp;B451),$G$634:$G$736))</f>
        <v>0</v>
      </c>
      <c r="E451" s="1162">
        <f>IF('S. Setup'!$J$59&lt;&gt;"yes",0,SUMIF($F$742:$F$844,("="&amp;A451),$G$742:$G$844))</f>
        <v>0</v>
      </c>
      <c r="F451" s="2439">
        <f>IF('S. Setup'!$J$59&lt;&gt;"yes",0,SUMIF($J$742:$J$844,("="&amp;B451),$K$742:$K$844))</f>
        <v>0</v>
      </c>
      <c r="G451" s="993"/>
      <c r="H451" s="2443">
        <f t="shared" si="72"/>
        <v>0</v>
      </c>
      <c r="I451" s="2320">
        <f t="shared" si="73"/>
        <v>0</v>
      </c>
      <c r="J451" s="2447"/>
      <c r="K451" s="924"/>
      <c r="L451" s="2320"/>
      <c r="M451" s="1311"/>
    </row>
    <row r="452" spans="1:13" x14ac:dyDescent="0.25">
      <c r="A452" s="1444">
        <f t="shared" si="70"/>
        <v>77</v>
      </c>
      <c r="B452" s="851">
        <f t="shared" si="71"/>
        <v>72</v>
      </c>
      <c r="C452" s="869">
        <f>IF('S. Setup'!$J$59&lt;&gt;"yes",0,SUMIF($B$634:$B$736,("="&amp;A452),$C$634:$C$736))</f>
        <v>0</v>
      </c>
      <c r="D452" s="837">
        <f>IF('S. Setup'!$J$59&lt;&gt;"yes",0,SUMIF($F$634:$F$736,("="&amp;B452),$G$634:$G$736))</f>
        <v>0</v>
      </c>
      <c r="E452" s="1162">
        <f>IF('S. Setup'!$J$59&lt;&gt;"yes",0,SUMIF($F$742:$F$844,("="&amp;A452),$G$742:$G$844))</f>
        <v>0</v>
      </c>
      <c r="F452" s="2439">
        <f>IF('S. Setup'!$J$59&lt;&gt;"yes",0,SUMIF($J$742:$J$844,("="&amp;B452),$K$742:$K$844))</f>
        <v>0</v>
      </c>
      <c r="G452" s="993"/>
      <c r="H452" s="2443">
        <f t="shared" si="72"/>
        <v>0</v>
      </c>
      <c r="I452" s="2320">
        <f t="shared" si="73"/>
        <v>0</v>
      </c>
      <c r="J452" s="2447"/>
      <c r="K452" s="924"/>
      <c r="L452" s="2320"/>
      <c r="M452" s="1311"/>
    </row>
    <row r="453" spans="1:13" x14ac:dyDescent="0.25">
      <c r="A453" s="1444">
        <f t="shared" si="70"/>
        <v>78</v>
      </c>
      <c r="B453" s="851">
        <f t="shared" si="71"/>
        <v>73</v>
      </c>
      <c r="C453" s="869">
        <f>IF('S. Setup'!$J$59&lt;&gt;"yes",0,SUMIF($B$634:$B$736,("="&amp;A453),$C$634:$C$736))</f>
        <v>0</v>
      </c>
      <c r="D453" s="837">
        <f>IF('S. Setup'!$J$59&lt;&gt;"yes",0,SUMIF($F$634:$F$736,("="&amp;B453),$G$634:$G$736))</f>
        <v>0</v>
      </c>
      <c r="E453" s="1162">
        <f>IF('S. Setup'!$J$59&lt;&gt;"yes",0,SUMIF($F$742:$F$844,("="&amp;A453),$G$742:$G$844))</f>
        <v>0</v>
      </c>
      <c r="F453" s="2439">
        <f>IF('S. Setup'!$J$59&lt;&gt;"yes",0,SUMIF($J$742:$J$844,("="&amp;B453),$K$742:$K$844))</f>
        <v>0</v>
      </c>
      <c r="G453" s="993"/>
      <c r="H453" s="2443">
        <f t="shared" si="72"/>
        <v>0</v>
      </c>
      <c r="I453" s="2320">
        <f t="shared" si="73"/>
        <v>0</v>
      </c>
      <c r="J453" s="2447"/>
      <c r="K453" s="924"/>
      <c r="L453" s="2320"/>
      <c r="M453" s="1311"/>
    </row>
    <row r="454" spans="1:13" x14ac:dyDescent="0.25">
      <c r="A454" s="1444">
        <f t="shared" si="70"/>
        <v>79</v>
      </c>
      <c r="B454" s="851">
        <f t="shared" si="71"/>
        <v>74</v>
      </c>
      <c r="C454" s="869">
        <f>IF('S. Setup'!$J$59&lt;&gt;"yes",0,SUMIF($B$634:$B$736,("="&amp;A454),$C$634:$C$736))</f>
        <v>0</v>
      </c>
      <c r="D454" s="837">
        <f>IF('S. Setup'!$J$59&lt;&gt;"yes",0,SUMIF($F$634:$F$736,("="&amp;B454),$G$634:$G$736))</f>
        <v>0</v>
      </c>
      <c r="E454" s="1162">
        <f>IF('S. Setup'!$J$59&lt;&gt;"yes",0,SUMIF($F$742:$F$844,("="&amp;A454),$G$742:$G$844))</f>
        <v>0</v>
      </c>
      <c r="F454" s="2439">
        <f>IF('S. Setup'!$J$59&lt;&gt;"yes",0,SUMIF($J$742:$J$844,("="&amp;B454),$K$742:$K$844))</f>
        <v>0</v>
      </c>
      <c r="G454" s="993"/>
      <c r="H454" s="2443">
        <f t="shared" si="72"/>
        <v>0</v>
      </c>
      <c r="I454" s="2320">
        <f t="shared" si="73"/>
        <v>0</v>
      </c>
      <c r="J454" s="2447"/>
      <c r="K454" s="924"/>
      <c r="L454" s="2320"/>
      <c r="M454" s="1311"/>
    </row>
    <row r="455" spans="1:13" x14ac:dyDescent="0.25">
      <c r="A455" s="1444">
        <f t="shared" si="70"/>
        <v>80</v>
      </c>
      <c r="B455" s="851">
        <f t="shared" si="71"/>
        <v>75</v>
      </c>
      <c r="C455" s="869">
        <f>IF('S. Setup'!$J$59&lt;&gt;"yes",0,SUMIF($B$634:$B$736,("="&amp;A455),$C$634:$C$736))</f>
        <v>0</v>
      </c>
      <c r="D455" s="837">
        <f>IF('S. Setup'!$J$59&lt;&gt;"yes",0,SUMIF($F$634:$F$736,("="&amp;B455),$G$634:$G$736))</f>
        <v>0</v>
      </c>
      <c r="E455" s="1162">
        <f>IF('S. Setup'!$J$59&lt;&gt;"yes",0,SUMIF($F$742:$F$844,("="&amp;A455),$G$742:$G$844))</f>
        <v>0</v>
      </c>
      <c r="F455" s="2439">
        <f>IF('S. Setup'!$J$59&lt;&gt;"yes",0,SUMIF($J$742:$J$844,("="&amp;B455),$K$742:$K$844))</f>
        <v>0</v>
      </c>
      <c r="G455" s="993"/>
      <c r="H455" s="2443">
        <f t="shared" si="72"/>
        <v>0</v>
      </c>
      <c r="I455" s="2320">
        <f t="shared" si="73"/>
        <v>0</v>
      </c>
      <c r="J455" s="2447"/>
      <c r="K455" s="924"/>
      <c r="L455" s="2320"/>
      <c r="M455" s="1311"/>
    </row>
    <row r="456" spans="1:13" x14ac:dyDescent="0.25">
      <c r="A456" s="1444">
        <f t="shared" si="70"/>
        <v>81</v>
      </c>
      <c r="B456" s="851">
        <f t="shared" si="71"/>
        <v>76</v>
      </c>
      <c r="C456" s="869">
        <f>IF('S. Setup'!$J$59&lt;&gt;"yes",0,SUMIF($B$634:$B$736,("="&amp;A456),$C$634:$C$736))</f>
        <v>0</v>
      </c>
      <c r="D456" s="837">
        <f>IF('S. Setup'!$J$59&lt;&gt;"yes",0,SUMIF($F$634:$F$736,("="&amp;B456),$G$634:$G$736))</f>
        <v>0</v>
      </c>
      <c r="E456" s="1162">
        <f>IF('S. Setup'!$J$59&lt;&gt;"yes",0,SUMIF($F$742:$F$844,("="&amp;A456),$G$742:$G$844))</f>
        <v>0</v>
      </c>
      <c r="F456" s="2439">
        <f>IF('S. Setup'!$J$59&lt;&gt;"yes",0,SUMIF($J$742:$J$844,("="&amp;B456),$K$742:$K$844))</f>
        <v>0</v>
      </c>
      <c r="G456" s="993"/>
      <c r="H456" s="2443">
        <f t="shared" si="72"/>
        <v>0</v>
      </c>
      <c r="I456" s="2320">
        <f t="shared" si="73"/>
        <v>0</v>
      </c>
      <c r="J456" s="2447"/>
      <c r="K456" s="924"/>
      <c r="L456" s="2320"/>
      <c r="M456" s="1311"/>
    </row>
    <row r="457" spans="1:13" x14ac:dyDescent="0.25">
      <c r="A457" s="1444">
        <f t="shared" si="70"/>
        <v>82</v>
      </c>
      <c r="B457" s="851">
        <f t="shared" si="71"/>
        <v>77</v>
      </c>
      <c r="C457" s="869">
        <f>IF('S. Setup'!$J$59&lt;&gt;"yes",0,SUMIF($B$634:$B$736,("="&amp;A457),$C$634:$C$736))</f>
        <v>0</v>
      </c>
      <c r="D457" s="837">
        <f>IF('S. Setup'!$J$59&lt;&gt;"yes",0,SUMIF($F$634:$F$736,("="&amp;B457),$G$634:$G$736))</f>
        <v>0</v>
      </c>
      <c r="E457" s="1162">
        <f>IF('S. Setup'!$J$59&lt;&gt;"yes",0,SUMIF($F$742:$F$844,("="&amp;A457),$G$742:$G$844))</f>
        <v>0</v>
      </c>
      <c r="F457" s="2439">
        <f>IF('S. Setup'!$J$59&lt;&gt;"yes",0,SUMIF($J$742:$J$844,("="&amp;B457),$K$742:$K$844))</f>
        <v>0</v>
      </c>
      <c r="G457" s="993"/>
      <c r="H457" s="2443">
        <f t="shared" si="72"/>
        <v>0</v>
      </c>
      <c r="I457" s="2320">
        <f t="shared" si="73"/>
        <v>0</v>
      </c>
      <c r="J457" s="2447"/>
      <c r="K457" s="924"/>
      <c r="L457" s="2320"/>
      <c r="M457" s="1311"/>
    </row>
    <row r="458" spans="1:13" x14ac:dyDescent="0.25">
      <c r="A458" s="1444">
        <f t="shared" si="70"/>
        <v>83</v>
      </c>
      <c r="B458" s="851">
        <f t="shared" si="71"/>
        <v>78</v>
      </c>
      <c r="C458" s="869">
        <f>IF('S. Setup'!$J$59&lt;&gt;"yes",0,SUMIF($B$634:$B$736,("="&amp;A458),$C$634:$C$736))</f>
        <v>0</v>
      </c>
      <c r="D458" s="837">
        <f>IF('S. Setup'!$J$59&lt;&gt;"yes",0,SUMIF($F$634:$F$736,("="&amp;B458),$G$634:$G$736))</f>
        <v>0</v>
      </c>
      <c r="E458" s="1162">
        <f>IF('S. Setup'!$J$59&lt;&gt;"yes",0,SUMIF($F$742:$F$844,("="&amp;A458),$G$742:$G$844))</f>
        <v>0</v>
      </c>
      <c r="F458" s="2439">
        <f>IF('S. Setup'!$J$59&lt;&gt;"yes",0,SUMIF($J$742:$J$844,("="&amp;B458),$K$742:$K$844))</f>
        <v>0</v>
      </c>
      <c r="G458" s="993"/>
      <c r="H458" s="2443">
        <f t="shared" si="72"/>
        <v>0</v>
      </c>
      <c r="I458" s="2320">
        <f t="shared" si="73"/>
        <v>0</v>
      </c>
      <c r="J458" s="2447"/>
      <c r="K458" s="924"/>
      <c r="L458" s="2320"/>
      <c r="M458" s="1311"/>
    </row>
    <row r="459" spans="1:13" x14ac:dyDescent="0.25">
      <c r="A459" s="1444">
        <f t="shared" si="70"/>
        <v>84</v>
      </c>
      <c r="B459" s="851">
        <f t="shared" si="71"/>
        <v>79</v>
      </c>
      <c r="C459" s="869">
        <f>IF('S. Setup'!$J$59&lt;&gt;"yes",0,SUMIF($B$634:$B$736,("="&amp;A459),$C$634:$C$736))</f>
        <v>0</v>
      </c>
      <c r="D459" s="837">
        <f>IF('S. Setup'!$J$59&lt;&gt;"yes",0,SUMIF($F$634:$F$736,("="&amp;B459),$G$634:$G$736))</f>
        <v>0</v>
      </c>
      <c r="E459" s="1162">
        <f>IF('S. Setup'!$J$59&lt;&gt;"yes",0,SUMIF($F$742:$F$844,("="&amp;A459),$G$742:$G$844))</f>
        <v>0</v>
      </c>
      <c r="F459" s="2439">
        <f>IF('S. Setup'!$J$59&lt;&gt;"yes",0,SUMIF($J$742:$J$844,("="&amp;B459),$K$742:$K$844))</f>
        <v>0</v>
      </c>
      <c r="G459" s="993"/>
      <c r="H459" s="2443">
        <f t="shared" si="72"/>
        <v>0</v>
      </c>
      <c r="I459" s="2320">
        <f t="shared" si="73"/>
        <v>0</v>
      </c>
      <c r="J459" s="2447"/>
      <c r="K459" s="924"/>
      <c r="L459" s="2320"/>
      <c r="M459" s="1311"/>
    </row>
    <row r="460" spans="1:13" x14ac:dyDescent="0.25">
      <c r="A460" s="2433">
        <f t="shared" si="70"/>
        <v>85</v>
      </c>
      <c r="B460" s="874">
        <f t="shared" si="71"/>
        <v>80</v>
      </c>
      <c r="C460" s="869">
        <f>IF('S. Setup'!$J$59&lt;&gt;"yes",0,SUMIF($B$634:$B$736,("="&amp;A460),$C$634:$C$736))</f>
        <v>0</v>
      </c>
      <c r="D460" s="837">
        <f>IF('S. Setup'!$J$59&lt;&gt;"yes",0,SUMIF($F$634:$F$736,("="&amp;B460),$G$634:$G$736))</f>
        <v>0</v>
      </c>
      <c r="E460" s="1162">
        <f>IF('S. Setup'!$J$59&lt;&gt;"yes",0,SUMIF($F$742:$F$844,("="&amp;A460),$G$742:$G$844))</f>
        <v>0</v>
      </c>
      <c r="F460" s="2439">
        <f>IF('S. Setup'!$J$59&lt;&gt;"yes",0,SUMIF($J$742:$J$844,("="&amp;B460),$K$742:$K$844))</f>
        <v>0</v>
      </c>
      <c r="G460" s="993"/>
      <c r="H460" s="2443">
        <f t="shared" si="72"/>
        <v>0</v>
      </c>
      <c r="I460" s="2320">
        <f t="shared" si="73"/>
        <v>0</v>
      </c>
      <c r="J460" s="2447"/>
      <c r="K460" s="924"/>
      <c r="L460" s="2320"/>
      <c r="M460" s="1311"/>
    </row>
    <row r="461" spans="1:13" x14ac:dyDescent="0.25">
      <c r="A461" s="1444">
        <f t="shared" si="70"/>
        <v>86</v>
      </c>
      <c r="B461" s="851">
        <f t="shared" si="71"/>
        <v>81</v>
      </c>
      <c r="C461" s="869">
        <f>IF('S. Setup'!$J$59&lt;&gt;"yes",0,SUMIF($B$634:$B$736,("="&amp;A461),$C$634:$C$736))</f>
        <v>0</v>
      </c>
      <c r="D461" s="837">
        <f>IF('S. Setup'!$J$59&lt;&gt;"yes",0,SUMIF($F$634:$F$736,("="&amp;B461),$G$634:$G$736))</f>
        <v>0</v>
      </c>
      <c r="E461" s="1162">
        <f>IF('S. Setup'!$J$59&lt;&gt;"yes",0,SUMIF($F$742:$F$844,("="&amp;A461),$G$742:$G$844))</f>
        <v>0</v>
      </c>
      <c r="F461" s="2439">
        <f>IF('S. Setup'!$J$59&lt;&gt;"yes",0,SUMIF($J$742:$J$844,("="&amp;B461),$K$742:$K$844))</f>
        <v>0</v>
      </c>
      <c r="G461" s="993"/>
      <c r="H461" s="2443">
        <f t="shared" si="72"/>
        <v>0</v>
      </c>
      <c r="I461" s="2320">
        <f t="shared" si="73"/>
        <v>0</v>
      </c>
      <c r="J461" s="2447"/>
      <c r="K461" s="924"/>
      <c r="L461" s="2320"/>
      <c r="M461" s="1311"/>
    </row>
    <row r="462" spans="1:13" x14ac:dyDescent="0.25">
      <c r="A462" s="1444">
        <f t="shared" si="70"/>
        <v>87</v>
      </c>
      <c r="B462" s="851">
        <f t="shared" si="71"/>
        <v>82</v>
      </c>
      <c r="C462" s="869">
        <f>IF('S. Setup'!$J$59&lt;&gt;"yes",0,SUMIF($B$634:$B$736,("="&amp;A462),$C$634:$C$736))</f>
        <v>0</v>
      </c>
      <c r="D462" s="837">
        <f>IF('S. Setup'!$J$59&lt;&gt;"yes",0,SUMIF($F$634:$F$736,("="&amp;B462),$G$634:$G$736))</f>
        <v>0</v>
      </c>
      <c r="E462" s="1162">
        <f>IF('S. Setup'!$J$59&lt;&gt;"yes",0,SUMIF($F$742:$F$844,("="&amp;A462),$G$742:$G$844))</f>
        <v>0</v>
      </c>
      <c r="F462" s="2439">
        <f>IF('S. Setup'!$J$59&lt;&gt;"yes",0,SUMIF($J$742:$J$844,("="&amp;B462),$K$742:$K$844))</f>
        <v>0</v>
      </c>
      <c r="G462" s="993"/>
      <c r="H462" s="2443">
        <f t="shared" si="72"/>
        <v>0</v>
      </c>
      <c r="I462" s="2320">
        <f t="shared" si="73"/>
        <v>0</v>
      </c>
      <c r="J462" s="2447"/>
      <c r="K462" s="924"/>
      <c r="L462" s="2320"/>
      <c r="M462" s="1311"/>
    </row>
    <row r="463" spans="1:13" x14ac:dyDescent="0.25">
      <c r="A463" s="1444">
        <f t="shared" si="70"/>
        <v>88</v>
      </c>
      <c r="B463" s="851">
        <f t="shared" si="71"/>
        <v>83</v>
      </c>
      <c r="C463" s="869">
        <f>IF('S. Setup'!$J$59&lt;&gt;"yes",0,SUMIF($B$634:$B$736,("="&amp;A463),$C$634:$C$736))</f>
        <v>0</v>
      </c>
      <c r="D463" s="837">
        <f>IF('S. Setup'!$J$59&lt;&gt;"yes",0,SUMIF($F$634:$F$736,("="&amp;B463),$G$634:$G$736))</f>
        <v>0</v>
      </c>
      <c r="E463" s="1162">
        <f>IF('S. Setup'!$J$59&lt;&gt;"yes",0,SUMIF($F$742:$F$844,("="&amp;A463),$G$742:$G$844))</f>
        <v>0</v>
      </c>
      <c r="F463" s="2439">
        <f>IF('S. Setup'!$J$59&lt;&gt;"yes",0,SUMIF($J$742:$J$844,("="&amp;B463),$K$742:$K$844))</f>
        <v>0</v>
      </c>
      <c r="G463" s="993"/>
      <c r="H463" s="2443">
        <f t="shared" si="72"/>
        <v>0</v>
      </c>
      <c r="I463" s="2320">
        <f t="shared" si="73"/>
        <v>0</v>
      </c>
      <c r="J463" s="2447"/>
      <c r="K463" s="924"/>
      <c r="L463" s="2320"/>
      <c r="M463" s="1311"/>
    </row>
    <row r="464" spans="1:13" x14ac:dyDescent="0.25">
      <c r="A464" s="1444">
        <f t="shared" si="70"/>
        <v>89</v>
      </c>
      <c r="B464" s="851">
        <f t="shared" si="71"/>
        <v>84</v>
      </c>
      <c r="C464" s="869">
        <f>IF('S. Setup'!$J$59&lt;&gt;"yes",0,SUMIF($B$634:$B$736,("="&amp;A464),$C$634:$C$736))</f>
        <v>0</v>
      </c>
      <c r="D464" s="837">
        <f>IF('S. Setup'!$J$59&lt;&gt;"yes",0,SUMIF($F$634:$F$736,("="&amp;B464),$G$634:$G$736))</f>
        <v>0</v>
      </c>
      <c r="E464" s="1162">
        <f>IF('S. Setup'!$J$59&lt;&gt;"yes",0,SUMIF($F$742:$F$844,("="&amp;A464),$G$742:$G$844))</f>
        <v>0</v>
      </c>
      <c r="F464" s="2439">
        <f>IF('S. Setup'!$J$59&lt;&gt;"yes",0,SUMIF($J$742:$J$844,("="&amp;B464),$K$742:$K$844))</f>
        <v>0</v>
      </c>
      <c r="G464" s="993"/>
      <c r="H464" s="2443">
        <f t="shared" si="72"/>
        <v>0</v>
      </c>
      <c r="I464" s="2320">
        <f t="shared" si="73"/>
        <v>0</v>
      </c>
      <c r="J464" s="2447"/>
      <c r="K464" s="924"/>
      <c r="L464" s="2320"/>
      <c r="M464" s="1311"/>
    </row>
    <row r="465" spans="1:13" x14ac:dyDescent="0.25">
      <c r="A465" s="1444">
        <f t="shared" si="70"/>
        <v>90</v>
      </c>
      <c r="B465" s="851">
        <f t="shared" si="71"/>
        <v>85</v>
      </c>
      <c r="C465" s="869">
        <f>IF('S. Setup'!$J$59&lt;&gt;"yes",0,SUMIF($B$634:$B$736,("="&amp;A465),$C$634:$C$736))</f>
        <v>0</v>
      </c>
      <c r="D465" s="837">
        <f>IF('S. Setup'!$J$59&lt;&gt;"yes",0,SUMIF($F$634:$F$736,("="&amp;B465),$G$634:$G$736))</f>
        <v>0</v>
      </c>
      <c r="E465" s="1162">
        <f>IF('S. Setup'!$J$59&lt;&gt;"yes",0,SUMIF($F$742:$F$844,("="&amp;A465),$G$742:$G$844))</f>
        <v>0</v>
      </c>
      <c r="F465" s="2439">
        <f>IF('S. Setup'!$J$59&lt;&gt;"yes",0,SUMIF($J$742:$J$844,("="&amp;B465),$K$742:$K$844))</f>
        <v>0</v>
      </c>
      <c r="G465" s="993"/>
      <c r="H465" s="2443">
        <f t="shared" si="72"/>
        <v>0</v>
      </c>
      <c r="I465" s="2320">
        <f t="shared" si="73"/>
        <v>0</v>
      </c>
      <c r="J465" s="2447"/>
      <c r="K465" s="924"/>
      <c r="L465" s="2320"/>
      <c r="M465" s="1311"/>
    </row>
    <row r="466" spans="1:13" x14ac:dyDescent="0.25">
      <c r="A466" s="1444">
        <f t="shared" si="70"/>
        <v>91</v>
      </c>
      <c r="B466" s="851">
        <f t="shared" si="71"/>
        <v>86</v>
      </c>
      <c r="C466" s="869">
        <f>IF('S. Setup'!$J$59&lt;&gt;"yes",0,SUMIF($B$634:$B$736,("="&amp;A466),$C$634:$C$736))</f>
        <v>0</v>
      </c>
      <c r="D466" s="837">
        <f>IF('S. Setup'!$J$59&lt;&gt;"yes",0,SUMIF($F$634:$F$736,("="&amp;B466),$G$634:$G$736))</f>
        <v>0</v>
      </c>
      <c r="E466" s="1162">
        <f>IF('S. Setup'!$J$59&lt;&gt;"yes",0,SUMIF($F$742:$F$844,("="&amp;A466),$G$742:$G$844))</f>
        <v>0</v>
      </c>
      <c r="F466" s="2439">
        <f>IF('S. Setup'!$J$59&lt;&gt;"yes",0,SUMIF($J$742:$J$844,("="&amp;B466),$K$742:$K$844))</f>
        <v>0</v>
      </c>
      <c r="G466" s="993"/>
      <c r="H466" s="2443">
        <f t="shared" si="72"/>
        <v>0</v>
      </c>
      <c r="I466" s="2320">
        <f t="shared" si="73"/>
        <v>0</v>
      </c>
      <c r="J466" s="2447"/>
      <c r="K466" s="924"/>
      <c r="L466" s="2320"/>
      <c r="M466" s="1311"/>
    </row>
    <row r="467" spans="1:13" x14ac:dyDescent="0.25">
      <c r="A467" s="1444">
        <f t="shared" si="70"/>
        <v>92</v>
      </c>
      <c r="B467" s="851">
        <f t="shared" si="71"/>
        <v>87</v>
      </c>
      <c r="C467" s="869">
        <f>IF('S. Setup'!$J$59&lt;&gt;"yes",0,SUMIF($B$634:$B$736,("="&amp;A467),$C$634:$C$736))</f>
        <v>0</v>
      </c>
      <c r="D467" s="837">
        <f>IF('S. Setup'!$J$59&lt;&gt;"yes",0,SUMIF($F$634:$F$736,("="&amp;B467),$G$634:$G$736))</f>
        <v>0</v>
      </c>
      <c r="E467" s="1162">
        <f>IF('S. Setup'!$J$59&lt;&gt;"yes",0,SUMIF($F$742:$F$844,("="&amp;A467),$G$742:$G$844))</f>
        <v>0</v>
      </c>
      <c r="F467" s="2439">
        <f>IF('S. Setup'!$J$59&lt;&gt;"yes",0,SUMIF($J$742:$J$844,("="&amp;B467),$K$742:$K$844))</f>
        <v>0</v>
      </c>
      <c r="G467" s="993"/>
      <c r="H467" s="2443">
        <f t="shared" si="72"/>
        <v>0</v>
      </c>
      <c r="I467" s="2320">
        <f t="shared" si="73"/>
        <v>0</v>
      </c>
      <c r="J467" s="2447"/>
      <c r="K467" s="924"/>
      <c r="L467" s="2320"/>
      <c r="M467" s="1311"/>
    </row>
    <row r="468" spans="1:13" x14ac:dyDescent="0.25">
      <c r="A468" s="1444">
        <f t="shared" si="70"/>
        <v>93</v>
      </c>
      <c r="B468" s="851">
        <f t="shared" si="71"/>
        <v>88</v>
      </c>
      <c r="C468" s="869">
        <f>IF('S. Setup'!$J$59&lt;&gt;"yes",0,SUMIF($B$634:$B$736,("="&amp;A468),$C$634:$C$736))</f>
        <v>0</v>
      </c>
      <c r="D468" s="837">
        <f>IF('S. Setup'!$J$59&lt;&gt;"yes",0,SUMIF($F$634:$F$736,("="&amp;B468),$G$634:$G$736))</f>
        <v>0</v>
      </c>
      <c r="E468" s="1162">
        <f>IF('S. Setup'!$J$59&lt;&gt;"yes",0,SUMIF($F$742:$F$844,("="&amp;A468),$G$742:$G$844))</f>
        <v>0</v>
      </c>
      <c r="F468" s="2439">
        <f>IF('S. Setup'!$J$59&lt;&gt;"yes",0,SUMIF($J$742:$J$844,("="&amp;B468),$K$742:$K$844))</f>
        <v>0</v>
      </c>
      <c r="G468" s="993"/>
      <c r="H468" s="2443">
        <f t="shared" si="72"/>
        <v>0</v>
      </c>
      <c r="I468" s="2320">
        <f t="shared" si="73"/>
        <v>0</v>
      </c>
      <c r="J468" s="2447"/>
      <c r="K468" s="924"/>
      <c r="L468" s="2320"/>
      <c r="M468" s="1311"/>
    </row>
    <row r="469" spans="1:13" x14ac:dyDescent="0.25">
      <c r="A469" s="1444">
        <f t="shared" si="70"/>
        <v>94</v>
      </c>
      <c r="B469" s="851">
        <f t="shared" si="71"/>
        <v>89</v>
      </c>
      <c r="C469" s="869">
        <f>IF('S. Setup'!$J$59&lt;&gt;"yes",0,SUMIF($B$634:$B$736,("="&amp;A469),$C$634:$C$736))</f>
        <v>0</v>
      </c>
      <c r="D469" s="837">
        <f>IF('S. Setup'!$J$59&lt;&gt;"yes",0,SUMIF($F$634:$F$736,("="&amp;B469),$G$634:$G$736))</f>
        <v>0</v>
      </c>
      <c r="E469" s="1162">
        <f>IF('S. Setup'!$J$59&lt;&gt;"yes",0,SUMIF($F$742:$F$844,("="&amp;A469),$G$742:$G$844))</f>
        <v>0</v>
      </c>
      <c r="F469" s="2439">
        <f>IF('S. Setup'!$J$59&lt;&gt;"yes",0,SUMIF($J$742:$J$844,("="&amp;B469),$K$742:$K$844))</f>
        <v>0</v>
      </c>
      <c r="G469" s="993"/>
      <c r="H469" s="2443">
        <f t="shared" si="72"/>
        <v>0</v>
      </c>
      <c r="I469" s="2320">
        <f t="shared" si="73"/>
        <v>0</v>
      </c>
      <c r="J469" s="2447"/>
      <c r="K469" s="924"/>
      <c r="L469" s="2320"/>
      <c r="M469" s="1311"/>
    </row>
    <row r="470" spans="1:13" x14ac:dyDescent="0.25">
      <c r="A470" s="1444">
        <f t="shared" si="70"/>
        <v>95</v>
      </c>
      <c r="B470" s="851">
        <f t="shared" si="71"/>
        <v>90</v>
      </c>
      <c r="C470" s="869">
        <f>IF('S. Setup'!$J$59&lt;&gt;"yes",0,SUMIF($B$634:$B$736,("="&amp;A470),$C$634:$C$736))</f>
        <v>0</v>
      </c>
      <c r="D470" s="837">
        <f>IF('S. Setup'!$J$59&lt;&gt;"yes",0,SUMIF($F$634:$F$736,("="&amp;B470),$G$634:$G$736))</f>
        <v>0</v>
      </c>
      <c r="E470" s="1162">
        <f>IF('S. Setup'!$J$59&lt;&gt;"yes",0,SUMIF($F$742:$F$844,("="&amp;A470),$G$742:$G$844))</f>
        <v>0</v>
      </c>
      <c r="F470" s="2439">
        <f>IF('S. Setup'!$J$59&lt;&gt;"yes",0,SUMIF($J$742:$J$844,("="&amp;B470),$K$742:$K$844))</f>
        <v>0</v>
      </c>
      <c r="G470" s="993"/>
      <c r="H470" s="2443">
        <f t="shared" si="72"/>
        <v>0</v>
      </c>
      <c r="I470" s="2320">
        <f t="shared" si="73"/>
        <v>0</v>
      </c>
      <c r="J470" s="2447"/>
      <c r="K470" s="924"/>
      <c r="L470" s="2320"/>
      <c r="M470" s="1311"/>
    </row>
    <row r="471" spans="1:13" ht="15.75" thickBot="1" x14ac:dyDescent="0.3">
      <c r="A471" s="1994">
        <f t="shared" si="70"/>
        <v>96</v>
      </c>
      <c r="B471" s="1995">
        <f t="shared" si="71"/>
        <v>91</v>
      </c>
      <c r="C471" s="1975">
        <f>IF('S. Setup'!$J$59&lt;&gt;"yes",0,SUMIF($B$634:$B$736,("="&amp;A471),$C$634:$C$736))</f>
        <v>0</v>
      </c>
      <c r="D471" s="1885">
        <f>IF('S. Setup'!$J$59&lt;&gt;"yes",0,SUMIF($F$634:$F$736,("="&amp;B471),$G$634:$G$736))</f>
        <v>0</v>
      </c>
      <c r="E471" s="2440">
        <f>IF('S. Setup'!$J$59&lt;&gt;"yes",0,SUMIF($F$742:$F$844,("="&amp;A471),$G$742:$G$844))</f>
        <v>0</v>
      </c>
      <c r="F471" s="2441">
        <f>IF('S. Setup'!$J$59&lt;&gt;"yes",0,SUMIF($J$742:$J$844,("="&amp;B471),$K$742:$K$844))</f>
        <v>0</v>
      </c>
      <c r="G471" s="1972"/>
      <c r="H471" s="2444">
        <f t="shared" si="72"/>
        <v>0</v>
      </c>
      <c r="I471" s="2321">
        <f t="shared" si="73"/>
        <v>0</v>
      </c>
      <c r="J471" s="2447"/>
      <c r="K471" s="924"/>
      <c r="L471" s="2320"/>
      <c r="M471" s="1311"/>
    </row>
    <row r="472" spans="1:13" ht="15.75" thickTop="1" x14ac:dyDescent="0.25">
      <c r="A472" s="1336"/>
      <c r="B472" s="6"/>
      <c r="C472" s="6"/>
      <c r="D472" s="6"/>
      <c r="E472" s="6"/>
      <c r="F472" s="6"/>
      <c r="G472" s="6"/>
      <c r="H472" s="2434" t="s">
        <v>332</v>
      </c>
      <c r="I472" s="2435" t="s">
        <v>333</v>
      </c>
      <c r="J472" s="1336"/>
      <c r="K472" s="6"/>
      <c r="L472" s="1311"/>
      <c r="M472" s="1311"/>
    </row>
    <row r="473" spans="1:13" ht="15.75" thickBot="1" x14ac:dyDescent="0.3">
      <c r="A473" s="2073"/>
      <c r="B473" s="1314"/>
      <c r="C473" s="1314"/>
      <c r="D473" s="1314"/>
      <c r="E473" s="1314"/>
      <c r="F473" s="1314"/>
      <c r="G473" s="1314"/>
      <c r="H473" s="2426">
        <f>SUM(H435:H471)</f>
        <v>1550.4</v>
      </c>
      <c r="I473" s="2448">
        <f>SUM(I435:I471)</f>
        <v>1273.4495999999999</v>
      </c>
      <c r="J473" s="2073"/>
      <c r="K473" s="1314"/>
      <c r="L473" s="1315"/>
      <c r="M473" s="1315"/>
    </row>
    <row r="474" spans="1:13" ht="15.75" thickTop="1" x14ac:dyDescent="0.25">
      <c r="A474" s="6"/>
      <c r="B474" s="6"/>
      <c r="C474" s="6"/>
      <c r="D474" s="6"/>
      <c r="E474" s="6"/>
      <c r="F474" s="6"/>
      <c r="G474" s="6"/>
      <c r="H474" s="959"/>
      <c r="I474" s="959"/>
      <c r="J474" s="6"/>
      <c r="K474" s="6"/>
      <c r="L474" s="6"/>
      <c r="M474" s="6"/>
    </row>
    <row r="475" spans="1:13" x14ac:dyDescent="0.25">
      <c r="A475" s="684"/>
      <c r="B475" s="684"/>
      <c r="C475" s="1295"/>
      <c r="D475" s="1295"/>
      <c r="E475" s="2254"/>
      <c r="F475" s="6"/>
      <c r="G475" s="6"/>
      <c r="H475" s="6"/>
      <c r="I475" s="6"/>
      <c r="J475" s="6"/>
      <c r="K475" s="6"/>
      <c r="L475" s="6"/>
      <c r="M475" s="6"/>
    </row>
    <row r="476" spans="1:13" ht="15.75" thickBot="1" x14ac:dyDescent="0.3">
      <c r="A476" s="684"/>
      <c r="B476" s="684"/>
      <c r="C476" s="1295"/>
      <c r="D476" s="1295"/>
      <c r="E476" s="2254"/>
      <c r="F476" s="6"/>
      <c r="G476" s="6"/>
      <c r="H476" s="6"/>
      <c r="I476" s="6"/>
      <c r="J476" s="6"/>
      <c r="K476" s="6"/>
      <c r="L476" s="6"/>
      <c r="M476" s="6"/>
    </row>
    <row r="477" spans="1:13" ht="19.5" thickTop="1" x14ac:dyDescent="0.3">
      <c r="A477" s="1340" t="s">
        <v>2021</v>
      </c>
      <c r="B477" s="1341"/>
      <c r="C477" s="1341"/>
      <c r="D477" s="1341"/>
      <c r="E477" s="2282"/>
      <c r="F477" s="1341"/>
      <c r="G477" s="1341"/>
      <c r="H477" s="1341"/>
      <c r="I477" s="1341"/>
      <c r="J477" s="1341"/>
      <c r="K477" s="1341"/>
      <c r="L477" s="1341"/>
      <c r="M477" s="1342"/>
    </row>
    <row r="478" spans="1:13" x14ac:dyDescent="0.25">
      <c r="A478" s="1336" t="s">
        <v>2020</v>
      </c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1311"/>
    </row>
    <row r="479" spans="1:13" x14ac:dyDescent="0.25">
      <c r="A479" s="1336" t="s">
        <v>2022</v>
      </c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1311"/>
    </row>
    <row r="480" spans="1:13" x14ac:dyDescent="0.25">
      <c r="A480" s="1336"/>
      <c r="B480" s="215" t="s">
        <v>1957</v>
      </c>
      <c r="C480" s="6"/>
      <c r="D480" s="6"/>
      <c r="E480" s="6"/>
      <c r="F480" s="1172" t="s">
        <v>2023</v>
      </c>
      <c r="G480" s="1183" t="s">
        <v>2027</v>
      </c>
      <c r="H480" s="6"/>
      <c r="I480" s="6"/>
      <c r="J480" s="6"/>
      <c r="K480" s="6"/>
      <c r="L480" s="6"/>
      <c r="M480" s="1311"/>
    </row>
    <row r="481" spans="1:13" ht="18.75" x14ac:dyDescent="0.3">
      <c r="A481" s="1336"/>
      <c r="B481" s="215" t="s">
        <v>1958</v>
      </c>
      <c r="C481" s="1841"/>
      <c r="D481" s="1841"/>
      <c r="E481" s="1842"/>
      <c r="F481" s="1172" t="s">
        <v>2024</v>
      </c>
      <c r="G481" s="1227" t="s">
        <v>2889</v>
      </c>
      <c r="H481" s="6"/>
      <c r="I481" s="6"/>
      <c r="J481" s="6"/>
      <c r="K481" s="6"/>
      <c r="L481" s="6"/>
      <c r="M481" s="1311"/>
    </row>
    <row r="482" spans="1:13" ht="18.75" x14ac:dyDescent="0.3">
      <c r="A482" s="1336"/>
      <c r="B482" s="215" t="s">
        <v>1959</v>
      </c>
      <c r="C482" s="1841"/>
      <c r="D482" s="1841"/>
      <c r="E482" s="1842"/>
      <c r="F482" s="1172" t="s">
        <v>2025</v>
      </c>
      <c r="G482" s="1227" t="s">
        <v>2437</v>
      </c>
      <c r="H482" s="6"/>
      <c r="I482" s="6"/>
      <c r="J482" s="6"/>
      <c r="K482" s="6"/>
      <c r="L482" s="6"/>
      <c r="M482" s="1311"/>
    </row>
    <row r="483" spans="1:13" ht="15.75" thickBot="1" x14ac:dyDescent="0.3">
      <c r="A483" s="133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1311"/>
    </row>
    <row r="484" spans="1:13" ht="19.5" thickTop="1" x14ac:dyDescent="0.3">
      <c r="A484" s="1340" t="s">
        <v>1991</v>
      </c>
      <c r="B484" s="1341"/>
      <c r="C484" s="1341"/>
      <c r="D484" s="1341"/>
      <c r="E484" s="2282"/>
      <c r="F484" s="1341"/>
      <c r="G484" s="1341"/>
      <c r="H484" s="1341"/>
      <c r="I484" s="1341"/>
      <c r="J484" s="1341"/>
      <c r="K484" s="1341"/>
      <c r="L484" s="1341"/>
      <c r="M484" s="1342"/>
    </row>
    <row r="485" spans="1:13" x14ac:dyDescent="0.25">
      <c r="A485" s="1336" t="s">
        <v>2026</v>
      </c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1311"/>
    </row>
    <row r="486" spans="1:13" x14ac:dyDescent="0.25">
      <c r="A486" s="1336"/>
      <c r="B486" s="215" t="s">
        <v>1957</v>
      </c>
      <c r="C486" s="6"/>
      <c r="D486" s="6"/>
      <c r="E486" s="6"/>
      <c r="F486" s="6"/>
      <c r="G486" s="1183"/>
      <c r="H486" s="6"/>
      <c r="I486" s="6"/>
      <c r="J486" s="6"/>
      <c r="K486" s="6"/>
      <c r="L486" s="6"/>
      <c r="M486" s="1311"/>
    </row>
    <row r="487" spans="1:13" ht="15.75" thickBot="1" x14ac:dyDescent="0.3">
      <c r="A487" s="133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1311"/>
    </row>
    <row r="488" spans="1:13" ht="74.25" thickTop="1" thickBot="1" x14ac:dyDescent="0.3">
      <c r="A488" s="313" t="s">
        <v>142</v>
      </c>
      <c r="B488" s="407" t="s">
        <v>143</v>
      </c>
      <c r="C488" s="512" t="s">
        <v>1883</v>
      </c>
      <c r="D488" s="512" t="s">
        <v>1884</v>
      </c>
      <c r="E488" s="453" t="s">
        <v>1963</v>
      </c>
      <c r="F488" s="453" t="s">
        <v>1964</v>
      </c>
      <c r="G488" s="431" t="s">
        <v>1965</v>
      </c>
      <c r="H488" s="431" t="s">
        <v>1966</v>
      </c>
      <c r="I488" s="2279" t="s">
        <v>1967</v>
      </c>
      <c r="J488" s="2279" t="s">
        <v>1968</v>
      </c>
      <c r="K488" s="1946"/>
      <c r="L488" s="2410" t="s">
        <v>1987</v>
      </c>
      <c r="M488" s="2411" t="s">
        <v>2064</v>
      </c>
    </row>
    <row r="489" spans="1:13" ht="15.75" thickTop="1" x14ac:dyDescent="0.25">
      <c r="A489" s="1444">
        <f>'1. AgeData'!$D$30</f>
        <v>60</v>
      </c>
      <c r="B489" s="883">
        <f>'1. AgeData'!$D$31</f>
        <v>55</v>
      </c>
      <c r="C489" s="869">
        <f t="shared" ref="C489:C525" si="74">IF(AND(A489&gt;=$I$115,A489&lt;=$J$115,$I$105="yes"),C294*$H$115,0)</f>
        <v>0</v>
      </c>
      <c r="D489" s="837">
        <f t="shared" ref="D489:D525" si="75">IF(AND(B489&gt;=$I$121,B489&lt;=$J$121,$I$105="yes"),D294*$H$121,0)</f>
        <v>0</v>
      </c>
      <c r="E489" s="869">
        <f t="shared" ref="E489:E525" si="76">IF(AND(A489&gt;=$I$116,A489&lt;=$J$116,$I$11="yes"),E293*$H$116,0)</f>
        <v>0</v>
      </c>
      <c r="F489" s="868">
        <f t="shared" ref="F489:F525" si="77">IF(AND(B489&gt;=$I$122,B489&lt;=$J$122,$I$11="yes"),F293*$H$122,0)</f>
        <v>0</v>
      </c>
      <c r="G489" s="857">
        <f t="shared" ref="G489:G525" si="78">IF(AND(A489&gt;=$I$117,A489&lt;=$J$117,$I$11="yes"),G293*$H$117,0)</f>
        <v>0</v>
      </c>
      <c r="H489" s="858">
        <f t="shared" ref="H489:H525" si="79">IF(AND(B489&gt;=$I$123,B489&lt;=$J$123,$I$11="yes"),H293*$H$123,0)</f>
        <v>0</v>
      </c>
      <c r="I489" s="993">
        <f t="shared" ref="I489:I525" si="80">IF(AND(A489&gt;=$I$118,A489&lt;=$J$118,$I$105="yes"),I294*$H$118,0)</f>
        <v>0</v>
      </c>
      <c r="J489" s="924">
        <f t="shared" ref="J489:J525" si="81">IF(AND(B489&gt;=$I$121,B489&lt;=$J$121,$I$105="yes"),D294*$H$121,0)</f>
        <v>0</v>
      </c>
      <c r="K489" s="2409"/>
      <c r="L489" s="2412">
        <f>C489+E489+G489+I489</f>
        <v>0</v>
      </c>
      <c r="M489" s="2189">
        <f>D489+F489+H489+J489</f>
        <v>0</v>
      </c>
    </row>
    <row r="490" spans="1:13" s="67" customFormat="1" x14ac:dyDescent="0.25">
      <c r="A490" s="2281">
        <f>A489+1</f>
        <v>61</v>
      </c>
      <c r="B490" s="2287">
        <f>B489+1</f>
        <v>56</v>
      </c>
      <c r="C490" s="869">
        <f t="shared" si="74"/>
        <v>0</v>
      </c>
      <c r="D490" s="837">
        <f t="shared" si="75"/>
        <v>0</v>
      </c>
      <c r="E490" s="869">
        <f t="shared" si="76"/>
        <v>0</v>
      </c>
      <c r="F490" s="868">
        <f t="shared" si="77"/>
        <v>0</v>
      </c>
      <c r="G490" s="857">
        <f t="shared" si="78"/>
        <v>0</v>
      </c>
      <c r="H490" s="858">
        <f t="shared" si="79"/>
        <v>0</v>
      </c>
      <c r="I490" s="993">
        <f t="shared" si="80"/>
        <v>0</v>
      </c>
      <c r="J490" s="924">
        <f t="shared" si="81"/>
        <v>0</v>
      </c>
      <c r="K490" s="2409"/>
      <c r="L490" s="2412">
        <f t="shared" ref="L490:L525" si="82">C490+E490+G490+I490</f>
        <v>0</v>
      </c>
      <c r="M490" s="2189">
        <f t="shared" ref="M490:M525" si="83">D490+F490+H490+J490</f>
        <v>0</v>
      </c>
    </row>
    <row r="491" spans="1:13" s="67" customFormat="1" x14ac:dyDescent="0.25">
      <c r="A491" s="2281">
        <f t="shared" ref="A491:B491" si="84">A490+1</f>
        <v>62</v>
      </c>
      <c r="B491" s="2287">
        <f t="shared" si="84"/>
        <v>57</v>
      </c>
      <c r="C491" s="869">
        <f t="shared" si="74"/>
        <v>0</v>
      </c>
      <c r="D491" s="837">
        <f t="shared" si="75"/>
        <v>0</v>
      </c>
      <c r="E491" s="869">
        <f t="shared" si="76"/>
        <v>0</v>
      </c>
      <c r="F491" s="868">
        <f t="shared" si="77"/>
        <v>0</v>
      </c>
      <c r="G491" s="857">
        <f t="shared" si="78"/>
        <v>0</v>
      </c>
      <c r="H491" s="858">
        <f t="shared" si="79"/>
        <v>0</v>
      </c>
      <c r="I491" s="993">
        <f t="shared" si="80"/>
        <v>0</v>
      </c>
      <c r="J491" s="924">
        <f t="shared" si="81"/>
        <v>0</v>
      </c>
      <c r="K491" s="2409"/>
      <c r="L491" s="2412">
        <f t="shared" si="82"/>
        <v>0</v>
      </c>
      <c r="M491" s="2189">
        <f t="shared" si="83"/>
        <v>0</v>
      </c>
    </row>
    <row r="492" spans="1:13" s="67" customFormat="1" x14ac:dyDescent="0.25">
      <c r="A492" s="2281">
        <f t="shared" ref="A492:B492" si="85">A491+1</f>
        <v>63</v>
      </c>
      <c r="B492" s="2287">
        <f t="shared" si="85"/>
        <v>58</v>
      </c>
      <c r="C492" s="869">
        <f t="shared" si="74"/>
        <v>0</v>
      </c>
      <c r="D492" s="837">
        <f t="shared" si="75"/>
        <v>0</v>
      </c>
      <c r="E492" s="869">
        <f t="shared" si="76"/>
        <v>0</v>
      </c>
      <c r="F492" s="868">
        <f t="shared" si="77"/>
        <v>0</v>
      </c>
      <c r="G492" s="857">
        <f t="shared" si="78"/>
        <v>0</v>
      </c>
      <c r="H492" s="858">
        <f t="shared" si="79"/>
        <v>0</v>
      </c>
      <c r="I492" s="993">
        <f t="shared" si="80"/>
        <v>0</v>
      </c>
      <c r="J492" s="924">
        <f t="shared" si="81"/>
        <v>0</v>
      </c>
      <c r="K492" s="2409"/>
      <c r="L492" s="2412">
        <f t="shared" si="82"/>
        <v>0</v>
      </c>
      <c r="M492" s="2189">
        <f t="shared" si="83"/>
        <v>0</v>
      </c>
    </row>
    <row r="493" spans="1:13" s="67" customFormat="1" x14ac:dyDescent="0.25">
      <c r="A493" s="2281">
        <f t="shared" ref="A493:B493" si="86">A492+1</f>
        <v>64</v>
      </c>
      <c r="B493" s="2287">
        <f t="shared" si="86"/>
        <v>59</v>
      </c>
      <c r="C493" s="869">
        <f t="shared" si="74"/>
        <v>0</v>
      </c>
      <c r="D493" s="837">
        <f t="shared" si="75"/>
        <v>0</v>
      </c>
      <c r="E493" s="869">
        <f t="shared" si="76"/>
        <v>0</v>
      </c>
      <c r="F493" s="868">
        <f t="shared" si="77"/>
        <v>0</v>
      </c>
      <c r="G493" s="857">
        <f t="shared" si="78"/>
        <v>0</v>
      </c>
      <c r="H493" s="858">
        <f t="shared" si="79"/>
        <v>0</v>
      </c>
      <c r="I493" s="993">
        <f t="shared" si="80"/>
        <v>0</v>
      </c>
      <c r="J493" s="924">
        <f t="shared" si="81"/>
        <v>0</v>
      </c>
      <c r="K493" s="2409"/>
      <c r="L493" s="2412">
        <f t="shared" si="82"/>
        <v>0</v>
      </c>
      <c r="M493" s="2189">
        <f t="shared" si="83"/>
        <v>0</v>
      </c>
    </row>
    <row r="494" spans="1:13" x14ac:dyDescent="0.25">
      <c r="A494" s="2281">
        <f t="shared" ref="A494:B494" si="87">A493+1</f>
        <v>65</v>
      </c>
      <c r="B494" s="2287">
        <f t="shared" si="87"/>
        <v>60</v>
      </c>
      <c r="C494" s="869">
        <f t="shared" si="74"/>
        <v>0</v>
      </c>
      <c r="D494" s="837">
        <f t="shared" si="75"/>
        <v>0</v>
      </c>
      <c r="E494" s="869">
        <f t="shared" si="76"/>
        <v>0</v>
      </c>
      <c r="F494" s="868">
        <f t="shared" si="77"/>
        <v>0</v>
      </c>
      <c r="G494" s="857">
        <f t="shared" si="78"/>
        <v>0</v>
      </c>
      <c r="H494" s="858">
        <f t="shared" si="79"/>
        <v>0</v>
      </c>
      <c r="I494" s="993">
        <f t="shared" si="80"/>
        <v>357</v>
      </c>
      <c r="J494" s="924">
        <f t="shared" si="81"/>
        <v>0</v>
      </c>
      <c r="K494" s="2409"/>
      <c r="L494" s="2412">
        <f t="shared" si="82"/>
        <v>357</v>
      </c>
      <c r="M494" s="2189">
        <f t="shared" si="83"/>
        <v>0</v>
      </c>
    </row>
    <row r="495" spans="1:13" x14ac:dyDescent="0.25">
      <c r="A495" s="2281">
        <f t="shared" ref="A495:B495" si="88">A494+1</f>
        <v>66</v>
      </c>
      <c r="B495" s="2287">
        <f t="shared" si="88"/>
        <v>61</v>
      </c>
      <c r="C495" s="869">
        <f t="shared" si="74"/>
        <v>0</v>
      </c>
      <c r="D495" s="837">
        <f t="shared" si="75"/>
        <v>0</v>
      </c>
      <c r="E495" s="869">
        <f t="shared" si="76"/>
        <v>0</v>
      </c>
      <c r="F495" s="868">
        <f t="shared" si="77"/>
        <v>0</v>
      </c>
      <c r="G495" s="857">
        <f t="shared" si="78"/>
        <v>0</v>
      </c>
      <c r="H495" s="858">
        <f t="shared" si="79"/>
        <v>0</v>
      </c>
      <c r="I495" s="993">
        <f t="shared" si="80"/>
        <v>357</v>
      </c>
      <c r="J495" s="924">
        <f t="shared" si="81"/>
        <v>0</v>
      </c>
      <c r="K495" s="2409"/>
      <c r="L495" s="2412">
        <f t="shared" si="82"/>
        <v>357</v>
      </c>
      <c r="M495" s="2189">
        <f t="shared" si="83"/>
        <v>0</v>
      </c>
    </row>
    <row r="496" spans="1:13" x14ac:dyDescent="0.25">
      <c r="A496" s="2281">
        <f t="shared" ref="A496:B496" si="89">A495+1</f>
        <v>67</v>
      </c>
      <c r="B496" s="2287">
        <f t="shared" si="89"/>
        <v>62</v>
      </c>
      <c r="C496" s="869">
        <f t="shared" si="74"/>
        <v>0</v>
      </c>
      <c r="D496" s="837">
        <f t="shared" si="75"/>
        <v>0</v>
      </c>
      <c r="E496" s="869">
        <f t="shared" si="76"/>
        <v>0</v>
      </c>
      <c r="F496" s="868">
        <f t="shared" si="77"/>
        <v>0</v>
      </c>
      <c r="G496" s="857">
        <f t="shared" si="78"/>
        <v>0</v>
      </c>
      <c r="H496" s="858">
        <f t="shared" si="79"/>
        <v>0</v>
      </c>
      <c r="I496" s="993">
        <f t="shared" si="80"/>
        <v>357</v>
      </c>
      <c r="J496" s="924">
        <f t="shared" si="81"/>
        <v>0</v>
      </c>
      <c r="K496" s="2409"/>
      <c r="L496" s="2412">
        <f t="shared" si="82"/>
        <v>357</v>
      </c>
      <c r="M496" s="2189">
        <f t="shared" si="83"/>
        <v>0</v>
      </c>
    </row>
    <row r="497" spans="1:13" x14ac:dyDescent="0.25">
      <c r="A497" s="2281">
        <f t="shared" ref="A497:B497" si="90">A496+1</f>
        <v>68</v>
      </c>
      <c r="B497" s="2287">
        <f t="shared" si="90"/>
        <v>63</v>
      </c>
      <c r="C497" s="869">
        <f t="shared" si="74"/>
        <v>0</v>
      </c>
      <c r="D497" s="837">
        <f t="shared" si="75"/>
        <v>0</v>
      </c>
      <c r="E497" s="869">
        <f t="shared" si="76"/>
        <v>0</v>
      </c>
      <c r="F497" s="868">
        <f t="shared" si="77"/>
        <v>35.053800000000003</v>
      </c>
      <c r="G497" s="857">
        <f t="shared" si="78"/>
        <v>0</v>
      </c>
      <c r="H497" s="858">
        <f t="shared" si="79"/>
        <v>81</v>
      </c>
      <c r="I497" s="993">
        <f t="shared" si="80"/>
        <v>357</v>
      </c>
      <c r="J497" s="924">
        <f t="shared" si="81"/>
        <v>0</v>
      </c>
      <c r="K497" s="2409"/>
      <c r="L497" s="2412">
        <f t="shared" si="82"/>
        <v>357</v>
      </c>
      <c r="M497" s="2189">
        <f t="shared" si="83"/>
        <v>116.0538</v>
      </c>
    </row>
    <row r="498" spans="1:13" x14ac:dyDescent="0.25">
      <c r="A498" s="2281">
        <f t="shared" ref="A498:B498" si="91">A497+1</f>
        <v>69</v>
      </c>
      <c r="B498" s="2287">
        <f t="shared" si="91"/>
        <v>64</v>
      </c>
      <c r="C498" s="869">
        <f t="shared" si="74"/>
        <v>0</v>
      </c>
      <c r="D498" s="837">
        <f t="shared" si="75"/>
        <v>0</v>
      </c>
      <c r="E498" s="869">
        <f t="shared" si="76"/>
        <v>0</v>
      </c>
      <c r="F498" s="868">
        <f t="shared" si="77"/>
        <v>24.105329800000007</v>
      </c>
      <c r="G498" s="857">
        <f t="shared" si="78"/>
        <v>0</v>
      </c>
      <c r="H498" s="858">
        <f t="shared" si="79"/>
        <v>82.255499999999998</v>
      </c>
      <c r="I498" s="993">
        <f t="shared" si="80"/>
        <v>357</v>
      </c>
      <c r="J498" s="924">
        <f t="shared" si="81"/>
        <v>0</v>
      </c>
      <c r="K498" s="2409"/>
      <c r="L498" s="2412">
        <f t="shared" si="82"/>
        <v>357</v>
      </c>
      <c r="M498" s="2189">
        <f t="shared" si="83"/>
        <v>106.3608298</v>
      </c>
    </row>
    <row r="499" spans="1:13" x14ac:dyDescent="0.25">
      <c r="A499" s="2281">
        <f t="shared" ref="A499:B499" si="92">A498+1</f>
        <v>70</v>
      </c>
      <c r="B499" s="2287">
        <f t="shared" si="92"/>
        <v>65</v>
      </c>
      <c r="C499" s="869">
        <f t="shared" si="74"/>
        <v>0</v>
      </c>
      <c r="D499" s="837">
        <f t="shared" si="75"/>
        <v>0</v>
      </c>
      <c r="E499" s="869">
        <f t="shared" si="76"/>
        <v>0</v>
      </c>
      <c r="F499" s="868">
        <f t="shared" si="77"/>
        <v>12.558876825800009</v>
      </c>
      <c r="G499" s="857">
        <f t="shared" si="78"/>
        <v>0</v>
      </c>
      <c r="H499" s="858">
        <f t="shared" si="79"/>
        <v>83.530460250000004</v>
      </c>
      <c r="I499" s="993">
        <f t="shared" si="80"/>
        <v>0</v>
      </c>
      <c r="J499" s="924">
        <f t="shared" si="81"/>
        <v>0</v>
      </c>
      <c r="K499" s="2409"/>
      <c r="L499" s="2412">
        <f t="shared" si="82"/>
        <v>0</v>
      </c>
      <c r="M499" s="2189">
        <f t="shared" si="83"/>
        <v>96.089337075800017</v>
      </c>
    </row>
    <row r="500" spans="1:13" x14ac:dyDescent="0.25">
      <c r="A500" s="2281">
        <f t="shared" ref="A500:B500" si="93">A499+1</f>
        <v>71</v>
      </c>
      <c r="B500" s="2287">
        <f t="shared" si="93"/>
        <v>66</v>
      </c>
      <c r="C500" s="869">
        <f t="shared" si="74"/>
        <v>0</v>
      </c>
      <c r="D500" s="837">
        <f t="shared" si="75"/>
        <v>0</v>
      </c>
      <c r="E500" s="869">
        <f t="shared" si="76"/>
        <v>0</v>
      </c>
      <c r="F500" s="868">
        <f t="shared" si="77"/>
        <v>0</v>
      </c>
      <c r="G500" s="857">
        <f t="shared" si="78"/>
        <v>0</v>
      </c>
      <c r="H500" s="858">
        <f t="shared" si="79"/>
        <v>84.825182383875017</v>
      </c>
      <c r="I500" s="993">
        <f t="shared" si="80"/>
        <v>0</v>
      </c>
      <c r="J500" s="924">
        <f t="shared" si="81"/>
        <v>0</v>
      </c>
      <c r="K500" s="2409"/>
      <c r="L500" s="2412">
        <f t="shared" si="82"/>
        <v>0</v>
      </c>
      <c r="M500" s="2189">
        <f t="shared" si="83"/>
        <v>84.825182383875017</v>
      </c>
    </row>
    <row r="501" spans="1:13" x14ac:dyDescent="0.25">
      <c r="A501" s="2281">
        <f t="shared" ref="A501:B501" si="94">A500+1</f>
        <v>72</v>
      </c>
      <c r="B501" s="2287">
        <f t="shared" si="94"/>
        <v>67</v>
      </c>
      <c r="C501" s="869">
        <f t="shared" si="74"/>
        <v>0</v>
      </c>
      <c r="D501" s="837">
        <f t="shared" si="75"/>
        <v>0</v>
      </c>
      <c r="E501" s="869">
        <f t="shared" si="76"/>
        <v>0</v>
      </c>
      <c r="F501" s="868">
        <f t="shared" si="77"/>
        <v>0</v>
      </c>
      <c r="G501" s="857">
        <f t="shared" si="78"/>
        <v>0</v>
      </c>
      <c r="H501" s="858">
        <f t="shared" si="79"/>
        <v>86.139972710825063</v>
      </c>
      <c r="I501" s="993">
        <f t="shared" si="80"/>
        <v>0</v>
      </c>
      <c r="J501" s="924">
        <f t="shared" si="81"/>
        <v>0</v>
      </c>
      <c r="K501" s="2409"/>
      <c r="L501" s="2412">
        <f t="shared" si="82"/>
        <v>0</v>
      </c>
      <c r="M501" s="2189">
        <f t="shared" si="83"/>
        <v>86.139972710825063</v>
      </c>
    </row>
    <row r="502" spans="1:13" x14ac:dyDescent="0.25">
      <c r="A502" s="2281">
        <f t="shared" ref="A502:B502" si="95">A501+1</f>
        <v>73</v>
      </c>
      <c r="B502" s="2287">
        <f t="shared" si="95"/>
        <v>68</v>
      </c>
      <c r="C502" s="869">
        <f t="shared" si="74"/>
        <v>0</v>
      </c>
      <c r="D502" s="837">
        <f t="shared" si="75"/>
        <v>0</v>
      </c>
      <c r="E502" s="869">
        <f t="shared" si="76"/>
        <v>0</v>
      </c>
      <c r="F502" s="868">
        <f t="shared" si="77"/>
        <v>0</v>
      </c>
      <c r="G502" s="857">
        <f t="shared" si="78"/>
        <v>0</v>
      </c>
      <c r="H502" s="858">
        <f t="shared" si="79"/>
        <v>0</v>
      </c>
      <c r="I502" s="993">
        <f t="shared" si="80"/>
        <v>0</v>
      </c>
      <c r="J502" s="924">
        <f t="shared" si="81"/>
        <v>0</v>
      </c>
      <c r="K502" s="2409"/>
      <c r="L502" s="2412">
        <f t="shared" si="82"/>
        <v>0</v>
      </c>
      <c r="M502" s="2189">
        <f t="shared" si="83"/>
        <v>0</v>
      </c>
    </row>
    <row r="503" spans="1:13" x14ac:dyDescent="0.25">
      <c r="A503" s="2281">
        <f t="shared" ref="A503:B503" si="96">A502+1</f>
        <v>74</v>
      </c>
      <c r="B503" s="2287">
        <f t="shared" si="96"/>
        <v>69</v>
      </c>
      <c r="C503" s="869">
        <f t="shared" si="74"/>
        <v>0</v>
      </c>
      <c r="D503" s="837">
        <f t="shared" si="75"/>
        <v>0</v>
      </c>
      <c r="E503" s="869">
        <f t="shared" si="76"/>
        <v>0</v>
      </c>
      <c r="F503" s="868">
        <f t="shared" si="77"/>
        <v>0</v>
      </c>
      <c r="G503" s="857">
        <f t="shared" si="78"/>
        <v>0</v>
      </c>
      <c r="H503" s="858">
        <f t="shared" si="79"/>
        <v>0</v>
      </c>
      <c r="I503" s="993">
        <f t="shared" si="80"/>
        <v>0</v>
      </c>
      <c r="J503" s="924">
        <f t="shared" si="81"/>
        <v>0</v>
      </c>
      <c r="K503" s="2409"/>
      <c r="L503" s="2412">
        <f t="shared" si="82"/>
        <v>0</v>
      </c>
      <c r="M503" s="2189">
        <f t="shared" si="83"/>
        <v>0</v>
      </c>
    </row>
    <row r="504" spans="1:13" x14ac:dyDescent="0.25">
      <c r="A504" s="2281">
        <f t="shared" ref="A504:B504" si="97">A503+1</f>
        <v>75</v>
      </c>
      <c r="B504" s="2287">
        <f t="shared" si="97"/>
        <v>70</v>
      </c>
      <c r="C504" s="869">
        <f t="shared" si="74"/>
        <v>638.01947499373159</v>
      </c>
      <c r="D504" s="837">
        <f t="shared" si="75"/>
        <v>0</v>
      </c>
      <c r="E504" s="869">
        <f t="shared" si="76"/>
        <v>0</v>
      </c>
      <c r="F504" s="868">
        <f t="shared" si="77"/>
        <v>0</v>
      </c>
      <c r="G504" s="857">
        <f t="shared" si="78"/>
        <v>0</v>
      </c>
      <c r="H504" s="858">
        <f t="shared" si="79"/>
        <v>0</v>
      </c>
      <c r="I504" s="993">
        <f t="shared" si="80"/>
        <v>0</v>
      </c>
      <c r="J504" s="924">
        <f t="shared" si="81"/>
        <v>0</v>
      </c>
      <c r="K504" s="2409"/>
      <c r="L504" s="2412">
        <f t="shared" si="82"/>
        <v>638.01947499373159</v>
      </c>
      <c r="M504" s="2189">
        <f t="shared" si="83"/>
        <v>0</v>
      </c>
    </row>
    <row r="505" spans="1:13" x14ac:dyDescent="0.25">
      <c r="A505" s="2281">
        <f t="shared" ref="A505:B505" si="98">A504+1</f>
        <v>76</v>
      </c>
      <c r="B505" s="2287">
        <f t="shared" si="98"/>
        <v>71</v>
      </c>
      <c r="C505" s="869">
        <f t="shared" si="74"/>
        <v>660.9881760935059</v>
      </c>
      <c r="D505" s="837">
        <f t="shared" si="75"/>
        <v>0</v>
      </c>
      <c r="E505" s="869">
        <f t="shared" si="76"/>
        <v>0</v>
      </c>
      <c r="F505" s="868">
        <f t="shared" si="77"/>
        <v>0</v>
      </c>
      <c r="G505" s="857">
        <f t="shared" si="78"/>
        <v>0</v>
      </c>
      <c r="H505" s="858">
        <f t="shared" si="79"/>
        <v>0</v>
      </c>
      <c r="I505" s="993">
        <f t="shared" si="80"/>
        <v>0</v>
      </c>
      <c r="J505" s="924">
        <f t="shared" si="81"/>
        <v>0</v>
      </c>
      <c r="K505" s="2409"/>
      <c r="L505" s="2412">
        <f t="shared" si="82"/>
        <v>660.9881760935059</v>
      </c>
      <c r="M505" s="2189">
        <f t="shared" si="83"/>
        <v>0</v>
      </c>
    </row>
    <row r="506" spans="1:13" x14ac:dyDescent="0.25">
      <c r="A506" s="2281">
        <f t="shared" ref="A506:B506" si="99">A505+1</f>
        <v>77</v>
      </c>
      <c r="B506" s="2287">
        <f t="shared" si="99"/>
        <v>72</v>
      </c>
      <c r="C506" s="869">
        <f t="shared" si="74"/>
        <v>684.78375043287224</v>
      </c>
      <c r="D506" s="837">
        <f t="shared" si="75"/>
        <v>592.05983886475667</v>
      </c>
      <c r="E506" s="869">
        <f t="shared" si="76"/>
        <v>0</v>
      </c>
      <c r="F506" s="868">
        <f t="shared" si="77"/>
        <v>0</v>
      </c>
      <c r="G506" s="857">
        <f t="shared" si="78"/>
        <v>0</v>
      </c>
      <c r="H506" s="858">
        <f t="shared" si="79"/>
        <v>0</v>
      </c>
      <c r="I506" s="993">
        <f t="shared" si="80"/>
        <v>0</v>
      </c>
      <c r="J506" s="924">
        <f t="shared" si="81"/>
        <v>592.05983886475667</v>
      </c>
      <c r="K506" s="2409"/>
      <c r="L506" s="2412">
        <f t="shared" si="82"/>
        <v>684.78375043287224</v>
      </c>
      <c r="M506" s="2189">
        <f t="shared" si="83"/>
        <v>1184.1196777295133</v>
      </c>
    </row>
    <row r="507" spans="1:13" x14ac:dyDescent="0.25">
      <c r="A507" s="2281">
        <f t="shared" ref="A507:B507" si="100">A506+1</f>
        <v>78</v>
      </c>
      <c r="B507" s="2287">
        <f t="shared" si="100"/>
        <v>73</v>
      </c>
      <c r="C507" s="869">
        <f t="shared" si="74"/>
        <v>709.43596544845559</v>
      </c>
      <c r="D507" s="837">
        <f t="shared" si="75"/>
        <v>613.49240503166084</v>
      </c>
      <c r="E507" s="869">
        <f t="shared" si="76"/>
        <v>0</v>
      </c>
      <c r="F507" s="868">
        <f t="shared" si="77"/>
        <v>0</v>
      </c>
      <c r="G507" s="857">
        <f t="shared" si="78"/>
        <v>0</v>
      </c>
      <c r="H507" s="858">
        <f t="shared" si="79"/>
        <v>0</v>
      </c>
      <c r="I507" s="993">
        <f t="shared" si="80"/>
        <v>0</v>
      </c>
      <c r="J507" s="924">
        <f t="shared" si="81"/>
        <v>613.49240503166084</v>
      </c>
      <c r="K507" s="2409"/>
      <c r="L507" s="2412">
        <f t="shared" si="82"/>
        <v>709.43596544845559</v>
      </c>
      <c r="M507" s="2189">
        <f t="shared" si="83"/>
        <v>1226.9848100633217</v>
      </c>
    </row>
    <row r="508" spans="1:13" x14ac:dyDescent="0.25">
      <c r="A508" s="2281">
        <f t="shared" ref="A508:B508" si="101">A507+1</f>
        <v>79</v>
      </c>
      <c r="B508" s="2287">
        <f t="shared" si="101"/>
        <v>74</v>
      </c>
      <c r="C508" s="869">
        <f t="shared" si="74"/>
        <v>734.97566020459999</v>
      </c>
      <c r="D508" s="837">
        <f t="shared" si="75"/>
        <v>635.70083009380699</v>
      </c>
      <c r="E508" s="869">
        <f t="shared" si="76"/>
        <v>0</v>
      </c>
      <c r="F508" s="868">
        <f t="shared" si="77"/>
        <v>0</v>
      </c>
      <c r="G508" s="857">
        <f t="shared" si="78"/>
        <v>0</v>
      </c>
      <c r="H508" s="858">
        <f t="shared" si="79"/>
        <v>0</v>
      </c>
      <c r="I508" s="993">
        <f t="shared" si="80"/>
        <v>0</v>
      </c>
      <c r="J508" s="924">
        <f t="shared" si="81"/>
        <v>635.70083009380699</v>
      </c>
      <c r="K508" s="2409"/>
      <c r="L508" s="2412">
        <f t="shared" si="82"/>
        <v>734.97566020459999</v>
      </c>
      <c r="M508" s="2189">
        <f t="shared" si="83"/>
        <v>1271.401660187614</v>
      </c>
    </row>
    <row r="509" spans="1:13" x14ac:dyDescent="0.25">
      <c r="A509" s="2281">
        <f t="shared" ref="A509:B509" si="102">A508+1</f>
        <v>80</v>
      </c>
      <c r="B509" s="2287">
        <f t="shared" si="102"/>
        <v>75</v>
      </c>
      <c r="C509" s="869">
        <f t="shared" si="74"/>
        <v>761.43478397196566</v>
      </c>
      <c r="D509" s="837">
        <f t="shared" si="75"/>
        <v>658.7132001432027</v>
      </c>
      <c r="E509" s="869">
        <f t="shared" si="76"/>
        <v>0</v>
      </c>
      <c r="F509" s="868">
        <f t="shared" si="77"/>
        <v>0</v>
      </c>
      <c r="G509" s="857">
        <f t="shared" si="78"/>
        <v>0</v>
      </c>
      <c r="H509" s="858">
        <f t="shared" si="79"/>
        <v>0</v>
      </c>
      <c r="I509" s="993">
        <f t="shared" si="80"/>
        <v>0</v>
      </c>
      <c r="J509" s="924">
        <f t="shared" si="81"/>
        <v>658.7132001432027</v>
      </c>
      <c r="K509" s="2409"/>
      <c r="L509" s="2412">
        <f t="shared" si="82"/>
        <v>761.43478397196566</v>
      </c>
      <c r="M509" s="2189">
        <f t="shared" si="83"/>
        <v>1317.4264002864054</v>
      </c>
    </row>
    <row r="510" spans="1:13" x14ac:dyDescent="0.25">
      <c r="A510" s="2281">
        <f t="shared" ref="A510:B510" si="103">A509+1</f>
        <v>81</v>
      </c>
      <c r="B510" s="2287">
        <f t="shared" si="103"/>
        <v>76</v>
      </c>
      <c r="C510" s="869">
        <f t="shared" si="74"/>
        <v>788.84643619495648</v>
      </c>
      <c r="D510" s="837">
        <f t="shared" si="75"/>
        <v>0</v>
      </c>
      <c r="E510" s="869">
        <f t="shared" si="76"/>
        <v>0</v>
      </c>
      <c r="F510" s="868">
        <f t="shared" si="77"/>
        <v>0</v>
      </c>
      <c r="G510" s="857">
        <f t="shared" si="78"/>
        <v>0</v>
      </c>
      <c r="H510" s="858">
        <f t="shared" si="79"/>
        <v>0</v>
      </c>
      <c r="I510" s="993">
        <f t="shared" si="80"/>
        <v>0</v>
      </c>
      <c r="J510" s="924">
        <f t="shared" si="81"/>
        <v>0</v>
      </c>
      <c r="K510" s="2409"/>
      <c r="L510" s="2412">
        <f t="shared" si="82"/>
        <v>788.84643619495648</v>
      </c>
      <c r="M510" s="2189">
        <f t="shared" si="83"/>
        <v>0</v>
      </c>
    </row>
    <row r="511" spans="1:13" x14ac:dyDescent="0.25">
      <c r="A511" s="2281">
        <f t="shared" ref="A511:B511" si="104">A510+1</f>
        <v>82</v>
      </c>
      <c r="B511" s="2287">
        <f t="shared" si="104"/>
        <v>77</v>
      </c>
      <c r="C511" s="869">
        <f t="shared" si="74"/>
        <v>817.24490789797494</v>
      </c>
      <c r="D511" s="837">
        <f t="shared" si="75"/>
        <v>0</v>
      </c>
      <c r="E511" s="869">
        <f t="shared" si="76"/>
        <v>0</v>
      </c>
      <c r="F511" s="868">
        <f t="shared" si="77"/>
        <v>0</v>
      </c>
      <c r="G511" s="857">
        <f t="shared" si="78"/>
        <v>0</v>
      </c>
      <c r="H511" s="858">
        <f t="shared" si="79"/>
        <v>0</v>
      </c>
      <c r="I511" s="993">
        <f t="shared" si="80"/>
        <v>0</v>
      </c>
      <c r="J511" s="924">
        <f t="shared" si="81"/>
        <v>0</v>
      </c>
      <c r="K511" s="2409"/>
      <c r="L511" s="2412">
        <f t="shared" si="82"/>
        <v>817.24490789797494</v>
      </c>
      <c r="M511" s="2189">
        <f t="shared" si="83"/>
        <v>0</v>
      </c>
    </row>
    <row r="512" spans="1:13" x14ac:dyDescent="0.25">
      <c r="A512" s="2281">
        <f t="shared" ref="A512:B512" si="105">A511+1</f>
        <v>83</v>
      </c>
      <c r="B512" s="2287">
        <f t="shared" si="105"/>
        <v>78</v>
      </c>
      <c r="C512" s="869">
        <f t="shared" si="74"/>
        <v>846.66572458230212</v>
      </c>
      <c r="D512" s="837">
        <f t="shared" si="75"/>
        <v>0</v>
      </c>
      <c r="E512" s="869">
        <f t="shared" si="76"/>
        <v>0</v>
      </c>
      <c r="F512" s="868">
        <f t="shared" si="77"/>
        <v>0</v>
      </c>
      <c r="G512" s="857">
        <f t="shared" si="78"/>
        <v>0</v>
      </c>
      <c r="H512" s="858">
        <f t="shared" si="79"/>
        <v>0</v>
      </c>
      <c r="I512" s="993">
        <f t="shared" si="80"/>
        <v>0</v>
      </c>
      <c r="J512" s="924">
        <f t="shared" si="81"/>
        <v>0</v>
      </c>
      <c r="K512" s="2409"/>
      <c r="L512" s="2412">
        <f t="shared" si="82"/>
        <v>846.66572458230212</v>
      </c>
      <c r="M512" s="2189">
        <f t="shared" si="83"/>
        <v>0</v>
      </c>
    </row>
    <row r="513" spans="1:13" x14ac:dyDescent="0.25">
      <c r="A513" s="2281">
        <f t="shared" ref="A513:B513" si="106">A512+1</f>
        <v>84</v>
      </c>
      <c r="B513" s="2287">
        <f t="shared" si="106"/>
        <v>79</v>
      </c>
      <c r="C513" s="869">
        <f t="shared" si="74"/>
        <v>877.14569066726506</v>
      </c>
      <c r="D513" s="837">
        <f t="shared" si="75"/>
        <v>0</v>
      </c>
      <c r="E513" s="869">
        <f t="shared" si="76"/>
        <v>0</v>
      </c>
      <c r="F513" s="868">
        <f t="shared" si="77"/>
        <v>0</v>
      </c>
      <c r="G513" s="857">
        <f t="shared" si="78"/>
        <v>0</v>
      </c>
      <c r="H513" s="858">
        <f t="shared" si="79"/>
        <v>0</v>
      </c>
      <c r="I513" s="993">
        <f t="shared" si="80"/>
        <v>0</v>
      </c>
      <c r="J513" s="924">
        <f t="shared" si="81"/>
        <v>0</v>
      </c>
      <c r="K513" s="2409"/>
      <c r="L513" s="2412">
        <f t="shared" si="82"/>
        <v>877.14569066726506</v>
      </c>
      <c r="M513" s="2189">
        <f t="shared" si="83"/>
        <v>0</v>
      </c>
    </row>
    <row r="514" spans="1:13" x14ac:dyDescent="0.25">
      <c r="A514" s="2281">
        <f t="shared" ref="A514:B514" si="107">A513+1</f>
        <v>85</v>
      </c>
      <c r="B514" s="2287">
        <f t="shared" si="107"/>
        <v>80</v>
      </c>
      <c r="C514" s="869">
        <f t="shared" si="74"/>
        <v>908.72293553128668</v>
      </c>
      <c r="D514" s="837">
        <f t="shared" si="75"/>
        <v>0</v>
      </c>
      <c r="E514" s="869">
        <f t="shared" si="76"/>
        <v>0</v>
      </c>
      <c r="F514" s="868">
        <f t="shared" si="77"/>
        <v>0</v>
      </c>
      <c r="G514" s="857">
        <f t="shared" si="78"/>
        <v>0</v>
      </c>
      <c r="H514" s="858">
        <f t="shared" si="79"/>
        <v>0</v>
      </c>
      <c r="I514" s="993">
        <f t="shared" si="80"/>
        <v>0</v>
      </c>
      <c r="J514" s="924">
        <f t="shared" si="81"/>
        <v>0</v>
      </c>
      <c r="K514" s="2409"/>
      <c r="L514" s="2412">
        <f t="shared" si="82"/>
        <v>908.72293553128668</v>
      </c>
      <c r="M514" s="2189">
        <f t="shared" si="83"/>
        <v>0</v>
      </c>
    </row>
    <row r="515" spans="1:13" x14ac:dyDescent="0.25">
      <c r="A515" s="2281">
        <f t="shared" ref="A515:B515" si="108">A514+1</f>
        <v>86</v>
      </c>
      <c r="B515" s="2287">
        <f t="shared" si="108"/>
        <v>81</v>
      </c>
      <c r="C515" s="869">
        <f t="shared" si="74"/>
        <v>0</v>
      </c>
      <c r="D515" s="837">
        <f t="shared" si="75"/>
        <v>0</v>
      </c>
      <c r="E515" s="869">
        <f t="shared" si="76"/>
        <v>0</v>
      </c>
      <c r="F515" s="868">
        <f t="shared" si="77"/>
        <v>0</v>
      </c>
      <c r="G515" s="857">
        <f t="shared" si="78"/>
        <v>0</v>
      </c>
      <c r="H515" s="858">
        <f t="shared" si="79"/>
        <v>0</v>
      </c>
      <c r="I515" s="993">
        <f t="shared" si="80"/>
        <v>0</v>
      </c>
      <c r="J515" s="924">
        <f t="shared" si="81"/>
        <v>0</v>
      </c>
      <c r="K515" s="2409"/>
      <c r="L515" s="2412">
        <f t="shared" si="82"/>
        <v>0</v>
      </c>
      <c r="M515" s="2189">
        <f t="shared" si="83"/>
        <v>0</v>
      </c>
    </row>
    <row r="516" spans="1:13" x14ac:dyDescent="0.25">
      <c r="A516" s="2281">
        <f t="shared" ref="A516:B516" si="109">A515+1</f>
        <v>87</v>
      </c>
      <c r="B516" s="2287">
        <f t="shared" si="109"/>
        <v>82</v>
      </c>
      <c r="C516" s="869">
        <f t="shared" si="74"/>
        <v>0</v>
      </c>
      <c r="D516" s="837">
        <f t="shared" si="75"/>
        <v>0</v>
      </c>
      <c r="E516" s="869">
        <f t="shared" si="76"/>
        <v>0</v>
      </c>
      <c r="F516" s="868">
        <f t="shared" si="77"/>
        <v>0</v>
      </c>
      <c r="G516" s="857">
        <f t="shared" si="78"/>
        <v>0</v>
      </c>
      <c r="H516" s="858">
        <f t="shared" si="79"/>
        <v>0</v>
      </c>
      <c r="I516" s="993">
        <f t="shared" si="80"/>
        <v>0</v>
      </c>
      <c r="J516" s="924">
        <f t="shared" si="81"/>
        <v>0</v>
      </c>
      <c r="K516" s="2409"/>
      <c r="L516" s="2412">
        <f t="shared" si="82"/>
        <v>0</v>
      </c>
      <c r="M516" s="2189">
        <f t="shared" si="83"/>
        <v>0</v>
      </c>
    </row>
    <row r="517" spans="1:13" x14ac:dyDescent="0.25">
      <c r="A517" s="2281">
        <f t="shared" ref="A517:B517" si="110">A516+1</f>
        <v>88</v>
      </c>
      <c r="B517" s="2287">
        <f t="shared" si="110"/>
        <v>83</v>
      </c>
      <c r="C517" s="869">
        <f t="shared" si="74"/>
        <v>0</v>
      </c>
      <c r="D517" s="837">
        <f t="shared" si="75"/>
        <v>0</v>
      </c>
      <c r="E517" s="869">
        <f t="shared" si="76"/>
        <v>0</v>
      </c>
      <c r="F517" s="868">
        <f t="shared" si="77"/>
        <v>0</v>
      </c>
      <c r="G517" s="857">
        <f t="shared" si="78"/>
        <v>0</v>
      </c>
      <c r="H517" s="858">
        <f t="shared" si="79"/>
        <v>0</v>
      </c>
      <c r="I517" s="993">
        <f t="shared" si="80"/>
        <v>0</v>
      </c>
      <c r="J517" s="924">
        <f t="shared" si="81"/>
        <v>0</v>
      </c>
      <c r="K517" s="2409"/>
      <c r="L517" s="2412">
        <f t="shared" si="82"/>
        <v>0</v>
      </c>
      <c r="M517" s="2189">
        <f t="shared" si="83"/>
        <v>0</v>
      </c>
    </row>
    <row r="518" spans="1:13" x14ac:dyDescent="0.25">
      <c r="A518" s="2281">
        <f t="shared" ref="A518:B518" si="111">A517+1</f>
        <v>89</v>
      </c>
      <c r="B518" s="2287">
        <f t="shared" si="111"/>
        <v>84</v>
      </c>
      <c r="C518" s="869">
        <f t="shared" si="74"/>
        <v>0</v>
      </c>
      <c r="D518" s="837">
        <f t="shared" si="75"/>
        <v>0</v>
      </c>
      <c r="E518" s="869">
        <f t="shared" si="76"/>
        <v>0</v>
      </c>
      <c r="F518" s="868">
        <f t="shared" si="77"/>
        <v>0</v>
      </c>
      <c r="G518" s="857">
        <f t="shared" si="78"/>
        <v>0</v>
      </c>
      <c r="H518" s="858">
        <f t="shared" si="79"/>
        <v>0</v>
      </c>
      <c r="I518" s="993">
        <f t="shared" si="80"/>
        <v>0</v>
      </c>
      <c r="J518" s="924">
        <f t="shared" si="81"/>
        <v>0</v>
      </c>
      <c r="K518" s="2409"/>
      <c r="L518" s="2412">
        <f t="shared" si="82"/>
        <v>0</v>
      </c>
      <c r="M518" s="2189">
        <f t="shared" si="83"/>
        <v>0</v>
      </c>
    </row>
    <row r="519" spans="1:13" x14ac:dyDescent="0.25">
      <c r="A519" s="2281">
        <f t="shared" ref="A519:B519" si="112">A518+1</f>
        <v>90</v>
      </c>
      <c r="B519" s="2287">
        <f t="shared" si="112"/>
        <v>85</v>
      </c>
      <c r="C519" s="869">
        <f t="shared" si="74"/>
        <v>0</v>
      </c>
      <c r="D519" s="837">
        <f t="shared" si="75"/>
        <v>0</v>
      </c>
      <c r="E519" s="869">
        <f t="shared" si="76"/>
        <v>0</v>
      </c>
      <c r="F519" s="868">
        <f t="shared" si="77"/>
        <v>0</v>
      </c>
      <c r="G519" s="857">
        <f t="shared" si="78"/>
        <v>0</v>
      </c>
      <c r="H519" s="858">
        <f t="shared" si="79"/>
        <v>0</v>
      </c>
      <c r="I519" s="993">
        <f t="shared" si="80"/>
        <v>0</v>
      </c>
      <c r="J519" s="924">
        <f t="shared" si="81"/>
        <v>0</v>
      </c>
      <c r="K519" s="2409"/>
      <c r="L519" s="2412">
        <f t="shared" si="82"/>
        <v>0</v>
      </c>
      <c r="M519" s="2189">
        <f t="shared" si="83"/>
        <v>0</v>
      </c>
    </row>
    <row r="520" spans="1:13" x14ac:dyDescent="0.25">
      <c r="A520" s="2281">
        <f t="shared" ref="A520:B520" si="113">A519+1</f>
        <v>91</v>
      </c>
      <c r="B520" s="2287">
        <f t="shared" si="113"/>
        <v>86</v>
      </c>
      <c r="C520" s="869">
        <f t="shared" si="74"/>
        <v>0</v>
      </c>
      <c r="D520" s="837">
        <f t="shared" si="75"/>
        <v>0</v>
      </c>
      <c r="E520" s="869">
        <f t="shared" si="76"/>
        <v>0</v>
      </c>
      <c r="F520" s="868">
        <f t="shared" si="77"/>
        <v>0</v>
      </c>
      <c r="G520" s="857">
        <f t="shared" si="78"/>
        <v>0</v>
      </c>
      <c r="H520" s="858">
        <f t="shared" si="79"/>
        <v>0</v>
      </c>
      <c r="I520" s="993">
        <f t="shared" si="80"/>
        <v>0</v>
      </c>
      <c r="J520" s="924">
        <f t="shared" si="81"/>
        <v>0</v>
      </c>
      <c r="K520" s="2409"/>
      <c r="L520" s="2412">
        <f t="shared" si="82"/>
        <v>0</v>
      </c>
      <c r="M520" s="2189">
        <f t="shared" si="83"/>
        <v>0</v>
      </c>
    </row>
    <row r="521" spans="1:13" x14ac:dyDescent="0.25">
      <c r="A521" s="2281">
        <f t="shared" ref="A521:B521" si="114">A520+1</f>
        <v>92</v>
      </c>
      <c r="B521" s="2287">
        <f t="shared" si="114"/>
        <v>87</v>
      </c>
      <c r="C521" s="869">
        <f t="shared" si="74"/>
        <v>0</v>
      </c>
      <c r="D521" s="837">
        <f t="shared" si="75"/>
        <v>0</v>
      </c>
      <c r="E521" s="869">
        <f t="shared" si="76"/>
        <v>0</v>
      </c>
      <c r="F521" s="868">
        <f t="shared" si="77"/>
        <v>0</v>
      </c>
      <c r="G521" s="857">
        <f t="shared" si="78"/>
        <v>0</v>
      </c>
      <c r="H521" s="858">
        <f t="shared" si="79"/>
        <v>0</v>
      </c>
      <c r="I521" s="993">
        <f t="shared" si="80"/>
        <v>0</v>
      </c>
      <c r="J521" s="924">
        <f t="shared" si="81"/>
        <v>0</v>
      </c>
      <c r="K521" s="2409"/>
      <c r="L521" s="2412">
        <f t="shared" si="82"/>
        <v>0</v>
      </c>
      <c r="M521" s="2189">
        <f t="shared" si="83"/>
        <v>0</v>
      </c>
    </row>
    <row r="522" spans="1:13" x14ac:dyDescent="0.25">
      <c r="A522" s="2281">
        <f t="shared" ref="A522:B522" si="115">A521+1</f>
        <v>93</v>
      </c>
      <c r="B522" s="2287">
        <f t="shared" si="115"/>
        <v>88</v>
      </c>
      <c r="C522" s="869">
        <f t="shared" si="74"/>
        <v>0</v>
      </c>
      <c r="D522" s="837">
        <f t="shared" si="75"/>
        <v>0</v>
      </c>
      <c r="E522" s="869">
        <f t="shared" si="76"/>
        <v>0</v>
      </c>
      <c r="F522" s="868">
        <f t="shared" si="77"/>
        <v>0</v>
      </c>
      <c r="G522" s="857">
        <f t="shared" si="78"/>
        <v>0</v>
      </c>
      <c r="H522" s="858">
        <f t="shared" si="79"/>
        <v>0</v>
      </c>
      <c r="I522" s="993">
        <f t="shared" si="80"/>
        <v>0</v>
      </c>
      <c r="J522" s="924">
        <f t="shared" si="81"/>
        <v>0</v>
      </c>
      <c r="K522" s="2409"/>
      <c r="L522" s="2412">
        <f t="shared" si="82"/>
        <v>0</v>
      </c>
      <c r="M522" s="2189">
        <f t="shared" si="83"/>
        <v>0</v>
      </c>
    </row>
    <row r="523" spans="1:13" x14ac:dyDescent="0.25">
      <c r="A523" s="2281">
        <f t="shared" ref="A523:B523" si="116">A522+1</f>
        <v>94</v>
      </c>
      <c r="B523" s="2287">
        <f t="shared" si="116"/>
        <v>89</v>
      </c>
      <c r="C523" s="869">
        <f t="shared" si="74"/>
        <v>0</v>
      </c>
      <c r="D523" s="837">
        <f t="shared" si="75"/>
        <v>0</v>
      </c>
      <c r="E523" s="869">
        <f t="shared" si="76"/>
        <v>0</v>
      </c>
      <c r="F523" s="868">
        <f t="shared" si="77"/>
        <v>0</v>
      </c>
      <c r="G523" s="857">
        <f t="shared" si="78"/>
        <v>0</v>
      </c>
      <c r="H523" s="858">
        <f t="shared" si="79"/>
        <v>0</v>
      </c>
      <c r="I523" s="993">
        <f t="shared" si="80"/>
        <v>0</v>
      </c>
      <c r="J523" s="924">
        <f t="shared" si="81"/>
        <v>0</v>
      </c>
      <c r="K523" s="2409"/>
      <c r="L523" s="2412">
        <f t="shared" si="82"/>
        <v>0</v>
      </c>
      <c r="M523" s="2189">
        <f t="shared" si="83"/>
        <v>0</v>
      </c>
    </row>
    <row r="524" spans="1:13" x14ac:dyDescent="0.25">
      <c r="A524" s="2281">
        <f t="shared" ref="A524:B524" si="117">A523+1</f>
        <v>95</v>
      </c>
      <c r="B524" s="2287">
        <f t="shared" si="117"/>
        <v>90</v>
      </c>
      <c r="C524" s="869">
        <f t="shared" si="74"/>
        <v>0</v>
      </c>
      <c r="D524" s="837">
        <f t="shared" si="75"/>
        <v>0</v>
      </c>
      <c r="E524" s="869">
        <f t="shared" si="76"/>
        <v>0</v>
      </c>
      <c r="F524" s="868">
        <f t="shared" si="77"/>
        <v>0</v>
      </c>
      <c r="G524" s="857">
        <f t="shared" si="78"/>
        <v>0</v>
      </c>
      <c r="H524" s="858">
        <f t="shared" si="79"/>
        <v>0</v>
      </c>
      <c r="I524" s="993">
        <f t="shared" si="80"/>
        <v>0</v>
      </c>
      <c r="J524" s="924">
        <f t="shared" si="81"/>
        <v>0</v>
      </c>
      <c r="K524" s="2409"/>
      <c r="L524" s="2412">
        <f t="shared" si="82"/>
        <v>0</v>
      </c>
      <c r="M524" s="2189">
        <f t="shared" si="83"/>
        <v>0</v>
      </c>
    </row>
    <row r="525" spans="1:13" ht="15.75" thickBot="1" x14ac:dyDescent="0.3">
      <c r="A525" s="2285">
        <f t="shared" ref="A525:B525" si="118">A524+1</f>
        <v>96</v>
      </c>
      <c r="B525" s="2288">
        <f t="shared" si="118"/>
        <v>91</v>
      </c>
      <c r="C525" s="1975">
        <f t="shared" si="74"/>
        <v>0</v>
      </c>
      <c r="D525" s="1885">
        <f t="shared" si="75"/>
        <v>0</v>
      </c>
      <c r="E525" s="878">
        <f t="shared" si="76"/>
        <v>0</v>
      </c>
      <c r="F525" s="1896">
        <f t="shared" si="77"/>
        <v>0</v>
      </c>
      <c r="G525" s="921">
        <f t="shared" si="78"/>
        <v>0</v>
      </c>
      <c r="H525" s="1433">
        <f t="shared" si="79"/>
        <v>0</v>
      </c>
      <c r="I525" s="1972">
        <f t="shared" si="80"/>
        <v>0</v>
      </c>
      <c r="J525" s="1973">
        <f t="shared" si="81"/>
        <v>0</v>
      </c>
      <c r="K525" s="1948"/>
      <c r="L525" s="2413">
        <f t="shared" si="82"/>
        <v>0</v>
      </c>
      <c r="M525" s="2191">
        <f t="shared" si="83"/>
        <v>0</v>
      </c>
    </row>
    <row r="526" spans="1:13" ht="15.75" thickTop="1" x14ac:dyDescent="0.25">
      <c r="A526" s="2013"/>
      <c r="B526" s="1341"/>
      <c r="C526" s="1341"/>
      <c r="D526" s="1341"/>
      <c r="E526" s="1341"/>
      <c r="F526" s="1341"/>
      <c r="G526" s="1341"/>
      <c r="H526" s="1341"/>
      <c r="I526" s="1341"/>
      <c r="J526" s="1341"/>
      <c r="K526" s="1341"/>
      <c r="L526" s="1341"/>
      <c r="M526" s="1342"/>
    </row>
    <row r="527" spans="1:13" ht="15.75" thickBot="1" x14ac:dyDescent="0.3">
      <c r="A527" s="2073"/>
      <c r="B527" s="1314"/>
      <c r="C527" s="1314"/>
      <c r="D527" s="1314"/>
      <c r="E527" s="1314"/>
      <c r="F527" s="1314"/>
      <c r="G527" s="1314"/>
      <c r="H527" s="1314"/>
      <c r="I527" s="1314"/>
      <c r="J527" s="1314"/>
      <c r="K527" s="1314"/>
      <c r="L527" s="1314"/>
      <c r="M527" s="1315"/>
    </row>
    <row r="528" spans="1:13" ht="19.5" thickTop="1" x14ac:dyDescent="0.3">
      <c r="A528" s="1340" t="s">
        <v>1993</v>
      </c>
      <c r="B528" s="1341"/>
      <c r="C528" s="1341"/>
      <c r="D528" s="1341"/>
      <c r="E528" s="2282"/>
      <c r="F528" s="1341"/>
      <c r="G528" s="1341"/>
      <c r="H528" s="1341"/>
      <c r="I528" s="1341"/>
      <c r="J528" s="1341"/>
      <c r="K528" s="1341"/>
      <c r="L528" s="1341"/>
      <c r="M528" s="1342"/>
    </row>
    <row r="529" spans="1:13" x14ac:dyDescent="0.25">
      <c r="A529" s="1336" t="s">
        <v>2890</v>
      </c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1311"/>
    </row>
    <row r="530" spans="1:13" x14ac:dyDescent="0.25">
      <c r="A530" s="1336" t="s">
        <v>2028</v>
      </c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1311"/>
    </row>
    <row r="531" spans="1:13" x14ac:dyDescent="0.25">
      <c r="A531" s="1336"/>
      <c r="B531" s="215" t="s">
        <v>1958</v>
      </c>
      <c r="C531" s="6"/>
      <c r="D531" s="6"/>
      <c r="F531" s="6" t="s">
        <v>2220</v>
      </c>
      <c r="G531" s="6"/>
      <c r="H531" s="6"/>
      <c r="I531" s="6"/>
      <c r="K531" s="6"/>
      <c r="L531" s="6"/>
      <c r="M531" s="1311"/>
    </row>
    <row r="532" spans="1:13" ht="15.75" thickBot="1" x14ac:dyDescent="0.3">
      <c r="A532" s="1336"/>
      <c r="B532" s="215"/>
      <c r="C532" s="6"/>
      <c r="D532" s="6"/>
      <c r="F532" s="6" t="s">
        <v>2221</v>
      </c>
      <c r="G532" s="6"/>
      <c r="M532" s="1311"/>
    </row>
    <row r="533" spans="1:13" ht="62.25" thickTop="1" thickBot="1" x14ac:dyDescent="0.3">
      <c r="A533" s="313" t="s">
        <v>142</v>
      </c>
      <c r="B533" s="407" t="s">
        <v>143</v>
      </c>
      <c r="C533" s="512" t="s">
        <v>1995</v>
      </c>
      <c r="D533" s="512" t="s">
        <v>1996</v>
      </c>
      <c r="E533" s="453" t="s">
        <v>1997</v>
      </c>
      <c r="F533" s="453" t="s">
        <v>1999</v>
      </c>
      <c r="G533" s="431" t="s">
        <v>1998</v>
      </c>
      <c r="H533" s="431" t="s">
        <v>2000</v>
      </c>
      <c r="I533" s="2279" t="s">
        <v>2001</v>
      </c>
      <c r="J533" s="2279" t="s">
        <v>2002</v>
      </c>
      <c r="K533" s="1946"/>
      <c r="L533" s="2410" t="s">
        <v>1994</v>
      </c>
      <c r="M533" s="2411" t="s">
        <v>1994</v>
      </c>
    </row>
    <row r="534" spans="1:13" ht="15.75" thickTop="1" x14ac:dyDescent="0.25">
      <c r="A534" s="1444">
        <f>'1. AgeData'!$D$30</f>
        <v>60</v>
      </c>
      <c r="B534" s="883">
        <f>'1. AgeData'!$D$31</f>
        <v>55</v>
      </c>
      <c r="C534" s="2574">
        <f>IF('S. Setup'!$J$59&lt;&gt;"yes",0,SUMIF($D$634:$D$736,("="&amp;A534),$E$634:$E$736))</f>
        <v>0</v>
      </c>
      <c r="D534" s="2634">
        <f>IF('S. Setup'!$J$59&lt;&gt;"yes",0,SUMIF($H$634:$H$736,("="&amp;B534),$I$634:$I$736))</f>
        <v>0</v>
      </c>
      <c r="E534" s="865">
        <f>IF('S. Setup'!$J$59&lt;&gt;"yes",0,SUMIF($J$634:$J$736,("="&amp;A534),$K$634:$K$736))</f>
        <v>0</v>
      </c>
      <c r="F534" s="1583">
        <f>IF('S. Setup'!$J$59&lt;&gt;"yes",0,SUMIF($L$634:$L$736,("="&amp;B534),$M$634:$M$736))</f>
        <v>0</v>
      </c>
      <c r="G534" s="857">
        <f>IF('S. Setup'!$J$59&lt;&gt;"yes",0,SUMIF($B$742:$B$844,("="&amp;A534),$C$742:$C$844))</f>
        <v>0</v>
      </c>
      <c r="H534" s="858">
        <f>IF('S. Setup'!$J$59&lt;&gt;"yes",0,SUMIF($D$742:$D$844,("="&amp;B534),$E$742:$E$844))</f>
        <v>0</v>
      </c>
      <c r="I534" s="993">
        <f>IF('S. Setup'!$J$59&lt;&gt;"yes",0,SUMIF($H$742:$H$844,("="&amp;A534),$I$742:$I$844))</f>
        <v>0</v>
      </c>
      <c r="J534" s="924">
        <f>IF('S. Setup'!$J$59&lt;&gt;"yes",0,SUMIF($L$742:$L$844,("="&amp;B534),$M$742:$M$844))</f>
        <v>0</v>
      </c>
      <c r="K534" s="2409"/>
      <c r="L534" s="2412">
        <f>C534+E534+G534+I534</f>
        <v>0</v>
      </c>
      <c r="M534" s="2189">
        <f>D534+F534+H534+J534</f>
        <v>0</v>
      </c>
    </row>
    <row r="535" spans="1:13" x14ac:dyDescent="0.25">
      <c r="A535" s="2281">
        <f>A534+1</f>
        <v>61</v>
      </c>
      <c r="B535" s="2287">
        <f>B534+1</f>
        <v>56</v>
      </c>
      <c r="C535" s="2436">
        <f>IF('S. Setup'!$J$59&lt;&gt;"yes",0,SUMIF($D$634:$D$736,("="&amp;A535),$E$634:$E$736))</f>
        <v>0</v>
      </c>
      <c r="D535" s="2635">
        <f>IF('S. Setup'!$J$59&lt;&gt;"yes",0,SUMIF($H$634:$H$736,("="&amp;B535),$I$634:$I$736))</f>
        <v>0</v>
      </c>
      <c r="E535" s="869">
        <f>IF('S. Setup'!$J$59&lt;&gt;"yes",0,SUMIF($J$634:$J$736,("="&amp;A535),$K$634:$K$736))</f>
        <v>0</v>
      </c>
      <c r="F535" s="868">
        <f>IF('S. Setup'!$J$59&lt;&gt;"yes",0,SUMIF($L$634:$L$736,("="&amp;B535),$M$634:$M$736))</f>
        <v>0</v>
      </c>
      <c r="G535" s="857">
        <f>IF('S. Setup'!$J$59&lt;&gt;"yes",0,SUMIF($B$742:$B$844,("="&amp;A535),$C$742:$C$844))</f>
        <v>0</v>
      </c>
      <c r="H535" s="858">
        <f>IF('S. Setup'!$J$59&lt;&gt;"yes",0,SUMIF($D$742:$D$844,("="&amp;B535),$E$742:$E$844))</f>
        <v>0</v>
      </c>
      <c r="I535" s="993">
        <f>IF('S. Setup'!$J$59&lt;&gt;"yes",0,SUMIF($H$742:$H$844,("="&amp;A535),$I$742:$I$844))</f>
        <v>0</v>
      </c>
      <c r="J535" s="924">
        <f>IF('S. Setup'!$J$59&lt;&gt;"yes",0,SUMIF($L$742:$L$844,("="&amp;B535),$M$742:$M$844))</f>
        <v>0</v>
      </c>
      <c r="K535" s="2409"/>
      <c r="L535" s="2412">
        <f t="shared" ref="L535:L570" si="119">C535+E535+G535+I535</f>
        <v>0</v>
      </c>
      <c r="M535" s="2189">
        <f t="shared" ref="M535:M570" si="120">D535+F535+H535+J535</f>
        <v>0</v>
      </c>
    </row>
    <row r="536" spans="1:13" x14ac:dyDescent="0.25">
      <c r="A536" s="2281">
        <f t="shared" ref="A536:B536" si="121">A535+1</f>
        <v>62</v>
      </c>
      <c r="B536" s="2287">
        <f t="shared" si="121"/>
        <v>57</v>
      </c>
      <c r="C536" s="2436">
        <f>IF('S. Setup'!$J$59&lt;&gt;"yes",0,SUMIF($D$634:$D$736,("="&amp;A536),$E$634:$E$736))</f>
        <v>0</v>
      </c>
      <c r="D536" s="2635">
        <f>IF('S. Setup'!$J$59&lt;&gt;"yes",0,SUMIF($H$634:$H$736,("="&amp;B536),$I$634:$I$736))</f>
        <v>0</v>
      </c>
      <c r="E536" s="869">
        <f>IF('S. Setup'!$J$59&lt;&gt;"yes",0,SUMIF($J$634:$J$736,("="&amp;A536),$K$634:$K$736))</f>
        <v>0</v>
      </c>
      <c r="F536" s="868">
        <f>IF('S. Setup'!$J$59&lt;&gt;"yes",0,SUMIF($L$634:$L$736,("="&amp;B536),$M$634:$M$736))</f>
        <v>0</v>
      </c>
      <c r="G536" s="857">
        <f>IF('S. Setup'!$J$59&lt;&gt;"yes",0,SUMIF($B$742:$B$844,("="&amp;A536),$C$742:$C$844))</f>
        <v>0</v>
      </c>
      <c r="H536" s="858">
        <f>IF('S. Setup'!$J$59&lt;&gt;"yes",0,SUMIF($D$742:$D$844,("="&amp;B536),$E$742:$E$844))</f>
        <v>0</v>
      </c>
      <c r="I536" s="993">
        <f>IF('S. Setup'!$J$59&lt;&gt;"yes",0,SUMIF($H$742:$H$844,("="&amp;A536),$I$742:$I$844))</f>
        <v>0</v>
      </c>
      <c r="J536" s="924">
        <f>IF('S. Setup'!$J$59&lt;&gt;"yes",0,SUMIF($L$742:$L$844,("="&amp;B536),$M$742:$M$844))</f>
        <v>0</v>
      </c>
      <c r="K536" s="2409"/>
      <c r="L536" s="2412">
        <f t="shared" si="119"/>
        <v>0</v>
      </c>
      <c r="M536" s="2189">
        <f t="shared" si="120"/>
        <v>0</v>
      </c>
    </row>
    <row r="537" spans="1:13" x14ac:dyDescent="0.25">
      <c r="A537" s="2281">
        <f t="shared" ref="A537:B537" si="122">A536+1</f>
        <v>63</v>
      </c>
      <c r="B537" s="2287">
        <f t="shared" si="122"/>
        <v>58</v>
      </c>
      <c r="C537" s="2436">
        <f>IF('S. Setup'!$J$59&lt;&gt;"yes",0,SUMIF($D$634:$D$736,("="&amp;A537),$E$634:$E$736))</f>
        <v>0</v>
      </c>
      <c r="D537" s="2635">
        <f>IF('S. Setup'!$J$59&lt;&gt;"yes",0,SUMIF($H$634:$H$736,("="&amp;B537),$I$634:$I$736))</f>
        <v>0</v>
      </c>
      <c r="E537" s="869">
        <f>IF('S. Setup'!$J$59&lt;&gt;"yes",0,SUMIF($J$634:$J$736,("="&amp;A537),$K$634:$K$736))</f>
        <v>0</v>
      </c>
      <c r="F537" s="868">
        <f>IF('S. Setup'!$J$59&lt;&gt;"yes",0,SUMIF($L$634:$L$736,("="&amp;B537),$M$634:$M$736))</f>
        <v>0</v>
      </c>
      <c r="G537" s="857">
        <f>IF('S. Setup'!$J$59&lt;&gt;"yes",0,SUMIF($B$742:$B$844,("="&amp;A537),$C$742:$C$844))</f>
        <v>0</v>
      </c>
      <c r="H537" s="858">
        <f>IF('S. Setup'!$J$59&lt;&gt;"yes",0,SUMIF($D$742:$D$844,("="&amp;B537),$E$742:$E$844))</f>
        <v>0</v>
      </c>
      <c r="I537" s="993">
        <f>IF('S. Setup'!$J$59&lt;&gt;"yes",0,SUMIF($H$742:$H$844,("="&amp;A537),$I$742:$I$844))</f>
        <v>0</v>
      </c>
      <c r="J537" s="924">
        <f>IF('S. Setup'!$J$59&lt;&gt;"yes",0,SUMIF($L$742:$L$844,("="&amp;B537),$M$742:$M$844))</f>
        <v>0</v>
      </c>
      <c r="K537" s="2409"/>
      <c r="L537" s="2412">
        <f t="shared" si="119"/>
        <v>0</v>
      </c>
      <c r="M537" s="2189">
        <f t="shared" si="120"/>
        <v>0</v>
      </c>
    </row>
    <row r="538" spans="1:13" x14ac:dyDescent="0.25">
      <c r="A538" s="2281">
        <f t="shared" ref="A538:B538" si="123">A537+1</f>
        <v>64</v>
      </c>
      <c r="B538" s="2287">
        <f t="shared" si="123"/>
        <v>59</v>
      </c>
      <c r="C538" s="2436">
        <f>IF('S. Setup'!$J$59&lt;&gt;"yes",0,SUMIF($D$634:$D$736,("="&amp;A538),$E$634:$E$736))</f>
        <v>0</v>
      </c>
      <c r="D538" s="2635">
        <f>IF('S. Setup'!$J$59&lt;&gt;"yes",0,SUMIF($H$634:$H$736,("="&amp;B538),$I$634:$I$736))</f>
        <v>0</v>
      </c>
      <c r="E538" s="869">
        <f>IF('S. Setup'!$J$59&lt;&gt;"yes",0,SUMIF($J$634:$J$736,("="&amp;A538),$K$634:$K$736))</f>
        <v>0</v>
      </c>
      <c r="F538" s="868">
        <f>IF('S. Setup'!$J$59&lt;&gt;"yes",0,SUMIF($L$634:$L$736,("="&amp;B538),$M$634:$M$736))</f>
        <v>0</v>
      </c>
      <c r="G538" s="857">
        <f>IF('S. Setup'!$J$59&lt;&gt;"yes",0,SUMIF($B$742:$B$844,("="&amp;A538),$C$742:$C$844))</f>
        <v>0</v>
      </c>
      <c r="H538" s="858">
        <f>IF('S. Setup'!$J$59&lt;&gt;"yes",0,SUMIF($D$742:$D$844,("="&amp;B538),$E$742:$E$844))</f>
        <v>0</v>
      </c>
      <c r="I538" s="993">
        <f>IF('S. Setup'!$J$59&lt;&gt;"yes",0,SUMIF($H$742:$H$844,("="&amp;A538),$I$742:$I$844))</f>
        <v>0</v>
      </c>
      <c r="J538" s="924">
        <f>IF('S. Setup'!$J$59&lt;&gt;"yes",0,SUMIF($L$742:$L$844,("="&amp;B538),$M$742:$M$844))</f>
        <v>0</v>
      </c>
      <c r="K538" s="2409"/>
      <c r="L538" s="2412">
        <f t="shared" si="119"/>
        <v>0</v>
      </c>
      <c r="M538" s="2189">
        <f t="shared" si="120"/>
        <v>0</v>
      </c>
    </row>
    <row r="539" spans="1:13" x14ac:dyDescent="0.25">
      <c r="A539" s="2281">
        <f t="shared" ref="A539:B539" si="124">A538+1</f>
        <v>65</v>
      </c>
      <c r="B539" s="2287">
        <f t="shared" si="124"/>
        <v>60</v>
      </c>
      <c r="C539" s="2436">
        <f>IF('S. Setup'!$J$59&lt;&gt;"yes",0,SUMIF($D$634:$D$736,("="&amp;A539),$E$634:$E$736))</f>
        <v>0</v>
      </c>
      <c r="D539" s="2635">
        <f>IF('S. Setup'!$J$59&lt;&gt;"yes",0,SUMIF($H$634:$H$736,("="&amp;B539),$I$634:$I$736))</f>
        <v>0</v>
      </c>
      <c r="E539" s="869">
        <f>IF('S. Setup'!$J$59&lt;&gt;"yes",0,SUMIF($J$634:$J$736,("="&amp;A539),$K$634:$K$736))</f>
        <v>0</v>
      </c>
      <c r="F539" s="868">
        <f>IF('S. Setup'!$J$59&lt;&gt;"yes",0,SUMIF($L$634:$L$736,("="&amp;B539),$M$634:$M$736))</f>
        <v>0</v>
      </c>
      <c r="G539" s="857">
        <f>IF('S. Setup'!$J$59&lt;&gt;"yes",0,SUMIF($B$742:$B$844,("="&amp;A539),$C$742:$C$844))</f>
        <v>0</v>
      </c>
      <c r="H539" s="858">
        <f>IF('S. Setup'!$J$59&lt;&gt;"yes",0,SUMIF($D$742:$D$844,("="&amp;B539),$E$742:$E$844))</f>
        <v>0</v>
      </c>
      <c r="I539" s="993">
        <f>IF('S. Setup'!$J$59&lt;&gt;"yes",0,SUMIF($H$742:$H$844,("="&amp;A539),$I$742:$I$844))</f>
        <v>0</v>
      </c>
      <c r="J539" s="924">
        <f>IF('S. Setup'!$J$59&lt;&gt;"yes",0,SUMIF($L$742:$L$844,("="&amp;B539),$M$742:$M$844))</f>
        <v>0</v>
      </c>
      <c r="K539" s="2409"/>
      <c r="L539" s="2412">
        <f t="shared" si="119"/>
        <v>0</v>
      </c>
      <c r="M539" s="2189">
        <f t="shared" si="120"/>
        <v>0</v>
      </c>
    </row>
    <row r="540" spans="1:13" x14ac:dyDescent="0.25">
      <c r="A540" s="2281">
        <f t="shared" ref="A540:B540" si="125">A539+1</f>
        <v>66</v>
      </c>
      <c r="B540" s="2287">
        <f t="shared" si="125"/>
        <v>61</v>
      </c>
      <c r="C540" s="2436">
        <f>IF('S. Setup'!$J$59&lt;&gt;"yes",0,SUMIF($D$634:$D$736,("="&amp;A540),$E$634:$E$736))</f>
        <v>0</v>
      </c>
      <c r="D540" s="2635">
        <f>IF('S. Setup'!$J$59&lt;&gt;"yes",0,SUMIF($H$634:$H$736,("="&amp;B540),$I$634:$I$736))</f>
        <v>0</v>
      </c>
      <c r="E540" s="869">
        <f>IF('S. Setup'!$J$59&lt;&gt;"yes",0,SUMIF($J$634:$J$736,("="&amp;A540),$K$634:$K$736))</f>
        <v>0</v>
      </c>
      <c r="F540" s="868">
        <f>IF('S. Setup'!$J$59&lt;&gt;"yes",0,SUMIF($L$634:$L$736,("="&amp;B540),$M$634:$M$736))</f>
        <v>0</v>
      </c>
      <c r="G540" s="857">
        <f>IF('S. Setup'!$J$59&lt;&gt;"yes",0,SUMIF($B$742:$B$844,("="&amp;A540),$C$742:$C$844))</f>
        <v>0</v>
      </c>
      <c r="H540" s="858">
        <f>IF('S. Setup'!$J$59&lt;&gt;"yes",0,SUMIF($D$742:$D$844,("="&amp;B540),$E$742:$E$844))</f>
        <v>0</v>
      </c>
      <c r="I540" s="993">
        <f>IF('S. Setup'!$J$59&lt;&gt;"yes",0,SUMIF($H$742:$H$844,("="&amp;A540),$I$742:$I$844))</f>
        <v>0</v>
      </c>
      <c r="J540" s="924">
        <f>IF('S. Setup'!$J$59&lt;&gt;"yes",0,SUMIF($L$742:$L$844,("="&amp;B540),$M$742:$M$844))</f>
        <v>0</v>
      </c>
      <c r="K540" s="2409"/>
      <c r="L540" s="2412">
        <f t="shared" si="119"/>
        <v>0</v>
      </c>
      <c r="M540" s="2189">
        <f t="shared" si="120"/>
        <v>0</v>
      </c>
    </row>
    <row r="541" spans="1:13" x14ac:dyDescent="0.25">
      <c r="A541" s="2281">
        <f t="shared" ref="A541:B541" si="126">A540+1</f>
        <v>67</v>
      </c>
      <c r="B541" s="2287">
        <f t="shared" si="126"/>
        <v>62</v>
      </c>
      <c r="C541" s="2436">
        <f>IF('S. Setup'!$J$59&lt;&gt;"yes",0,SUMIF($D$634:$D$736,("="&amp;A541),$E$634:$E$736))</f>
        <v>0</v>
      </c>
      <c r="D541" s="2635">
        <f>IF('S. Setup'!$J$59&lt;&gt;"yes",0,SUMIF($H$634:$H$736,("="&amp;B541),$I$634:$I$736))</f>
        <v>0</v>
      </c>
      <c r="E541" s="869">
        <f>IF('S. Setup'!$J$59&lt;&gt;"yes",0,SUMIF($J$634:$J$736,("="&amp;A541),$K$634:$K$736))</f>
        <v>0</v>
      </c>
      <c r="F541" s="868">
        <f>IF('S. Setup'!$J$59&lt;&gt;"yes",0,SUMIF($L$634:$L$736,("="&amp;B541),$M$634:$M$736))</f>
        <v>0</v>
      </c>
      <c r="G541" s="857">
        <f>IF('S. Setup'!$J$59&lt;&gt;"yes",0,SUMIF($B$742:$B$844,("="&amp;A541),$C$742:$C$844))</f>
        <v>0</v>
      </c>
      <c r="H541" s="858">
        <f>IF('S. Setup'!$J$59&lt;&gt;"yes",0,SUMIF($D$742:$D$844,("="&amp;B541),$E$742:$E$844))</f>
        <v>0</v>
      </c>
      <c r="I541" s="993">
        <f>IF('S. Setup'!$J$59&lt;&gt;"yes",0,SUMIF($H$742:$H$844,("="&amp;A541),$I$742:$I$844))</f>
        <v>0</v>
      </c>
      <c r="J541" s="924">
        <f>IF('S. Setup'!$J$59&lt;&gt;"yes",0,SUMIF($L$742:$L$844,("="&amp;B541),$M$742:$M$844))</f>
        <v>0</v>
      </c>
      <c r="K541" s="2409"/>
      <c r="L541" s="2412">
        <f t="shared" si="119"/>
        <v>0</v>
      </c>
      <c r="M541" s="2189">
        <f t="shared" si="120"/>
        <v>0</v>
      </c>
    </row>
    <row r="542" spans="1:13" x14ac:dyDescent="0.25">
      <c r="A542" s="2281">
        <f t="shared" ref="A542:B542" si="127">A541+1</f>
        <v>68</v>
      </c>
      <c r="B542" s="2287">
        <f t="shared" si="127"/>
        <v>63</v>
      </c>
      <c r="C542" s="2436">
        <f>IF('S. Setup'!$J$59&lt;&gt;"yes",0,SUMIF($D$634:$D$736,("="&amp;A542),$E$634:$E$736))</f>
        <v>0</v>
      </c>
      <c r="D542" s="2635">
        <f>IF('S. Setup'!$J$59&lt;&gt;"yes",0,SUMIF($H$634:$H$736,("="&amp;B542),$I$634:$I$736))</f>
        <v>0</v>
      </c>
      <c r="E542" s="869">
        <f>IF('S. Setup'!$J$59&lt;&gt;"yes",0,SUMIF($J$634:$J$736,("="&amp;A542),$K$634:$K$736))</f>
        <v>0</v>
      </c>
      <c r="F542" s="868">
        <f>IF('S. Setup'!$J$59&lt;&gt;"yes",0,SUMIF($L$634:$L$736,("="&amp;B542),$M$634:$M$736))</f>
        <v>0</v>
      </c>
      <c r="G542" s="857">
        <f>IF('S. Setup'!$J$59&lt;&gt;"yes",0,SUMIF($B$742:$B$844,("="&amp;A542),$C$742:$C$844))</f>
        <v>0</v>
      </c>
      <c r="H542" s="858">
        <f>IF('S. Setup'!$J$59&lt;&gt;"yes",0,SUMIF($D$742:$D$844,("="&amp;B542),$E$742:$E$844))</f>
        <v>0</v>
      </c>
      <c r="I542" s="993">
        <f>IF('S. Setup'!$J$59&lt;&gt;"yes",0,SUMIF($H$742:$H$844,("="&amp;A542),$I$742:$I$844))</f>
        <v>0</v>
      </c>
      <c r="J542" s="924">
        <f>IF('S. Setup'!$J$59&lt;&gt;"yes",0,SUMIF($L$742:$L$844,("="&amp;B542),$M$742:$M$844))</f>
        <v>0</v>
      </c>
      <c r="K542" s="2409"/>
      <c r="L542" s="2412">
        <f t="shared" si="119"/>
        <v>0</v>
      </c>
      <c r="M542" s="2189">
        <f t="shared" si="120"/>
        <v>0</v>
      </c>
    </row>
    <row r="543" spans="1:13" x14ac:dyDescent="0.25">
      <c r="A543" s="2281">
        <f t="shared" ref="A543:B543" si="128">A542+1</f>
        <v>69</v>
      </c>
      <c r="B543" s="2287">
        <f t="shared" si="128"/>
        <v>64</v>
      </c>
      <c r="C543" s="2436">
        <f>IF('S. Setup'!$J$59&lt;&gt;"yes",0,SUMIF($D$634:$D$736,("="&amp;A543),$E$634:$E$736))</f>
        <v>0</v>
      </c>
      <c r="D543" s="2635">
        <f>IF('S. Setup'!$J$59&lt;&gt;"yes",0,SUMIF($H$634:$H$736,("="&amp;B543),$I$634:$I$736))</f>
        <v>0</v>
      </c>
      <c r="E543" s="869">
        <f>IF('S. Setup'!$J$59&lt;&gt;"yes",0,SUMIF($J$634:$J$736,("="&amp;A543),$K$634:$K$736))</f>
        <v>0</v>
      </c>
      <c r="F543" s="868">
        <f>IF('S. Setup'!$J$59&lt;&gt;"yes",0,SUMIF($L$634:$L$736,("="&amp;B543),$M$634:$M$736))</f>
        <v>0</v>
      </c>
      <c r="G543" s="857">
        <f>IF('S. Setup'!$J$59&lt;&gt;"yes",0,SUMIF($B$742:$B$844,("="&amp;A543),$C$742:$C$844))</f>
        <v>0</v>
      </c>
      <c r="H543" s="858">
        <f>IF('S. Setup'!$J$59&lt;&gt;"yes",0,SUMIF($D$742:$D$844,("="&amp;B543),$E$742:$E$844))</f>
        <v>0</v>
      </c>
      <c r="I543" s="993">
        <f>IF('S. Setup'!$J$59&lt;&gt;"yes",0,SUMIF($H$742:$H$844,("="&amp;A543),$I$742:$I$844))</f>
        <v>0</v>
      </c>
      <c r="J543" s="924">
        <f>IF('S. Setup'!$J$59&lt;&gt;"yes",0,SUMIF($L$742:$L$844,("="&amp;B543),$M$742:$M$844))</f>
        <v>0</v>
      </c>
      <c r="K543" s="2409"/>
      <c r="L543" s="2412">
        <f t="shared" si="119"/>
        <v>0</v>
      </c>
      <c r="M543" s="2189">
        <f t="shared" si="120"/>
        <v>0</v>
      </c>
    </row>
    <row r="544" spans="1:13" x14ac:dyDescent="0.25">
      <c r="A544" s="2281">
        <f t="shared" ref="A544:B544" si="129">A543+1</f>
        <v>70</v>
      </c>
      <c r="B544" s="2287">
        <f t="shared" si="129"/>
        <v>65</v>
      </c>
      <c r="C544" s="2436">
        <f>IF('S. Setup'!$J$59&lt;&gt;"yes",0,SUMIF($D$634:$D$736,("="&amp;A544),$E$634:$E$736))</f>
        <v>487.59776799790285</v>
      </c>
      <c r="D544" s="2635">
        <f>IF('S. Setup'!$J$59&lt;&gt;"yes",0,SUMIF($H$634:$H$736,("="&amp;B544),$I$634:$I$736))</f>
        <v>0</v>
      </c>
      <c r="E544" s="869">
        <f>IF('S. Setup'!$J$59&lt;&gt;"yes",0,SUMIF($J$634:$J$736,("="&amp;A544),$K$634:$K$736))</f>
        <v>0</v>
      </c>
      <c r="F544" s="868">
        <f>IF('S. Setup'!$J$59&lt;&gt;"yes",0,SUMIF($L$634:$L$736,("="&amp;B544),$M$634:$M$736))</f>
        <v>0</v>
      </c>
      <c r="G544" s="857">
        <f>IF('S. Setup'!$J$59&lt;&gt;"yes",0,SUMIF($B$742:$B$844,("="&amp;A544),$C$742:$C$844))</f>
        <v>0</v>
      </c>
      <c r="H544" s="858">
        <f>IF('S. Setup'!$J$59&lt;&gt;"yes",0,SUMIF($D$742:$D$844,("="&amp;B544),$E$742:$E$844))</f>
        <v>0</v>
      </c>
      <c r="I544" s="993">
        <f>IF('S. Setup'!$J$59&lt;&gt;"yes",0,SUMIF($H$742:$H$844,("="&amp;A544),$I$742:$I$844))</f>
        <v>0</v>
      </c>
      <c r="J544" s="924">
        <f>IF('S. Setup'!$J$59&lt;&gt;"yes",0,SUMIF($L$742:$L$844,("="&amp;B544),$M$742:$M$844))</f>
        <v>0</v>
      </c>
      <c r="K544" s="2409"/>
      <c r="L544" s="2412">
        <f t="shared" si="119"/>
        <v>487.59776799790285</v>
      </c>
      <c r="M544" s="2189">
        <f t="shared" si="120"/>
        <v>0</v>
      </c>
    </row>
    <row r="545" spans="1:13" x14ac:dyDescent="0.25">
      <c r="A545" s="2281">
        <f t="shared" ref="A545:B545" si="130">A544+1</f>
        <v>71</v>
      </c>
      <c r="B545" s="2287">
        <f t="shared" si="130"/>
        <v>66</v>
      </c>
      <c r="C545" s="2436">
        <f>IF('S. Setup'!$J$59&lt;&gt;"yes",0,SUMIF($D$634:$D$736,("="&amp;A545),$E$634:$E$736))</f>
        <v>621.68715419732598</v>
      </c>
      <c r="D545" s="2635">
        <f>IF('S. Setup'!$J$59&lt;&gt;"yes",0,SUMIF($H$634:$H$736,("="&amp;B545),$I$634:$I$736))</f>
        <v>497.3497233578608</v>
      </c>
      <c r="E545" s="869">
        <f>IF('S. Setup'!$J$59&lt;&gt;"yes",0,SUMIF($J$634:$J$736,("="&amp;A545),$K$634:$K$736))</f>
        <v>0</v>
      </c>
      <c r="F545" s="868">
        <f>IF('S. Setup'!$J$59&lt;&gt;"yes",0,SUMIF($L$634:$L$736,("="&amp;B545),$M$634:$M$736))</f>
        <v>0</v>
      </c>
      <c r="G545" s="857">
        <f>IF('S. Setup'!$J$59&lt;&gt;"yes",0,SUMIF($B$742:$B$844,("="&amp;A545),$C$742:$C$844))</f>
        <v>0</v>
      </c>
      <c r="H545" s="858">
        <f>IF('S. Setup'!$J$59&lt;&gt;"yes",0,SUMIF($D$742:$D$844,("="&amp;B545),$E$742:$E$844))</f>
        <v>0</v>
      </c>
      <c r="I545" s="993">
        <f>IF('S. Setup'!$J$59&lt;&gt;"yes",0,SUMIF($H$742:$H$844,("="&amp;A545),$I$742:$I$844))</f>
        <v>0</v>
      </c>
      <c r="J545" s="924">
        <f>IF('S. Setup'!$J$59&lt;&gt;"yes",0,SUMIF($L$742:$L$844,("="&amp;B545),$M$742:$M$844))</f>
        <v>0</v>
      </c>
      <c r="K545" s="2409"/>
      <c r="L545" s="2412">
        <f t="shared" si="119"/>
        <v>621.68715419732598</v>
      </c>
      <c r="M545" s="2189">
        <f t="shared" si="120"/>
        <v>497.3497233578608</v>
      </c>
    </row>
    <row r="546" spans="1:13" x14ac:dyDescent="0.25">
      <c r="A546" s="2281">
        <f t="shared" ref="A546:B546" si="131">A545+1</f>
        <v>72</v>
      </c>
      <c r="B546" s="2287">
        <f t="shared" si="131"/>
        <v>67</v>
      </c>
      <c r="C546" s="2436">
        <f>IF('S. Setup'!$J$59&lt;&gt;"yes",0,SUMIF($D$634:$D$736,("="&amp;A546),$E$634:$E$736))</f>
        <v>0</v>
      </c>
      <c r="D546" s="2635">
        <f>IF('S. Setup'!$J$59&lt;&gt;"yes",0,SUMIF($H$634:$H$736,("="&amp;B546),$I$634:$I$736))</f>
        <v>0</v>
      </c>
      <c r="E546" s="869">
        <f>IF('S. Setup'!$J$59&lt;&gt;"yes",0,SUMIF($J$634:$J$736,("="&amp;A546),$K$634:$K$736))</f>
        <v>0</v>
      </c>
      <c r="F546" s="868">
        <f>IF('S. Setup'!$J$59&lt;&gt;"yes",0,SUMIF($L$634:$L$736,("="&amp;B546),$M$634:$M$736))</f>
        <v>0</v>
      </c>
      <c r="G546" s="857">
        <f>IF('S. Setup'!$J$59&lt;&gt;"yes",0,SUMIF($B$742:$B$844,("="&amp;A546),$C$742:$C$844))</f>
        <v>0</v>
      </c>
      <c r="H546" s="858">
        <f>IF('S. Setup'!$J$59&lt;&gt;"yes",0,SUMIF($D$742:$D$844,("="&amp;B546),$E$742:$E$844))</f>
        <v>0</v>
      </c>
      <c r="I546" s="993">
        <f>IF('S. Setup'!$J$59&lt;&gt;"yes",0,SUMIF($H$742:$H$844,("="&amp;A546),$I$742:$I$844))</f>
        <v>0</v>
      </c>
      <c r="J546" s="924">
        <f>IF('S. Setup'!$J$59&lt;&gt;"yes",0,SUMIF($L$742:$L$844,("="&amp;B546),$M$742:$M$844))</f>
        <v>0</v>
      </c>
      <c r="K546" s="2409"/>
      <c r="L546" s="2412">
        <f t="shared" si="119"/>
        <v>0</v>
      </c>
      <c r="M546" s="2189">
        <f t="shared" si="120"/>
        <v>0</v>
      </c>
    </row>
    <row r="547" spans="1:13" x14ac:dyDescent="0.25">
      <c r="A547" s="2281">
        <f t="shared" ref="A547:B547" si="132">A546+1</f>
        <v>73</v>
      </c>
      <c r="B547" s="2287">
        <f t="shared" si="132"/>
        <v>68</v>
      </c>
      <c r="C547" s="2436">
        <f>IF('S. Setup'!$J$59&lt;&gt;"yes",0,SUMIF($D$634:$D$736,("="&amp;A547),$E$634:$E$736))</f>
        <v>0</v>
      </c>
      <c r="D547" s="2635">
        <f>IF('S. Setup'!$J$59&lt;&gt;"yes",0,SUMIF($H$634:$H$736,("="&amp;B547),$I$634:$I$736))</f>
        <v>0</v>
      </c>
      <c r="E547" s="869">
        <f>IF('S. Setup'!$J$59&lt;&gt;"yes",0,SUMIF($J$634:$J$736,("="&amp;A547),$K$634:$K$736))</f>
        <v>0</v>
      </c>
      <c r="F547" s="868">
        <f>IF('S. Setup'!$J$59&lt;&gt;"yes",0,SUMIF($L$634:$L$736,("="&amp;B547),$M$634:$M$736))</f>
        <v>0</v>
      </c>
      <c r="G547" s="857">
        <f>IF('S. Setup'!$J$59&lt;&gt;"yes",0,SUMIF($B$742:$B$844,("="&amp;A547),$C$742:$C$844))</f>
        <v>0</v>
      </c>
      <c r="H547" s="858">
        <f>IF('S. Setup'!$J$59&lt;&gt;"yes",0,SUMIF($D$742:$D$844,("="&amp;B547),$E$742:$E$844))</f>
        <v>0</v>
      </c>
      <c r="I547" s="993">
        <f>IF('S. Setup'!$J$59&lt;&gt;"yes",0,SUMIF($H$742:$H$844,("="&amp;A547),$I$742:$I$844))</f>
        <v>0</v>
      </c>
      <c r="J547" s="924">
        <f>IF('S. Setup'!$J$59&lt;&gt;"yes",0,SUMIF($L$742:$L$844,("="&amp;B547),$M$742:$M$844))</f>
        <v>0</v>
      </c>
      <c r="K547" s="2409"/>
      <c r="L547" s="2412">
        <f t="shared" si="119"/>
        <v>0</v>
      </c>
      <c r="M547" s="2189">
        <f t="shared" si="120"/>
        <v>0</v>
      </c>
    </row>
    <row r="548" spans="1:13" x14ac:dyDescent="0.25">
      <c r="A548" s="2281">
        <f t="shared" ref="A548:B548" si="133">A547+1</f>
        <v>74</v>
      </c>
      <c r="B548" s="2287">
        <f t="shared" si="133"/>
        <v>69</v>
      </c>
      <c r="C548" s="2436">
        <f>IF('S. Setup'!$J$59&lt;&gt;"yes",0,SUMIF($D$634:$D$736,("="&amp;A548),$E$634:$E$736))</f>
        <v>0</v>
      </c>
      <c r="D548" s="2635">
        <f>IF('S. Setup'!$J$59&lt;&gt;"yes",0,SUMIF($H$634:$H$736,("="&amp;B548),$I$634:$I$736))</f>
        <v>0</v>
      </c>
      <c r="E548" s="869">
        <f>IF('S. Setup'!$J$59&lt;&gt;"yes",0,SUMIF($J$634:$J$736,("="&amp;A548),$K$634:$K$736))</f>
        <v>0</v>
      </c>
      <c r="F548" s="868">
        <f>IF('S. Setup'!$J$59&lt;&gt;"yes",0,SUMIF($L$634:$L$736,("="&amp;B548),$M$634:$M$736))</f>
        <v>0</v>
      </c>
      <c r="G548" s="857">
        <f>IF('S. Setup'!$J$59&lt;&gt;"yes",0,SUMIF($B$742:$B$844,("="&amp;A548),$C$742:$C$844))</f>
        <v>0</v>
      </c>
      <c r="H548" s="858">
        <f>IF('S. Setup'!$J$59&lt;&gt;"yes",0,SUMIF($D$742:$D$844,("="&amp;B548),$E$742:$E$844))</f>
        <v>0</v>
      </c>
      <c r="I548" s="993">
        <f>IF('S. Setup'!$J$59&lt;&gt;"yes",0,SUMIF($H$742:$H$844,("="&amp;A548),$I$742:$I$844))</f>
        <v>0</v>
      </c>
      <c r="J548" s="924">
        <f>IF('S. Setup'!$J$59&lt;&gt;"yes",0,SUMIF($L$742:$L$844,("="&amp;B548),$M$742:$M$844))</f>
        <v>0</v>
      </c>
      <c r="K548" s="2409"/>
      <c r="L548" s="2412">
        <f t="shared" si="119"/>
        <v>0</v>
      </c>
      <c r="M548" s="2189">
        <f t="shared" si="120"/>
        <v>0</v>
      </c>
    </row>
    <row r="549" spans="1:13" x14ac:dyDescent="0.25">
      <c r="A549" s="2281">
        <f t="shared" ref="A549:B549" si="134">A548+1</f>
        <v>75</v>
      </c>
      <c r="B549" s="2287">
        <f t="shared" si="134"/>
        <v>70</v>
      </c>
      <c r="C549" s="2436">
        <f>IF('S. Setup'!$J$59&lt;&gt;"yes",0,SUMIF($D$634:$D$736,("="&amp;A549),$E$634:$E$736))</f>
        <v>1211.2815044917163</v>
      </c>
      <c r="D549" s="2635">
        <f>IF('S. Setup'!$J$59&lt;&gt;"yes",0,SUMIF($H$634:$H$736,("="&amp;B549),$I$634:$I$736))</f>
        <v>1009.401253743097</v>
      </c>
      <c r="E549" s="869">
        <f>IF('S. Setup'!$J$59&lt;&gt;"yes",0,SUMIF($J$634:$J$736,("="&amp;A549),$K$634:$K$736))</f>
        <v>0</v>
      </c>
      <c r="F549" s="868">
        <f>IF('S. Setup'!$J$59&lt;&gt;"yes",0,SUMIF($L$634:$L$736,("="&amp;B549),$M$634:$M$736))</f>
        <v>0</v>
      </c>
      <c r="G549" s="857">
        <f>IF('S. Setup'!$J$59&lt;&gt;"yes",0,SUMIF($B$742:$B$844,("="&amp;A549),$C$742:$C$844))</f>
        <v>0</v>
      </c>
      <c r="H549" s="858">
        <f>IF('S. Setup'!$J$59&lt;&gt;"yes",0,SUMIF($D$742:$D$844,("="&amp;B549),$E$742:$E$844))</f>
        <v>0</v>
      </c>
      <c r="I549" s="993">
        <f>IF('S. Setup'!$J$59&lt;&gt;"yes",0,SUMIF($H$742:$H$844,("="&amp;A549),$I$742:$I$844))</f>
        <v>0</v>
      </c>
      <c r="J549" s="924">
        <f>IF('S. Setup'!$J$59&lt;&gt;"yes",0,SUMIF($L$742:$L$844,("="&amp;B549),$M$742:$M$844))</f>
        <v>0</v>
      </c>
      <c r="K549" s="2409"/>
      <c r="L549" s="2412">
        <f t="shared" si="119"/>
        <v>1211.2815044917163</v>
      </c>
      <c r="M549" s="2189">
        <f t="shared" si="120"/>
        <v>1009.401253743097</v>
      </c>
    </row>
    <row r="550" spans="1:13" x14ac:dyDescent="0.25">
      <c r="A550" s="2281">
        <f t="shared" ref="A550:B550" si="135">A549+1</f>
        <v>76</v>
      </c>
      <c r="B550" s="2287">
        <f t="shared" si="135"/>
        <v>71</v>
      </c>
      <c r="C550" s="2436">
        <f>IF('S. Setup'!$J$59&lt;&gt;"yes",0,SUMIF($D$634:$D$736,("="&amp;A550),$E$634:$E$736))</f>
        <v>0</v>
      </c>
      <c r="D550" s="2635">
        <f>IF('S. Setup'!$J$59&lt;&gt;"yes",0,SUMIF($H$634:$H$736,("="&amp;B550),$I$634:$I$736))</f>
        <v>0</v>
      </c>
      <c r="E550" s="869">
        <f>IF('S. Setup'!$J$59&lt;&gt;"yes",0,SUMIF($J$634:$J$736,("="&amp;A550),$K$634:$K$736))</f>
        <v>0</v>
      </c>
      <c r="F550" s="868">
        <f>IF('S. Setup'!$J$59&lt;&gt;"yes",0,SUMIF($L$634:$L$736,("="&amp;B550),$M$634:$M$736))</f>
        <v>0</v>
      </c>
      <c r="G550" s="857">
        <f>IF('S. Setup'!$J$59&lt;&gt;"yes",0,SUMIF($B$742:$B$844,("="&amp;A550),$C$742:$C$844))</f>
        <v>0</v>
      </c>
      <c r="H550" s="858">
        <f>IF('S. Setup'!$J$59&lt;&gt;"yes",0,SUMIF($D$742:$D$844,("="&amp;B550),$E$742:$E$844))</f>
        <v>0</v>
      </c>
      <c r="I550" s="993">
        <f>IF('S. Setup'!$J$59&lt;&gt;"yes",0,SUMIF($H$742:$H$844,("="&amp;A550),$I$742:$I$844))</f>
        <v>0</v>
      </c>
      <c r="J550" s="924">
        <f>IF('S. Setup'!$J$59&lt;&gt;"yes",0,SUMIF($L$742:$L$844,("="&amp;B550),$M$742:$M$844))</f>
        <v>0</v>
      </c>
      <c r="K550" s="2409"/>
      <c r="L550" s="2412">
        <f t="shared" si="119"/>
        <v>0</v>
      </c>
      <c r="M550" s="2189">
        <f t="shared" si="120"/>
        <v>0</v>
      </c>
    </row>
    <row r="551" spans="1:13" x14ac:dyDescent="0.25">
      <c r="A551" s="2281">
        <f t="shared" ref="A551:B551" si="136">A550+1</f>
        <v>77</v>
      </c>
      <c r="B551" s="2287">
        <f t="shared" si="136"/>
        <v>72</v>
      </c>
      <c r="C551" s="2436">
        <f>IF('S. Setup'!$J$59&lt;&gt;"yes",0,SUMIF($D$634:$D$736,("="&amp;A551),$E$634:$E$736))</f>
        <v>0</v>
      </c>
      <c r="D551" s="2635">
        <f>IF('S. Setup'!$J$59&lt;&gt;"yes",0,SUMIF($H$634:$H$736,("="&amp;B551),$I$634:$I$736))</f>
        <v>0</v>
      </c>
      <c r="E551" s="869">
        <f>IF('S. Setup'!$J$59&lt;&gt;"yes",0,SUMIF($J$634:$J$736,("="&amp;A551),$K$634:$K$736))</f>
        <v>0</v>
      </c>
      <c r="F551" s="868">
        <f>IF('S. Setup'!$J$59&lt;&gt;"yes",0,SUMIF($L$634:$L$736,("="&amp;B551),$M$634:$M$736))</f>
        <v>0</v>
      </c>
      <c r="G551" s="857">
        <f>IF('S. Setup'!$J$59&lt;&gt;"yes",0,SUMIF($B$742:$B$844,("="&amp;A551),$C$742:$C$844))</f>
        <v>0</v>
      </c>
      <c r="H551" s="858">
        <f>IF('S. Setup'!$J$59&lt;&gt;"yes",0,SUMIF($D$742:$D$844,("="&amp;B551),$E$742:$E$844))</f>
        <v>0</v>
      </c>
      <c r="I551" s="993">
        <f>IF('S. Setup'!$J$59&lt;&gt;"yes",0,SUMIF($H$742:$H$844,("="&amp;A551),$I$742:$I$844))</f>
        <v>0</v>
      </c>
      <c r="J551" s="924">
        <f>IF('S. Setup'!$J$59&lt;&gt;"yes",0,SUMIF($L$742:$L$844,("="&amp;B551),$M$742:$M$844))</f>
        <v>0</v>
      </c>
      <c r="K551" s="2409"/>
      <c r="L551" s="2412">
        <f t="shared" si="119"/>
        <v>0</v>
      </c>
      <c r="M551" s="2189">
        <f t="shared" si="120"/>
        <v>0</v>
      </c>
    </row>
    <row r="552" spans="1:13" x14ac:dyDescent="0.25">
      <c r="A552" s="2281">
        <f t="shared" ref="A552:B552" si="137">A551+1</f>
        <v>78</v>
      </c>
      <c r="B552" s="2287">
        <f t="shared" si="137"/>
        <v>73</v>
      </c>
      <c r="C552" s="2436">
        <f>IF('S. Setup'!$J$59&lt;&gt;"yes",0,SUMIF($D$634:$D$736,("="&amp;A552),$E$634:$E$736))</f>
        <v>0</v>
      </c>
      <c r="D552" s="2635">
        <f>IF('S. Setup'!$J$59&lt;&gt;"yes",0,SUMIF($H$634:$H$736,("="&amp;B552),$I$634:$I$736))</f>
        <v>0</v>
      </c>
      <c r="E552" s="869">
        <f>IF('S. Setup'!$J$59&lt;&gt;"yes",0,SUMIF($J$634:$J$736,("="&amp;A552),$K$634:$K$736))</f>
        <v>0</v>
      </c>
      <c r="F552" s="868">
        <f>IF('S. Setup'!$J$59&lt;&gt;"yes",0,SUMIF($L$634:$L$736,("="&amp;B552),$M$634:$M$736))</f>
        <v>0</v>
      </c>
      <c r="G552" s="857">
        <f>IF('S. Setup'!$J$59&lt;&gt;"yes",0,SUMIF($B$742:$B$844,("="&amp;A552),$C$742:$C$844))</f>
        <v>0</v>
      </c>
      <c r="H552" s="858">
        <f>IF('S. Setup'!$J$59&lt;&gt;"yes",0,SUMIF($D$742:$D$844,("="&amp;B552),$E$742:$E$844))</f>
        <v>0</v>
      </c>
      <c r="I552" s="993">
        <f>IF('S. Setup'!$J$59&lt;&gt;"yes",0,SUMIF($H$742:$H$844,("="&amp;A552),$I$742:$I$844))</f>
        <v>0</v>
      </c>
      <c r="J552" s="924">
        <f>IF('S. Setup'!$J$59&lt;&gt;"yes",0,SUMIF($L$742:$L$844,("="&amp;B552),$M$742:$M$844))</f>
        <v>0</v>
      </c>
      <c r="K552" s="2409"/>
      <c r="L552" s="2412">
        <f t="shared" si="119"/>
        <v>0</v>
      </c>
      <c r="M552" s="2189">
        <f t="shared" si="120"/>
        <v>0</v>
      </c>
    </row>
    <row r="553" spans="1:13" x14ac:dyDescent="0.25">
      <c r="A553" s="2281">
        <f t="shared" ref="A553:B553" si="138">A552+1</f>
        <v>79</v>
      </c>
      <c r="B553" s="2287">
        <f t="shared" si="138"/>
        <v>74</v>
      </c>
      <c r="C553" s="2436">
        <f>IF('S. Setup'!$J$59&lt;&gt;"yes",0,SUMIF($D$634:$D$736,("="&amp;A553),$E$634:$E$736))</f>
        <v>0</v>
      </c>
      <c r="D553" s="2635">
        <f>IF('S. Setup'!$J$59&lt;&gt;"yes",0,SUMIF($H$634:$H$736,("="&amp;B553),$I$634:$I$736))</f>
        <v>0</v>
      </c>
      <c r="E553" s="869">
        <f>IF('S. Setup'!$J$59&lt;&gt;"yes",0,SUMIF($J$634:$J$736,("="&amp;A553),$K$634:$K$736))</f>
        <v>0</v>
      </c>
      <c r="F553" s="868">
        <f>IF('S. Setup'!$J$59&lt;&gt;"yes",0,SUMIF($L$634:$L$736,("="&amp;B553),$M$634:$M$736))</f>
        <v>0</v>
      </c>
      <c r="G553" s="857">
        <f>IF('S. Setup'!$J$59&lt;&gt;"yes",0,SUMIF($B$742:$B$844,("="&amp;A553),$C$742:$C$844))</f>
        <v>0</v>
      </c>
      <c r="H553" s="858">
        <f>IF('S. Setup'!$J$59&lt;&gt;"yes",0,SUMIF($D$742:$D$844,("="&amp;B553),$E$742:$E$844))</f>
        <v>0</v>
      </c>
      <c r="I553" s="993">
        <f>IF('S. Setup'!$J$59&lt;&gt;"yes",0,SUMIF($H$742:$H$844,("="&amp;A553),$I$742:$I$844))</f>
        <v>0</v>
      </c>
      <c r="J553" s="924">
        <f>IF('S. Setup'!$J$59&lt;&gt;"yes",0,SUMIF($L$742:$L$844,("="&amp;B553),$M$742:$M$844))</f>
        <v>0</v>
      </c>
      <c r="K553" s="2409"/>
      <c r="L553" s="2412">
        <f t="shared" si="119"/>
        <v>0</v>
      </c>
      <c r="M553" s="2189">
        <f t="shared" si="120"/>
        <v>0</v>
      </c>
    </row>
    <row r="554" spans="1:13" x14ac:dyDescent="0.25">
      <c r="A554" s="2281">
        <f t="shared" ref="A554:B554" si="139">A553+1</f>
        <v>80</v>
      </c>
      <c r="B554" s="2287">
        <f t="shared" si="139"/>
        <v>75</v>
      </c>
      <c r="C554" s="2436">
        <f>IF('S. Setup'!$J$59&lt;&gt;"yes",0,SUMIF($D$634:$D$736,("="&amp;A554),$E$634:$E$736))</f>
        <v>0</v>
      </c>
      <c r="D554" s="2635">
        <f>IF('S. Setup'!$J$59&lt;&gt;"yes",0,SUMIF($H$634:$H$736,("="&amp;B554),$I$634:$I$736))</f>
        <v>0</v>
      </c>
      <c r="E554" s="869">
        <f>IF('S. Setup'!$J$59&lt;&gt;"yes",0,SUMIF($J$634:$J$736,("="&amp;A554),$K$634:$K$736))</f>
        <v>0</v>
      </c>
      <c r="F554" s="868">
        <f>IF('S. Setup'!$J$59&lt;&gt;"yes",0,SUMIF($L$634:$L$736,("="&amp;B554),$M$634:$M$736))</f>
        <v>0</v>
      </c>
      <c r="G554" s="857">
        <f>IF('S. Setup'!$J$59&lt;&gt;"yes",0,SUMIF($B$742:$B$844,("="&amp;A554),$C$742:$C$844))</f>
        <v>0</v>
      </c>
      <c r="H554" s="858">
        <f>IF('S. Setup'!$J$59&lt;&gt;"yes",0,SUMIF($D$742:$D$844,("="&amp;B554),$E$742:$E$844))</f>
        <v>0</v>
      </c>
      <c r="I554" s="993">
        <f>IF('S. Setup'!$J$59&lt;&gt;"yes",0,SUMIF($H$742:$H$844,("="&amp;A554),$I$742:$I$844))</f>
        <v>0</v>
      </c>
      <c r="J554" s="924">
        <f>IF('S. Setup'!$J$59&lt;&gt;"yes",0,SUMIF($L$742:$L$844,("="&amp;B554),$M$742:$M$844))</f>
        <v>0</v>
      </c>
      <c r="K554" s="2409"/>
      <c r="L554" s="2412">
        <f t="shared" si="119"/>
        <v>0</v>
      </c>
      <c r="M554" s="2189">
        <f t="shared" si="120"/>
        <v>0</v>
      </c>
    </row>
    <row r="555" spans="1:13" x14ac:dyDescent="0.25">
      <c r="A555" s="2281">
        <f t="shared" ref="A555:B555" si="140">A554+1</f>
        <v>81</v>
      </c>
      <c r="B555" s="2287">
        <f t="shared" si="140"/>
        <v>76</v>
      </c>
      <c r="C555" s="2436">
        <f>IF('S. Setup'!$J$59&lt;&gt;"yes",0,SUMIF($D$634:$D$736,("="&amp;A555),$E$634:$E$736))</f>
        <v>0</v>
      </c>
      <c r="D555" s="2635">
        <f>IF('S. Setup'!$J$59&lt;&gt;"yes",0,SUMIF($H$634:$H$736,("="&amp;B555),$I$634:$I$736))</f>
        <v>0</v>
      </c>
      <c r="E555" s="869">
        <f>IF('S. Setup'!$J$59&lt;&gt;"yes",0,SUMIF($J$634:$J$736,("="&amp;A555),$K$634:$K$736))</f>
        <v>0</v>
      </c>
      <c r="F555" s="868">
        <f>IF('S. Setup'!$J$59&lt;&gt;"yes",0,SUMIF($L$634:$L$736,("="&amp;B555),$M$634:$M$736))</f>
        <v>0</v>
      </c>
      <c r="G555" s="857">
        <f>IF('S. Setup'!$J$59&lt;&gt;"yes",0,SUMIF($B$742:$B$844,("="&amp;A555),$C$742:$C$844))</f>
        <v>0</v>
      </c>
      <c r="H555" s="858">
        <f>IF('S. Setup'!$J$59&lt;&gt;"yes",0,SUMIF($D$742:$D$844,("="&amp;B555),$E$742:$E$844))</f>
        <v>0</v>
      </c>
      <c r="I555" s="993">
        <f>IF('S. Setup'!$J$59&lt;&gt;"yes",0,SUMIF($H$742:$H$844,("="&amp;A555),$I$742:$I$844))</f>
        <v>0</v>
      </c>
      <c r="J555" s="924">
        <f>IF('S. Setup'!$J$59&lt;&gt;"yes",0,SUMIF($L$742:$L$844,("="&amp;B555),$M$742:$M$844))</f>
        <v>0</v>
      </c>
      <c r="K555" s="2409"/>
      <c r="L555" s="2412">
        <f t="shared" si="119"/>
        <v>0</v>
      </c>
      <c r="M555" s="2189">
        <f t="shared" si="120"/>
        <v>0</v>
      </c>
    </row>
    <row r="556" spans="1:13" x14ac:dyDescent="0.25">
      <c r="A556" s="2281">
        <f t="shared" ref="A556:B556" si="141">A555+1</f>
        <v>82</v>
      </c>
      <c r="B556" s="2287">
        <f t="shared" si="141"/>
        <v>77</v>
      </c>
      <c r="C556" s="2436">
        <f>IF('S. Setup'!$J$59&lt;&gt;"yes",0,SUMIF($D$634:$D$736,("="&amp;A556),$E$634:$E$736))</f>
        <v>0</v>
      </c>
      <c r="D556" s="2635">
        <f>IF('S. Setup'!$J$59&lt;&gt;"yes",0,SUMIF($H$634:$H$736,("="&amp;B556),$I$634:$I$736))</f>
        <v>0</v>
      </c>
      <c r="E556" s="869">
        <f>IF('S. Setup'!$J$59&lt;&gt;"yes",0,SUMIF($J$634:$J$736,("="&amp;A556),$K$634:$K$736))</f>
        <v>0</v>
      </c>
      <c r="F556" s="868">
        <f>IF('S. Setup'!$J$59&lt;&gt;"yes",0,SUMIF($L$634:$L$736,("="&amp;B556),$M$634:$M$736))</f>
        <v>0</v>
      </c>
      <c r="G556" s="857">
        <f>IF('S. Setup'!$J$59&lt;&gt;"yes",0,SUMIF($B$742:$B$844,("="&amp;A556),$C$742:$C$844))</f>
        <v>0</v>
      </c>
      <c r="H556" s="858">
        <f>IF('S. Setup'!$J$59&lt;&gt;"yes",0,SUMIF($D$742:$D$844,("="&amp;B556),$E$742:$E$844))</f>
        <v>0</v>
      </c>
      <c r="I556" s="993">
        <f>IF('S. Setup'!$J$59&lt;&gt;"yes",0,SUMIF($H$742:$H$844,("="&amp;A556),$I$742:$I$844))</f>
        <v>0</v>
      </c>
      <c r="J556" s="924">
        <f>IF('S. Setup'!$J$59&lt;&gt;"yes",0,SUMIF($L$742:$L$844,("="&amp;B556),$M$742:$M$844))</f>
        <v>0</v>
      </c>
      <c r="K556" s="2409"/>
      <c r="L556" s="2412">
        <f t="shared" si="119"/>
        <v>0</v>
      </c>
      <c r="M556" s="2189">
        <f t="shared" si="120"/>
        <v>0</v>
      </c>
    </row>
    <row r="557" spans="1:13" x14ac:dyDescent="0.25">
      <c r="A557" s="2281">
        <f t="shared" ref="A557:B557" si="142">A556+1</f>
        <v>83</v>
      </c>
      <c r="B557" s="2287">
        <f t="shared" si="142"/>
        <v>78</v>
      </c>
      <c r="C557" s="2436">
        <f>IF('S. Setup'!$J$59&lt;&gt;"yes",0,SUMIF($D$634:$D$736,("="&amp;A557),$E$634:$E$736))</f>
        <v>0</v>
      </c>
      <c r="D557" s="2635">
        <f>IF('S. Setup'!$J$59&lt;&gt;"yes",0,SUMIF($H$634:$H$736,("="&amp;B557),$I$634:$I$736))</f>
        <v>0</v>
      </c>
      <c r="E557" s="869">
        <f>IF('S. Setup'!$J$59&lt;&gt;"yes",0,SUMIF($J$634:$J$736,("="&amp;A557),$K$634:$K$736))</f>
        <v>0</v>
      </c>
      <c r="F557" s="868">
        <f>IF('S. Setup'!$J$59&lt;&gt;"yes",0,SUMIF($L$634:$L$736,("="&amp;B557),$M$634:$M$736))</f>
        <v>0</v>
      </c>
      <c r="G557" s="857">
        <f>IF('S. Setup'!$J$59&lt;&gt;"yes",0,SUMIF($B$742:$B$844,("="&amp;A557),$C$742:$C$844))</f>
        <v>0</v>
      </c>
      <c r="H557" s="858">
        <f>IF('S. Setup'!$J$59&lt;&gt;"yes",0,SUMIF($D$742:$D$844,("="&amp;B557),$E$742:$E$844))</f>
        <v>0</v>
      </c>
      <c r="I557" s="993">
        <f>IF('S. Setup'!$J$59&lt;&gt;"yes",0,SUMIF($H$742:$H$844,("="&amp;A557),$I$742:$I$844))</f>
        <v>0</v>
      </c>
      <c r="J557" s="924">
        <f>IF('S. Setup'!$J$59&lt;&gt;"yes",0,SUMIF($L$742:$L$844,("="&amp;B557),$M$742:$M$844))</f>
        <v>0</v>
      </c>
      <c r="K557" s="2409"/>
      <c r="L557" s="2412">
        <f t="shared" si="119"/>
        <v>0</v>
      </c>
      <c r="M557" s="2189">
        <f t="shared" si="120"/>
        <v>0</v>
      </c>
    </row>
    <row r="558" spans="1:13" x14ac:dyDescent="0.25">
      <c r="A558" s="2281">
        <f t="shared" ref="A558:B558" si="143">A557+1</f>
        <v>84</v>
      </c>
      <c r="B558" s="2287">
        <f t="shared" si="143"/>
        <v>79</v>
      </c>
      <c r="C558" s="2436">
        <f>IF('S. Setup'!$J$59&lt;&gt;"yes",0,SUMIF($D$634:$D$736,("="&amp;A558),$E$634:$E$736))</f>
        <v>0</v>
      </c>
      <c r="D558" s="2635">
        <f>IF('S. Setup'!$J$59&lt;&gt;"yes",0,SUMIF($H$634:$H$736,("="&amp;B558),$I$634:$I$736))</f>
        <v>0</v>
      </c>
      <c r="E558" s="869">
        <f>IF('S. Setup'!$J$59&lt;&gt;"yes",0,SUMIF($J$634:$J$736,("="&amp;A558),$K$634:$K$736))</f>
        <v>0</v>
      </c>
      <c r="F558" s="868">
        <f>IF('S. Setup'!$J$59&lt;&gt;"yes",0,SUMIF($L$634:$L$736,("="&amp;B558),$M$634:$M$736))</f>
        <v>0</v>
      </c>
      <c r="G558" s="857">
        <f>IF('S. Setup'!$J$59&lt;&gt;"yes",0,SUMIF($B$742:$B$844,("="&amp;A558),$C$742:$C$844))</f>
        <v>0</v>
      </c>
      <c r="H558" s="858">
        <f>IF('S. Setup'!$J$59&lt;&gt;"yes",0,SUMIF($D$742:$D$844,("="&amp;B558),$E$742:$E$844))</f>
        <v>0</v>
      </c>
      <c r="I558" s="993">
        <f>IF('S. Setup'!$J$59&lt;&gt;"yes",0,SUMIF($H$742:$H$844,("="&amp;A558),$I$742:$I$844))</f>
        <v>0</v>
      </c>
      <c r="J558" s="924">
        <f>IF('S. Setup'!$J$59&lt;&gt;"yes",0,SUMIF($L$742:$L$844,("="&amp;B558),$M$742:$M$844))</f>
        <v>0</v>
      </c>
      <c r="K558" s="2409"/>
      <c r="L558" s="2412">
        <f t="shared" si="119"/>
        <v>0</v>
      </c>
      <c r="M558" s="2189">
        <f t="shared" si="120"/>
        <v>0</v>
      </c>
    </row>
    <row r="559" spans="1:13" x14ac:dyDescent="0.25">
      <c r="A559" s="2281">
        <f t="shared" ref="A559:B559" si="144">A558+1</f>
        <v>85</v>
      </c>
      <c r="B559" s="2287">
        <f t="shared" si="144"/>
        <v>80</v>
      </c>
      <c r="C559" s="2436">
        <f>IF('S. Setup'!$J$59&lt;&gt;"yes",0,SUMIF($D$634:$D$736,("="&amp;A559),$E$634:$E$736))</f>
        <v>0</v>
      </c>
      <c r="D559" s="2635">
        <f>IF('S. Setup'!$J$59&lt;&gt;"yes",0,SUMIF($H$634:$H$736,("="&amp;B559),$I$634:$I$736))</f>
        <v>0</v>
      </c>
      <c r="E559" s="869">
        <f>IF('S. Setup'!$J$59&lt;&gt;"yes",0,SUMIF($J$634:$J$736,("="&amp;A559),$K$634:$K$736))</f>
        <v>0</v>
      </c>
      <c r="F559" s="868">
        <f>IF('S. Setup'!$J$59&lt;&gt;"yes",0,SUMIF($L$634:$L$736,("="&amp;B559),$M$634:$M$736))</f>
        <v>0</v>
      </c>
      <c r="G559" s="857">
        <f>IF('S. Setup'!$J$59&lt;&gt;"yes",0,SUMIF($B$742:$B$844,("="&amp;A559),$C$742:$C$844))</f>
        <v>0</v>
      </c>
      <c r="H559" s="858">
        <f>IF('S. Setup'!$J$59&lt;&gt;"yes",0,SUMIF($D$742:$D$844,("="&amp;B559),$E$742:$E$844))</f>
        <v>0</v>
      </c>
      <c r="I559" s="993">
        <f>IF('S. Setup'!$J$59&lt;&gt;"yes",0,SUMIF($H$742:$H$844,("="&amp;A559),$I$742:$I$844))</f>
        <v>0</v>
      </c>
      <c r="J559" s="924">
        <f>IF('S. Setup'!$J$59&lt;&gt;"yes",0,SUMIF($L$742:$L$844,("="&amp;B559),$M$742:$M$844))</f>
        <v>0</v>
      </c>
      <c r="K559" s="2409"/>
      <c r="L559" s="2412">
        <f t="shared" si="119"/>
        <v>0</v>
      </c>
      <c r="M559" s="2189">
        <f t="shared" si="120"/>
        <v>0</v>
      </c>
    </row>
    <row r="560" spans="1:13" x14ac:dyDescent="0.25">
      <c r="A560" s="2281">
        <f t="shared" ref="A560:B560" si="145">A559+1</f>
        <v>86</v>
      </c>
      <c r="B560" s="2287">
        <f t="shared" si="145"/>
        <v>81</v>
      </c>
      <c r="C560" s="2436">
        <f>IF('S. Setup'!$J$59&lt;&gt;"yes",0,SUMIF($D$634:$D$736,("="&amp;A560),$E$634:$E$736))</f>
        <v>0</v>
      </c>
      <c r="D560" s="2635">
        <f>IF('S. Setup'!$J$59&lt;&gt;"yes",0,SUMIF($H$634:$H$736,("="&amp;B560),$I$634:$I$736))</f>
        <v>0</v>
      </c>
      <c r="E560" s="869">
        <f>IF('S. Setup'!$J$59&lt;&gt;"yes",0,SUMIF($J$634:$J$736,("="&amp;A560),$K$634:$K$736))</f>
        <v>0</v>
      </c>
      <c r="F560" s="868">
        <f>IF('S. Setup'!$J$59&lt;&gt;"yes",0,SUMIF($L$634:$L$736,("="&amp;B560),$M$634:$M$736))</f>
        <v>0</v>
      </c>
      <c r="G560" s="857">
        <f>IF('S. Setup'!$J$59&lt;&gt;"yes",0,SUMIF($B$742:$B$844,("="&amp;A560),$C$742:$C$844))</f>
        <v>0</v>
      </c>
      <c r="H560" s="858">
        <f>IF('S. Setup'!$J$59&lt;&gt;"yes",0,SUMIF($D$742:$D$844,("="&amp;B560),$E$742:$E$844))</f>
        <v>0</v>
      </c>
      <c r="I560" s="993">
        <f>IF('S. Setup'!$J$59&lt;&gt;"yes",0,SUMIF($H$742:$H$844,("="&amp;A560),$I$742:$I$844))</f>
        <v>0</v>
      </c>
      <c r="J560" s="924">
        <f>IF('S. Setup'!$J$59&lt;&gt;"yes",0,SUMIF($L$742:$L$844,("="&amp;B560),$M$742:$M$844))</f>
        <v>0</v>
      </c>
      <c r="K560" s="2409"/>
      <c r="L560" s="2412">
        <f t="shared" si="119"/>
        <v>0</v>
      </c>
      <c r="M560" s="2189">
        <f t="shared" si="120"/>
        <v>0</v>
      </c>
    </row>
    <row r="561" spans="1:13" x14ac:dyDescent="0.25">
      <c r="A561" s="2281">
        <f t="shared" ref="A561:B561" si="146">A560+1</f>
        <v>87</v>
      </c>
      <c r="B561" s="2287">
        <f t="shared" si="146"/>
        <v>82</v>
      </c>
      <c r="C561" s="2436">
        <f>IF('S. Setup'!$J$59&lt;&gt;"yes",0,SUMIF($D$634:$D$736,("="&amp;A561),$E$634:$E$736))</f>
        <v>0</v>
      </c>
      <c r="D561" s="2635">
        <f>IF('S. Setup'!$J$59&lt;&gt;"yes",0,SUMIF($H$634:$H$736,("="&amp;B561),$I$634:$I$736))</f>
        <v>0</v>
      </c>
      <c r="E561" s="869">
        <f>IF('S. Setup'!$J$59&lt;&gt;"yes",0,SUMIF($J$634:$J$736,("="&amp;A561),$K$634:$K$736))</f>
        <v>0</v>
      </c>
      <c r="F561" s="868">
        <f>IF('S. Setup'!$J$59&lt;&gt;"yes",0,SUMIF($L$634:$L$736,("="&amp;B561),$M$634:$M$736))</f>
        <v>0</v>
      </c>
      <c r="G561" s="857">
        <f>IF('S. Setup'!$J$59&lt;&gt;"yes",0,SUMIF($B$742:$B$844,("="&amp;A561),$C$742:$C$844))</f>
        <v>0</v>
      </c>
      <c r="H561" s="858">
        <f>IF('S. Setup'!$J$59&lt;&gt;"yes",0,SUMIF($D$742:$D$844,("="&amp;B561),$E$742:$E$844))</f>
        <v>0</v>
      </c>
      <c r="I561" s="993">
        <f>IF('S. Setup'!$J$59&lt;&gt;"yes",0,SUMIF($H$742:$H$844,("="&amp;A561),$I$742:$I$844))</f>
        <v>0</v>
      </c>
      <c r="J561" s="924">
        <f>IF('S. Setup'!$J$59&lt;&gt;"yes",0,SUMIF($L$742:$L$844,("="&amp;B561),$M$742:$M$844))</f>
        <v>0</v>
      </c>
      <c r="K561" s="2409"/>
      <c r="L561" s="2412">
        <f t="shared" si="119"/>
        <v>0</v>
      </c>
      <c r="M561" s="2189">
        <f t="shared" si="120"/>
        <v>0</v>
      </c>
    </row>
    <row r="562" spans="1:13" x14ac:dyDescent="0.25">
      <c r="A562" s="2281">
        <f t="shared" ref="A562:B562" si="147">A561+1</f>
        <v>88</v>
      </c>
      <c r="B562" s="2287">
        <f t="shared" si="147"/>
        <v>83</v>
      </c>
      <c r="C562" s="2436">
        <f>IF('S. Setup'!$J$59&lt;&gt;"yes",0,SUMIF($D$634:$D$736,("="&amp;A562),$E$634:$E$736))</f>
        <v>0</v>
      </c>
      <c r="D562" s="2635">
        <f>IF('S. Setup'!$J$59&lt;&gt;"yes",0,SUMIF($H$634:$H$736,("="&amp;B562),$I$634:$I$736))</f>
        <v>0</v>
      </c>
      <c r="E562" s="869">
        <f>IF('S. Setup'!$J$59&lt;&gt;"yes",0,SUMIF($J$634:$J$736,("="&amp;A562),$K$634:$K$736))</f>
        <v>0</v>
      </c>
      <c r="F562" s="868">
        <f>IF('S. Setup'!$J$59&lt;&gt;"yes",0,SUMIF($L$634:$L$736,("="&amp;B562),$M$634:$M$736))</f>
        <v>0</v>
      </c>
      <c r="G562" s="857">
        <f>IF('S. Setup'!$J$59&lt;&gt;"yes",0,SUMIF($B$742:$B$844,("="&amp;A562),$C$742:$C$844))</f>
        <v>0</v>
      </c>
      <c r="H562" s="858">
        <f>IF('S. Setup'!$J$59&lt;&gt;"yes",0,SUMIF($D$742:$D$844,("="&amp;B562),$E$742:$E$844))</f>
        <v>0</v>
      </c>
      <c r="I562" s="993">
        <f>IF('S. Setup'!$J$59&lt;&gt;"yes",0,SUMIF($H$742:$H$844,("="&amp;A562),$I$742:$I$844))</f>
        <v>0</v>
      </c>
      <c r="J562" s="924">
        <f>IF('S. Setup'!$J$59&lt;&gt;"yes",0,SUMIF($L$742:$L$844,("="&amp;B562),$M$742:$M$844))</f>
        <v>0</v>
      </c>
      <c r="K562" s="2409"/>
      <c r="L562" s="2412">
        <f t="shared" si="119"/>
        <v>0</v>
      </c>
      <c r="M562" s="2189">
        <f t="shared" si="120"/>
        <v>0</v>
      </c>
    </row>
    <row r="563" spans="1:13" x14ac:dyDescent="0.25">
      <c r="A563" s="2281">
        <f t="shared" ref="A563:B563" si="148">A562+1</f>
        <v>89</v>
      </c>
      <c r="B563" s="2287">
        <f t="shared" si="148"/>
        <v>84</v>
      </c>
      <c r="C563" s="2436">
        <f>IF('S. Setup'!$J$59&lt;&gt;"yes",0,SUMIF($D$634:$D$736,("="&amp;A563),$E$634:$E$736))</f>
        <v>0</v>
      </c>
      <c r="D563" s="2635">
        <f>IF('S. Setup'!$J$59&lt;&gt;"yes",0,SUMIF($H$634:$H$736,("="&amp;B563),$I$634:$I$736))</f>
        <v>0</v>
      </c>
      <c r="E563" s="869">
        <f>IF('S. Setup'!$J$59&lt;&gt;"yes",0,SUMIF($J$634:$J$736,("="&amp;A563),$K$634:$K$736))</f>
        <v>0</v>
      </c>
      <c r="F563" s="868">
        <f>IF('S. Setup'!$J$59&lt;&gt;"yes",0,SUMIF($L$634:$L$736,("="&amp;B563),$M$634:$M$736))</f>
        <v>0</v>
      </c>
      <c r="G563" s="857">
        <f>IF('S. Setup'!$J$59&lt;&gt;"yes",0,SUMIF($B$742:$B$844,("="&amp;A563),$C$742:$C$844))</f>
        <v>0</v>
      </c>
      <c r="H563" s="858">
        <f>IF('S. Setup'!$J$59&lt;&gt;"yes",0,SUMIF($D$742:$D$844,("="&amp;B563),$E$742:$E$844))</f>
        <v>0</v>
      </c>
      <c r="I563" s="993">
        <f>IF('S. Setup'!$J$59&lt;&gt;"yes",0,SUMIF($H$742:$H$844,("="&amp;A563),$I$742:$I$844))</f>
        <v>0</v>
      </c>
      <c r="J563" s="924">
        <f>IF('S. Setup'!$J$59&lt;&gt;"yes",0,SUMIF($L$742:$L$844,("="&amp;B563),$M$742:$M$844))</f>
        <v>0</v>
      </c>
      <c r="K563" s="2409"/>
      <c r="L563" s="2412">
        <f t="shared" si="119"/>
        <v>0</v>
      </c>
      <c r="M563" s="2189">
        <f t="shared" si="120"/>
        <v>0</v>
      </c>
    </row>
    <row r="564" spans="1:13" x14ac:dyDescent="0.25">
      <c r="A564" s="2281">
        <f t="shared" ref="A564:B564" si="149">A563+1</f>
        <v>90</v>
      </c>
      <c r="B564" s="2287">
        <f t="shared" si="149"/>
        <v>85</v>
      </c>
      <c r="C564" s="2436">
        <f>IF('S. Setup'!$J$59&lt;&gt;"yes",0,SUMIF($D$634:$D$736,("="&amp;A564),$E$634:$E$736))</f>
        <v>0</v>
      </c>
      <c r="D564" s="2635">
        <f>IF('S. Setup'!$J$59&lt;&gt;"yes",0,SUMIF($H$634:$H$736,("="&amp;B564),$I$634:$I$736))</f>
        <v>0</v>
      </c>
      <c r="E564" s="869">
        <f>IF('S. Setup'!$J$59&lt;&gt;"yes",0,SUMIF($J$634:$J$736,("="&amp;A564),$K$634:$K$736))</f>
        <v>0</v>
      </c>
      <c r="F564" s="868">
        <f>IF('S. Setup'!$J$59&lt;&gt;"yes",0,SUMIF($L$634:$L$736,("="&amp;B564),$M$634:$M$736))</f>
        <v>0</v>
      </c>
      <c r="G564" s="857">
        <f>IF('S. Setup'!$J$59&lt;&gt;"yes",0,SUMIF($B$742:$B$844,("="&amp;A564),$C$742:$C$844))</f>
        <v>0</v>
      </c>
      <c r="H564" s="858">
        <f>IF('S. Setup'!$J$59&lt;&gt;"yes",0,SUMIF($D$742:$D$844,("="&amp;B564),$E$742:$E$844))</f>
        <v>0</v>
      </c>
      <c r="I564" s="993">
        <f>IF('S. Setup'!$J$59&lt;&gt;"yes",0,SUMIF($H$742:$H$844,("="&amp;A564),$I$742:$I$844))</f>
        <v>0</v>
      </c>
      <c r="J564" s="924">
        <f>IF('S. Setup'!$J$59&lt;&gt;"yes",0,SUMIF($L$742:$L$844,("="&amp;B564),$M$742:$M$844))</f>
        <v>0</v>
      </c>
      <c r="K564" s="2409"/>
      <c r="L564" s="2412">
        <f t="shared" si="119"/>
        <v>0</v>
      </c>
      <c r="M564" s="2189">
        <f t="shared" si="120"/>
        <v>0</v>
      </c>
    </row>
    <row r="565" spans="1:13" x14ac:dyDescent="0.25">
      <c r="A565" s="2281">
        <f t="shared" ref="A565:B565" si="150">A564+1</f>
        <v>91</v>
      </c>
      <c r="B565" s="2287">
        <f t="shared" si="150"/>
        <v>86</v>
      </c>
      <c r="C565" s="2436">
        <f>IF('S. Setup'!$J$59&lt;&gt;"yes",0,SUMIF($D$634:$D$736,("="&amp;A565),$E$634:$E$736))</f>
        <v>0</v>
      </c>
      <c r="D565" s="2635">
        <f>IF('S. Setup'!$J$59&lt;&gt;"yes",0,SUMIF($H$634:$H$736,("="&amp;B565),$I$634:$I$736))</f>
        <v>0</v>
      </c>
      <c r="E565" s="869">
        <f>IF('S. Setup'!$J$59&lt;&gt;"yes",0,SUMIF($J$634:$J$736,("="&amp;A565),$K$634:$K$736))</f>
        <v>0</v>
      </c>
      <c r="F565" s="868">
        <f>IF('S. Setup'!$J$59&lt;&gt;"yes",0,SUMIF($L$634:$L$736,("="&amp;B565),$M$634:$M$736))</f>
        <v>0</v>
      </c>
      <c r="G565" s="857">
        <f>IF('S. Setup'!$J$59&lt;&gt;"yes",0,SUMIF($B$742:$B$844,("="&amp;A565),$C$742:$C$844))</f>
        <v>0</v>
      </c>
      <c r="H565" s="858">
        <f>IF('S. Setup'!$J$59&lt;&gt;"yes",0,SUMIF($D$742:$D$844,("="&amp;B565),$E$742:$E$844))</f>
        <v>0</v>
      </c>
      <c r="I565" s="993">
        <f>IF('S. Setup'!$J$59&lt;&gt;"yes",0,SUMIF($H$742:$H$844,("="&amp;A565),$I$742:$I$844))</f>
        <v>0</v>
      </c>
      <c r="J565" s="924">
        <f>IF('S. Setup'!$J$59&lt;&gt;"yes",0,SUMIF($L$742:$L$844,("="&amp;B565),$M$742:$M$844))</f>
        <v>0</v>
      </c>
      <c r="K565" s="2409"/>
      <c r="L565" s="2412">
        <f t="shared" si="119"/>
        <v>0</v>
      </c>
      <c r="M565" s="2189">
        <f t="shared" si="120"/>
        <v>0</v>
      </c>
    </row>
    <row r="566" spans="1:13" x14ac:dyDescent="0.25">
      <c r="A566" s="2281">
        <f t="shared" ref="A566:B566" si="151">A565+1</f>
        <v>92</v>
      </c>
      <c r="B566" s="2287">
        <f t="shared" si="151"/>
        <v>87</v>
      </c>
      <c r="C566" s="2436">
        <f>IF('S. Setup'!$J$59&lt;&gt;"yes",0,SUMIF($D$634:$D$736,("="&amp;A566),$E$634:$E$736))</f>
        <v>0</v>
      </c>
      <c r="D566" s="2635">
        <f>IF('S. Setup'!$J$59&lt;&gt;"yes",0,SUMIF($H$634:$H$736,("="&amp;B566),$I$634:$I$736))</f>
        <v>0</v>
      </c>
      <c r="E566" s="869">
        <f>IF('S. Setup'!$J$59&lt;&gt;"yes",0,SUMIF($J$634:$J$736,("="&amp;A566),$K$634:$K$736))</f>
        <v>0</v>
      </c>
      <c r="F566" s="868">
        <f>IF('S. Setup'!$J$59&lt;&gt;"yes",0,SUMIF($L$634:$L$736,("="&amp;B566),$M$634:$M$736))</f>
        <v>0</v>
      </c>
      <c r="G566" s="857">
        <f>IF('S. Setup'!$J$59&lt;&gt;"yes",0,SUMIF($B$742:$B$844,("="&amp;A566),$C$742:$C$844))</f>
        <v>0</v>
      </c>
      <c r="H566" s="858">
        <f>IF('S. Setup'!$J$59&lt;&gt;"yes",0,SUMIF($D$742:$D$844,("="&amp;B566),$E$742:$E$844))</f>
        <v>0</v>
      </c>
      <c r="I566" s="993">
        <f>IF('S. Setup'!$J$59&lt;&gt;"yes",0,SUMIF($H$742:$H$844,("="&amp;A566),$I$742:$I$844))</f>
        <v>0</v>
      </c>
      <c r="J566" s="924">
        <f>IF('S. Setup'!$J$59&lt;&gt;"yes",0,SUMIF($L$742:$L$844,("="&amp;B566),$M$742:$M$844))</f>
        <v>0</v>
      </c>
      <c r="K566" s="2409"/>
      <c r="L566" s="2412">
        <f t="shared" si="119"/>
        <v>0</v>
      </c>
      <c r="M566" s="2189">
        <f t="shared" si="120"/>
        <v>0</v>
      </c>
    </row>
    <row r="567" spans="1:13" x14ac:dyDescent="0.25">
      <c r="A567" s="2281">
        <f t="shared" ref="A567:B567" si="152">A566+1</f>
        <v>93</v>
      </c>
      <c r="B567" s="2287">
        <f t="shared" si="152"/>
        <v>88</v>
      </c>
      <c r="C567" s="2436">
        <f>IF('S. Setup'!$J$59&lt;&gt;"yes",0,SUMIF($D$634:$D$736,("="&amp;A567),$E$634:$E$736))</f>
        <v>0</v>
      </c>
      <c r="D567" s="2635">
        <f>IF('S. Setup'!$J$59&lt;&gt;"yes",0,SUMIF($H$634:$H$736,("="&amp;B567),$I$634:$I$736))</f>
        <v>0</v>
      </c>
      <c r="E567" s="869">
        <f>IF('S. Setup'!$J$59&lt;&gt;"yes",0,SUMIF($J$634:$J$736,("="&amp;A567),$K$634:$K$736))</f>
        <v>0</v>
      </c>
      <c r="F567" s="868">
        <f>IF('S. Setup'!$J$59&lt;&gt;"yes",0,SUMIF($L$634:$L$736,("="&amp;B567),$M$634:$M$736))</f>
        <v>0</v>
      </c>
      <c r="G567" s="857">
        <f>IF('S. Setup'!$J$59&lt;&gt;"yes",0,SUMIF($B$742:$B$844,("="&amp;A567),$C$742:$C$844))</f>
        <v>0</v>
      </c>
      <c r="H567" s="858">
        <f>IF('S. Setup'!$J$59&lt;&gt;"yes",0,SUMIF($D$742:$D$844,("="&amp;B567),$E$742:$E$844))</f>
        <v>0</v>
      </c>
      <c r="I567" s="993">
        <f>IF('S. Setup'!$J$59&lt;&gt;"yes",0,SUMIF($H$742:$H$844,("="&amp;A567),$I$742:$I$844))</f>
        <v>0</v>
      </c>
      <c r="J567" s="924">
        <f>IF('S. Setup'!$J$59&lt;&gt;"yes",0,SUMIF($L$742:$L$844,("="&amp;B567),$M$742:$M$844))</f>
        <v>0</v>
      </c>
      <c r="K567" s="2409"/>
      <c r="L567" s="2412">
        <f t="shared" si="119"/>
        <v>0</v>
      </c>
      <c r="M567" s="2189">
        <f t="shared" si="120"/>
        <v>0</v>
      </c>
    </row>
    <row r="568" spans="1:13" x14ac:dyDescent="0.25">
      <c r="A568" s="2281">
        <f t="shared" ref="A568:B568" si="153">A567+1</f>
        <v>94</v>
      </c>
      <c r="B568" s="2287">
        <f t="shared" si="153"/>
        <v>89</v>
      </c>
      <c r="C568" s="2436">
        <f>IF('S. Setup'!$J$59&lt;&gt;"yes",0,SUMIF($D$634:$D$736,("="&amp;A568),$E$634:$E$736))</f>
        <v>0</v>
      </c>
      <c r="D568" s="2635">
        <f>IF('S. Setup'!$J$59&lt;&gt;"yes",0,SUMIF($H$634:$H$736,("="&amp;B568),$I$634:$I$736))</f>
        <v>0</v>
      </c>
      <c r="E568" s="869">
        <f>IF('S. Setup'!$J$59&lt;&gt;"yes",0,SUMIF($J$634:$J$736,("="&amp;A568),$K$634:$K$736))</f>
        <v>0</v>
      </c>
      <c r="F568" s="868">
        <f>IF('S. Setup'!$J$59&lt;&gt;"yes",0,SUMIF($L$634:$L$736,("="&amp;B568),$M$634:$M$736))</f>
        <v>0</v>
      </c>
      <c r="G568" s="857">
        <f>IF('S. Setup'!$J$59&lt;&gt;"yes",0,SUMIF($B$742:$B$844,("="&amp;A568),$C$742:$C$844))</f>
        <v>0</v>
      </c>
      <c r="H568" s="858">
        <f>IF('S. Setup'!$J$59&lt;&gt;"yes",0,SUMIF($D$742:$D$844,("="&amp;B568),$E$742:$E$844))</f>
        <v>0</v>
      </c>
      <c r="I568" s="993">
        <f>IF('S. Setup'!$J$59&lt;&gt;"yes",0,SUMIF($H$742:$H$844,("="&amp;A568),$I$742:$I$844))</f>
        <v>0</v>
      </c>
      <c r="J568" s="924">
        <f>IF('S. Setup'!$J$59&lt;&gt;"yes",0,SUMIF($L$742:$L$844,("="&amp;B568),$M$742:$M$844))</f>
        <v>0</v>
      </c>
      <c r="K568" s="2409"/>
      <c r="L568" s="2412">
        <f t="shared" si="119"/>
        <v>0</v>
      </c>
      <c r="M568" s="2189">
        <f t="shared" si="120"/>
        <v>0</v>
      </c>
    </row>
    <row r="569" spans="1:13" x14ac:dyDescent="0.25">
      <c r="A569" s="2281">
        <f t="shared" ref="A569:B569" si="154">A568+1</f>
        <v>95</v>
      </c>
      <c r="B569" s="2287">
        <f t="shared" si="154"/>
        <v>90</v>
      </c>
      <c r="C569" s="2436">
        <f>IF('S. Setup'!$J$59&lt;&gt;"yes",0,SUMIF($D$634:$D$736,("="&amp;A569),$E$634:$E$736))</f>
        <v>0</v>
      </c>
      <c r="D569" s="2635">
        <f>IF('S. Setup'!$J$59&lt;&gt;"yes",0,SUMIF($H$634:$H$736,("="&amp;B569),$I$634:$I$736))</f>
        <v>0</v>
      </c>
      <c r="E569" s="869">
        <f>IF('S. Setup'!$J$59&lt;&gt;"yes",0,SUMIF($J$634:$J$736,("="&amp;A569),$K$634:$K$736))</f>
        <v>0</v>
      </c>
      <c r="F569" s="868">
        <f>IF('S. Setup'!$J$59&lt;&gt;"yes",0,SUMIF($L$634:$L$736,("="&amp;B569),$M$634:$M$736))</f>
        <v>0</v>
      </c>
      <c r="G569" s="857">
        <f>IF('S. Setup'!$J$59&lt;&gt;"yes",0,SUMIF($B$742:$B$844,("="&amp;A569),$C$742:$C$844))</f>
        <v>0</v>
      </c>
      <c r="H569" s="858">
        <f>IF('S. Setup'!$J$59&lt;&gt;"yes",0,SUMIF($D$742:$D$844,("="&amp;B569),$E$742:$E$844))</f>
        <v>0</v>
      </c>
      <c r="I569" s="993">
        <f>IF('S. Setup'!$J$59&lt;&gt;"yes",0,SUMIF($H$742:$H$844,("="&amp;A569),$I$742:$I$844))</f>
        <v>0</v>
      </c>
      <c r="J569" s="924">
        <f>IF('S. Setup'!$J$59&lt;&gt;"yes",0,SUMIF($L$742:$L$844,("="&amp;B569),$M$742:$M$844))</f>
        <v>0</v>
      </c>
      <c r="K569" s="2409"/>
      <c r="L569" s="2412">
        <f t="shared" si="119"/>
        <v>0</v>
      </c>
      <c r="M569" s="2189">
        <f t="shared" si="120"/>
        <v>0</v>
      </c>
    </row>
    <row r="570" spans="1:13" ht="15.75" thickBot="1" x14ac:dyDescent="0.3">
      <c r="A570" s="2285">
        <f t="shared" ref="A570:B570" si="155">A569+1</f>
        <v>96</v>
      </c>
      <c r="B570" s="2288">
        <f t="shared" si="155"/>
        <v>91</v>
      </c>
      <c r="C570" s="2437">
        <f>IF('S. Setup'!$J$59&lt;&gt;"yes",0,SUMIF($D$634:$D$736,("="&amp;A570),$E$634:$E$736))</f>
        <v>0</v>
      </c>
      <c r="D570" s="1823">
        <f>IF('S. Setup'!$J$59&lt;&gt;"yes",0,SUMIF($H$634:$H$736,("="&amp;B570),$I$634:$I$736))</f>
        <v>0</v>
      </c>
      <c r="E570" s="1975">
        <f>IF('S. Setup'!$J$59&lt;&gt;"yes",0,SUMIF($J$634:$J$736,("="&amp;A570),$K$634:$K$736))</f>
        <v>0</v>
      </c>
      <c r="F570" s="1896">
        <f>IF('S. Setup'!$J$59&lt;&gt;"yes",0,SUMIF($L$634:$L$736,("="&amp;B570),$M$634:$M$736))</f>
        <v>0</v>
      </c>
      <c r="G570" s="1969">
        <f>IF('S. Setup'!$J$59&lt;&gt;"yes",0,SUMIF($B$742:$B$844,("="&amp;A570),$C$742:$C$844))</f>
        <v>0</v>
      </c>
      <c r="H570" s="1433">
        <f>IF('S. Setup'!$J$59&lt;&gt;"yes",0,SUMIF($D$742:$D$844,("="&amp;B570),$E$742:$E$844))</f>
        <v>0</v>
      </c>
      <c r="I570" s="1972">
        <f>IF('S. Setup'!$J$59&lt;&gt;"yes",0,SUMIF($H$742:$H$844,("="&amp;A570),$I$742:$I$844))</f>
        <v>0</v>
      </c>
      <c r="J570" s="2321">
        <f>IF('S. Setup'!$J$59&lt;&gt;"yes",0,SUMIF($L$742:$L$844,("="&amp;B570),$M$742:$M$844))</f>
        <v>0</v>
      </c>
      <c r="K570" s="1948"/>
      <c r="L570" s="2413">
        <f t="shared" si="119"/>
        <v>0</v>
      </c>
      <c r="M570" s="2191">
        <f t="shared" si="120"/>
        <v>0</v>
      </c>
    </row>
    <row r="571" spans="1:13" ht="15" customHeight="1" thickTop="1" x14ac:dyDescent="0.25">
      <c r="A571" s="2013"/>
      <c r="M571" s="1342"/>
    </row>
    <row r="572" spans="1:13" ht="15.75" thickBot="1" x14ac:dyDescent="0.3">
      <c r="A572" s="1336"/>
      <c r="M572" s="1315"/>
    </row>
    <row r="573" spans="1:13" ht="19.5" thickTop="1" x14ac:dyDescent="0.3">
      <c r="A573" s="1340" t="s">
        <v>2003</v>
      </c>
      <c r="B573" s="1341"/>
      <c r="C573" s="1341"/>
      <c r="D573" s="1341"/>
      <c r="E573" s="2282"/>
      <c r="F573" s="1341"/>
      <c r="G573" s="1341"/>
      <c r="H573" s="1341"/>
      <c r="I573" s="1341"/>
      <c r="J573" s="1341"/>
      <c r="K573" s="1341"/>
      <c r="L573" s="1341"/>
      <c r="M573" s="1342"/>
    </row>
    <row r="574" spans="1:13" ht="18.75" x14ac:dyDescent="0.3">
      <c r="A574" s="1416" t="s">
        <v>2029</v>
      </c>
      <c r="B574" s="6"/>
      <c r="C574" s="6"/>
      <c r="D574" s="6"/>
      <c r="E574" s="13"/>
      <c r="F574" s="6"/>
      <c r="G574" s="6"/>
      <c r="H574" s="6"/>
      <c r="I574" s="144"/>
      <c r="J574" s="6"/>
      <c r="K574" s="6"/>
      <c r="M574" s="1311"/>
    </row>
    <row r="575" spans="1:13" ht="18.75" x14ac:dyDescent="0.3">
      <c r="A575" s="1336" t="s">
        <v>2891</v>
      </c>
      <c r="C575" s="6"/>
      <c r="D575" s="6"/>
      <c r="E575" s="13"/>
      <c r="F575" s="6"/>
      <c r="G575" s="6"/>
      <c r="H575" s="6"/>
      <c r="I575" s="144"/>
      <c r="J575" s="6"/>
      <c r="K575" s="6"/>
      <c r="M575" s="1311"/>
    </row>
    <row r="576" spans="1:13" ht="18.75" x14ac:dyDescent="0.3">
      <c r="A576" s="1336"/>
      <c r="B576" s="215" t="s">
        <v>1959</v>
      </c>
      <c r="C576" s="6"/>
      <c r="D576" s="6"/>
      <c r="E576" s="13"/>
      <c r="F576" s="6"/>
      <c r="G576" s="6"/>
      <c r="H576" s="6"/>
      <c r="I576" s="144"/>
      <c r="J576" s="6"/>
      <c r="K576" s="6"/>
      <c r="M576" s="1311"/>
    </row>
    <row r="577" spans="1:13" ht="18.75" x14ac:dyDescent="0.3">
      <c r="A577" s="1416" t="s">
        <v>2434</v>
      </c>
      <c r="B577" s="6"/>
      <c r="C577" s="6"/>
      <c r="D577" s="1295"/>
      <c r="E577" s="1295"/>
      <c r="F577" s="1295"/>
      <c r="G577" s="33"/>
      <c r="H577" s="1295"/>
      <c r="I577" s="2318"/>
      <c r="J577" s="1295"/>
      <c r="K577" s="1295"/>
      <c r="L577" s="1295"/>
      <c r="M577" s="1311"/>
    </row>
    <row r="578" spans="1:13" x14ac:dyDescent="0.25">
      <c r="A578" s="2329" t="s">
        <v>1876</v>
      </c>
      <c r="B578" s="6"/>
      <c r="C578" s="1295"/>
      <c r="D578" s="1295"/>
      <c r="E578" s="2254"/>
      <c r="F578" s="6"/>
      <c r="G578" s="6"/>
      <c r="H578" s="6"/>
      <c r="I578" s="6"/>
      <c r="J578" s="6"/>
      <c r="K578" s="6"/>
      <c r="L578" s="6"/>
      <c r="M578" s="1311"/>
    </row>
    <row r="579" spans="1:13" s="215" customFormat="1" x14ac:dyDescent="0.25">
      <c r="A579" s="2330" t="s">
        <v>2435</v>
      </c>
      <c r="B579" s="66"/>
      <c r="C579" s="1295"/>
      <c r="D579" s="1295"/>
      <c r="E579" s="1764"/>
      <c r="F579" s="66"/>
      <c r="G579" s="66"/>
      <c r="H579" s="66"/>
      <c r="I579" s="66"/>
      <c r="J579" s="66"/>
      <c r="K579" s="66"/>
      <c r="L579" s="66"/>
      <c r="M579" s="1344"/>
    </row>
    <row r="580" spans="1:13" x14ac:dyDescent="0.25">
      <c r="A580" s="2357" t="s">
        <v>2030</v>
      </c>
      <c r="B580" s="66"/>
      <c r="C580" s="1295"/>
      <c r="D580" s="1295"/>
      <c r="E580" s="1764"/>
      <c r="F580" s="66"/>
      <c r="G580" s="66"/>
      <c r="H580" s="66"/>
      <c r="I580" s="66"/>
      <c r="J580" s="66"/>
      <c r="K580" s="66"/>
      <c r="L580" s="66"/>
      <c r="M580" s="1344"/>
    </row>
    <row r="581" spans="1:13" x14ac:dyDescent="0.25">
      <c r="A581" s="2330" t="s">
        <v>2436</v>
      </c>
      <c r="B581" s="66"/>
      <c r="C581" s="1295"/>
      <c r="D581" s="1295"/>
      <c r="E581" s="1764"/>
      <c r="F581" s="66"/>
      <c r="G581" s="66"/>
      <c r="H581" s="66"/>
      <c r="I581" s="66"/>
      <c r="J581" s="66"/>
      <c r="K581" s="66"/>
      <c r="L581" s="66"/>
      <c r="M581" s="1344"/>
    </row>
    <row r="582" spans="1:13" x14ac:dyDescent="0.25">
      <c r="A582" s="2357" t="s">
        <v>2031</v>
      </c>
      <c r="B582" s="66"/>
      <c r="C582" s="1295"/>
      <c r="D582" s="1295"/>
      <c r="E582" s="1764"/>
      <c r="F582" s="66"/>
      <c r="G582" s="66"/>
      <c r="H582" s="66"/>
      <c r="I582" s="66"/>
      <c r="M582" s="1344"/>
    </row>
    <row r="583" spans="1:13" x14ac:dyDescent="0.25">
      <c r="A583" s="1609" t="s">
        <v>2892</v>
      </c>
      <c r="B583" s="1238"/>
      <c r="C583" s="1295"/>
      <c r="D583" s="1295"/>
      <c r="E583" s="2254"/>
      <c r="F583" s="6"/>
      <c r="G583" s="6"/>
      <c r="H583" s="6"/>
      <c r="I583" s="6"/>
      <c r="J583" s="6"/>
      <c r="K583" s="6"/>
      <c r="L583" s="6"/>
      <c r="M583" s="1311"/>
    </row>
    <row r="584" spans="1:13" ht="15.75" thickBot="1" x14ac:dyDescent="0.3">
      <c r="A584" s="1609"/>
      <c r="B584" s="1238"/>
      <c r="C584" s="1295"/>
      <c r="D584" s="1295"/>
      <c r="E584" s="2254"/>
      <c r="F584" s="6"/>
      <c r="G584" s="6"/>
      <c r="H584" s="6"/>
      <c r="I584" s="6"/>
      <c r="J584" s="6"/>
      <c r="K584" s="6"/>
      <c r="L584" s="6"/>
      <c r="M584" s="1311"/>
    </row>
    <row r="585" spans="1:13" ht="50.25" thickTop="1" thickBot="1" x14ac:dyDescent="0.3">
      <c r="A585" s="313" t="s">
        <v>142</v>
      </c>
      <c r="B585" s="407" t="s">
        <v>143</v>
      </c>
      <c r="C585" s="512" t="s">
        <v>1961</v>
      </c>
      <c r="D585" s="512" t="s">
        <v>1962</v>
      </c>
      <c r="E585" s="453" t="s">
        <v>2006</v>
      </c>
      <c r="F585" s="453" t="s">
        <v>2007</v>
      </c>
      <c r="G585" s="431" t="s">
        <v>2008</v>
      </c>
      <c r="H585" s="431" t="s">
        <v>2009</v>
      </c>
      <c r="I585" s="2326" t="s">
        <v>1885</v>
      </c>
      <c r="J585" s="2326" t="s">
        <v>1886</v>
      </c>
      <c r="K585" s="2279" t="s">
        <v>2010</v>
      </c>
      <c r="L585" s="2449" t="s">
        <v>2011</v>
      </c>
      <c r="M585" s="1311"/>
    </row>
    <row r="586" spans="1:13" ht="16.5" thickTop="1" thickBot="1" x14ac:dyDescent="0.3">
      <c r="A586" s="3208">
        <f>A587-1</f>
        <v>59</v>
      </c>
      <c r="B586" s="3209">
        <f>B587-1</f>
        <v>54</v>
      </c>
      <c r="C586" s="3210"/>
      <c r="D586" s="3211"/>
      <c r="E586" s="3212">
        <f>D93</f>
        <v>4000</v>
      </c>
      <c r="F586" s="3212">
        <f>D99</f>
        <v>3000</v>
      </c>
      <c r="G586" s="3213">
        <f>D94</f>
        <v>2000</v>
      </c>
      <c r="H586" s="3214">
        <f>D100</f>
        <v>4500</v>
      </c>
      <c r="I586" s="3217" t="s">
        <v>2430</v>
      </c>
      <c r="J586" s="3215"/>
      <c r="K586" s="3215"/>
      <c r="L586" s="3215"/>
      <c r="M586" s="2543"/>
    </row>
    <row r="587" spans="1:13" x14ac:dyDescent="0.25">
      <c r="A587" s="1444">
        <f>'1. AgeData'!$D$30</f>
        <v>60</v>
      </c>
      <c r="B587" s="883">
        <f>'1. AgeData'!$D$31</f>
        <v>55</v>
      </c>
      <c r="C587" s="837"/>
      <c r="D587" s="837"/>
      <c r="E587" s="869">
        <f t="shared" ref="E587:E623" si="156">MAX(0,IF(AND((A587&gt;=$K$116),(A587-$K$116)&lt;5),(1/(6-IF((A587-$K$116)&gt;5,1000000,(A587-$K$116+1))))),0)*IF(A587=$K$116,E$293,E293)</f>
        <v>0</v>
      </c>
      <c r="F587" s="868">
        <f t="shared" ref="F587:F623" si="157">MAX(0,IF(AND((B587&gt;=$K$122),(B587-$K$122)&lt;5),(1/(6-IF((B587-$K$122)&gt;5,1000000,(B587-$K$122+1))))),0)*IF(B587=$K$122,F$293,F293)</f>
        <v>0</v>
      </c>
      <c r="G587" s="857">
        <f>IF(OR(A587&lt;$K$117,I587=0),0,G293/I587)</f>
        <v>0</v>
      </c>
      <c r="H587" s="858">
        <f>IF(OR(B587&lt;$K$123,J587=0),0,H293/J587)</f>
        <v>0</v>
      </c>
      <c r="I587" s="2327">
        <f>IF(AND(A587&gt;'1. AgeData'!$I$30,'S. Setup'!I$84="remove"), 0,1)*IF(($A587&gt;=70),INDEX('12. RMDtable'!$B$43:$B$82,($A587-70+1),0),0)</f>
        <v>0</v>
      </c>
      <c r="J587" s="2327">
        <f>IF(AND(B587&gt;'1. AgeData'!$I$31,'S. Setup'!I$84="remove"), 0,1)*IF(($B587&gt;=70),INDEX('12. RMDtable'!$B$43:$B$82,($B587-70+1),0),0)</f>
        <v>0</v>
      </c>
      <c r="K587" s="993">
        <f>IF(AND(A587&gt;'1. AgeData'!$I$30,'S. Setup'!$J$84="remove"),0,1) * IF(I587=0,0,IF(A587='1. AgeData'!$D$30, $D$95,#REF!)/I587)</f>
        <v>0</v>
      </c>
      <c r="L587" s="2320">
        <f>IF(AND(B587&gt;'1. AgeData'!$I$31,'S. Setup'!$J$84="remove"),0,1) * IF(J587=0,0,IF(B587='1. AgeData'!$D$31, $D$101,#REF!)/J587)</f>
        <v>0</v>
      </c>
      <c r="M587" s="1311"/>
    </row>
    <row r="588" spans="1:13" x14ac:dyDescent="0.25">
      <c r="A588" s="2281">
        <f>A587+1</f>
        <v>61</v>
      </c>
      <c r="B588" s="2287">
        <f>B587+1</f>
        <v>56</v>
      </c>
      <c r="C588" s="837"/>
      <c r="D588" s="837"/>
      <c r="E588" s="869">
        <f t="shared" si="156"/>
        <v>0</v>
      </c>
      <c r="F588" s="868">
        <f t="shared" si="157"/>
        <v>0</v>
      </c>
      <c r="G588" s="857">
        <f t="shared" ref="G588:G623" si="158">IF(OR(A588&lt;$K$117,I588=0),0,G294/I588)</f>
        <v>0</v>
      </c>
      <c r="H588" s="858">
        <f t="shared" ref="H588:H623" si="159">IF(OR(B588&lt;$K$123,J588=0),0,H294/J588)</f>
        <v>0</v>
      </c>
      <c r="I588" s="2327">
        <f>IF(AND(A588&gt;'1. AgeData'!$I$30,'S. Setup'!I$84="remove"), 0,1)*IF(($A588&gt;=70),INDEX('12. RMDtable'!$B$43:$B$82,($A588-70+1),0),0)</f>
        <v>0</v>
      </c>
      <c r="J588" s="2327">
        <f>IF(AND(B588&gt;'1. AgeData'!$I$31,'S. Setup'!I$84="remove"), 0,1)*IF(($B588&gt;=70),INDEX('12. RMDtable'!$B$43:$B$82,($B588-70+1),0),0)</f>
        <v>0</v>
      </c>
      <c r="K588" s="993">
        <f>IF(AND(A588&gt;'1. AgeData'!$I$30,'S. Setup'!$J$84="remove"),0,1) * IF(I588=0,0,IF(A588='1. AgeData'!$D$30, $D$95,I294)/I588)</f>
        <v>0</v>
      </c>
      <c r="L588" s="2320">
        <f>IF(AND(B588&gt;'1. AgeData'!$I$31,'S. Setup'!$J$84="remove"),0,1) * IF(J588=0,0,IF(B588='1. AgeData'!$D$31, $D$101,J294)/J588)</f>
        <v>0</v>
      </c>
      <c r="M588" s="1311"/>
    </row>
    <row r="589" spans="1:13" x14ac:dyDescent="0.25">
      <c r="A589" s="2281">
        <f t="shared" ref="A589:B589" si="160">A588+1</f>
        <v>62</v>
      </c>
      <c r="B589" s="2287">
        <f t="shared" si="160"/>
        <v>57</v>
      </c>
      <c r="C589" s="837"/>
      <c r="D589" s="837"/>
      <c r="E589" s="869">
        <f t="shared" si="156"/>
        <v>0</v>
      </c>
      <c r="F589" s="868">
        <f t="shared" si="157"/>
        <v>0</v>
      </c>
      <c r="G589" s="857">
        <f t="shared" si="158"/>
        <v>0</v>
      </c>
      <c r="H589" s="858">
        <f t="shared" si="159"/>
        <v>0</v>
      </c>
      <c r="I589" s="2327">
        <f>IF(AND(A589&gt;'1. AgeData'!$I$30,'S. Setup'!I$84="remove"), 0,1)*IF(($A589&gt;=70),INDEX('12. RMDtable'!$B$43:$B$82,($A589-70+1),0),0)</f>
        <v>0</v>
      </c>
      <c r="J589" s="2327">
        <f>IF(AND(B589&gt;'1. AgeData'!$I$31,'S. Setup'!I$84="remove"), 0,1)*IF(($B589&gt;=70),INDEX('12. RMDtable'!$B$43:$B$82,($B589-70+1),0),0)</f>
        <v>0</v>
      </c>
      <c r="K589" s="993">
        <f>IF(AND(A589&gt;'1. AgeData'!$I$30,'S. Setup'!$J$84="remove"),0,1) * IF(I589=0,0,IF(A589='1. AgeData'!$D$30, $D$95,I295)/I589)</f>
        <v>0</v>
      </c>
      <c r="L589" s="2320">
        <f>IF(AND(B589&gt;'1. AgeData'!$I$31,'S. Setup'!$J$84="remove"),0,1) * IF(J589=0,0,IF(B589='1. AgeData'!$D$31, $D$101,J295)/J589)</f>
        <v>0</v>
      </c>
      <c r="M589" s="1311"/>
    </row>
    <row r="590" spans="1:13" x14ac:dyDescent="0.25">
      <c r="A590" s="2281">
        <f t="shared" ref="A590:B590" si="161">A589+1</f>
        <v>63</v>
      </c>
      <c r="B590" s="2287">
        <f t="shared" si="161"/>
        <v>58</v>
      </c>
      <c r="C590" s="837"/>
      <c r="D590" s="837"/>
      <c r="E590" s="869">
        <f t="shared" si="156"/>
        <v>0</v>
      </c>
      <c r="F590" s="868">
        <f t="shared" si="157"/>
        <v>0</v>
      </c>
      <c r="G590" s="857">
        <f t="shared" si="158"/>
        <v>0</v>
      </c>
      <c r="H590" s="858">
        <f t="shared" si="159"/>
        <v>0</v>
      </c>
      <c r="I590" s="2327">
        <f>IF(AND(A590&gt;'1. AgeData'!$I$30,'S. Setup'!I$84="remove"), 0,1)*IF(($A590&gt;=70),INDEX('12. RMDtable'!$B$43:$B$82,($A590-70+1),0),0)</f>
        <v>0</v>
      </c>
      <c r="J590" s="2327">
        <f>IF(AND(B590&gt;'1. AgeData'!$I$31,'S. Setup'!I$84="remove"), 0,1)*IF(($B590&gt;=70),INDEX('12. RMDtable'!$B$43:$B$82,($B590-70+1),0),0)</f>
        <v>0</v>
      </c>
      <c r="K590" s="993">
        <f>IF(AND(A590&gt;'1. AgeData'!$I$30,'S. Setup'!$J$84="remove"),0,1) * IF(I590=0,0,IF(A590='1. AgeData'!$D$30, $D$95,I296)/I590)</f>
        <v>0</v>
      </c>
      <c r="L590" s="2320">
        <f>IF(AND(B590&gt;'1. AgeData'!$I$31,'S. Setup'!$J$84="remove"),0,1) * IF(J590=0,0,IF(B590='1. AgeData'!$D$31, $D$101,J296)/J590)</f>
        <v>0</v>
      </c>
      <c r="M590" s="1311"/>
    </row>
    <row r="591" spans="1:13" x14ac:dyDescent="0.25">
      <c r="A591" s="2281">
        <f t="shared" ref="A591:B591" si="162">A590+1</f>
        <v>64</v>
      </c>
      <c r="B591" s="2287">
        <f t="shared" si="162"/>
        <v>59</v>
      </c>
      <c r="C591" s="837"/>
      <c r="D591" s="837"/>
      <c r="E591" s="869">
        <f t="shared" si="156"/>
        <v>0</v>
      </c>
      <c r="F591" s="868">
        <f t="shared" si="157"/>
        <v>0</v>
      </c>
      <c r="G591" s="857">
        <f t="shared" si="158"/>
        <v>0</v>
      </c>
      <c r="H591" s="858">
        <f t="shared" si="159"/>
        <v>0</v>
      </c>
      <c r="I591" s="2327">
        <f>IF(AND(A591&gt;'1. AgeData'!$I$30,'S. Setup'!I$84="remove"), 0,1)*IF(($A591&gt;=70),INDEX('12. RMDtable'!$B$43:$B$82,($A591-70+1),0),0)</f>
        <v>0</v>
      </c>
      <c r="J591" s="2327">
        <f>IF(AND(B591&gt;'1. AgeData'!$I$31,'S. Setup'!I$84="remove"), 0,1)*IF(($B591&gt;=70),INDEX('12. RMDtable'!$B$43:$B$82,($B591-70+1),0),0)</f>
        <v>0</v>
      </c>
      <c r="K591" s="993">
        <f>IF(AND(A591&gt;'1. AgeData'!$I$30,'S. Setup'!$J$84="remove"),0,1) * IF(I591=0,0,IF(A591='1. AgeData'!$D$30, $D$95,I297)/I591)</f>
        <v>0</v>
      </c>
      <c r="L591" s="2320">
        <f>IF(AND(B591&gt;'1. AgeData'!$I$31,'S. Setup'!$J$84="remove"),0,1) * IF(J591=0,0,IF(B591='1. AgeData'!$D$31, $D$101,J297)/J591)</f>
        <v>0</v>
      </c>
      <c r="M591" s="1311"/>
    </row>
    <row r="592" spans="1:13" x14ac:dyDescent="0.25">
      <c r="A592" s="2281">
        <f t="shared" ref="A592:B592" si="163">A591+1</f>
        <v>65</v>
      </c>
      <c r="B592" s="2287">
        <f t="shared" si="163"/>
        <v>60</v>
      </c>
      <c r="C592" s="837"/>
      <c r="D592" s="837"/>
      <c r="E592" s="869">
        <f t="shared" si="156"/>
        <v>0</v>
      </c>
      <c r="F592" s="868">
        <f t="shared" si="157"/>
        <v>0</v>
      </c>
      <c r="G592" s="857">
        <f t="shared" si="158"/>
        <v>0</v>
      </c>
      <c r="H592" s="858">
        <f t="shared" si="159"/>
        <v>0</v>
      </c>
      <c r="I592" s="2327">
        <f>IF(AND(A592&gt;'1. AgeData'!$I$30,'S. Setup'!I$84="remove"), 0,1)*IF(($A592&gt;=70),INDEX('12. RMDtable'!$B$43:$B$82,($A592-70+1),0),0)</f>
        <v>0</v>
      </c>
      <c r="J592" s="2327">
        <f>IF(AND(B592&gt;'1. AgeData'!$I$31,'S. Setup'!I$84="remove"), 0,1)*IF(($B592&gt;=70),INDEX('12. RMDtable'!$B$43:$B$82,($B592-70+1),0),0)</f>
        <v>0</v>
      </c>
      <c r="K592" s="993">
        <f>IF(AND(A592&gt;'1. AgeData'!$I$30,'S. Setup'!$J$84="remove"),0,1) * IF(I592=0,0,IF(A592='1. AgeData'!$D$30, $D$95,I298)/I592)</f>
        <v>0</v>
      </c>
      <c r="L592" s="2320">
        <f>IF(AND(B592&gt;'1. AgeData'!$I$31,'S. Setup'!$J$84="remove"),0,1) * IF(J592=0,0,IF(B592='1. AgeData'!$D$31, $D$101,J298)/J592)</f>
        <v>0</v>
      </c>
      <c r="M592" s="1311"/>
    </row>
    <row r="593" spans="1:13" x14ac:dyDescent="0.25">
      <c r="A593" s="2281">
        <f t="shared" ref="A593:B593" si="164">A592+1</f>
        <v>66</v>
      </c>
      <c r="B593" s="2287">
        <f t="shared" si="164"/>
        <v>61</v>
      </c>
      <c r="C593" s="837"/>
      <c r="D593" s="837"/>
      <c r="E593" s="869">
        <f t="shared" si="156"/>
        <v>0</v>
      </c>
      <c r="F593" s="868">
        <f t="shared" si="157"/>
        <v>600</v>
      </c>
      <c r="G593" s="857">
        <f t="shared" si="158"/>
        <v>0</v>
      </c>
      <c r="H593" s="858">
        <f t="shared" si="159"/>
        <v>0</v>
      </c>
      <c r="I593" s="2327">
        <f>IF(AND(A593&gt;'1. AgeData'!$I$30,'S. Setup'!I$84="remove"), 0,1)*IF(($A593&gt;=70),INDEX('12. RMDtable'!$B$43:$B$82,($A593-70+1),0),0)</f>
        <v>0</v>
      </c>
      <c r="J593" s="2327">
        <f>IF(AND(B593&gt;'1. AgeData'!$I$31,'S. Setup'!I$84="remove"), 0,1)*IF(($B593&gt;=70),INDEX('12. RMDtable'!$B$43:$B$82,($B593-70+1),0),0)</f>
        <v>0</v>
      </c>
      <c r="K593" s="993">
        <f>IF(AND(A593&gt;'1. AgeData'!$I$30,'S. Setup'!$J$84="remove"),0,1) * IF(I593=0,0,IF(A593='1. AgeData'!$D$30, $D$95,I299)/I593)</f>
        <v>0</v>
      </c>
      <c r="L593" s="2320">
        <f>IF(AND(B593&gt;'1. AgeData'!$I$31,'S. Setup'!$J$84="remove"),0,1) * IF(J593=0,0,IF(B593='1. AgeData'!$D$31, $D$101,J299)/J593)</f>
        <v>0</v>
      </c>
      <c r="M593" s="1311"/>
    </row>
    <row r="594" spans="1:13" x14ac:dyDescent="0.25">
      <c r="A594" s="2281">
        <f t="shared" ref="A594:B594" si="165">A593+1</f>
        <v>67</v>
      </c>
      <c r="B594" s="2287">
        <f t="shared" si="165"/>
        <v>62</v>
      </c>
      <c r="C594" s="837"/>
      <c r="D594" s="837"/>
      <c r="E594" s="869">
        <f t="shared" si="156"/>
        <v>0</v>
      </c>
      <c r="F594" s="868">
        <f t="shared" si="157"/>
        <v>600</v>
      </c>
      <c r="G594" s="857">
        <f t="shared" si="158"/>
        <v>0</v>
      </c>
      <c r="H594" s="858">
        <f t="shared" si="159"/>
        <v>0</v>
      </c>
      <c r="I594" s="2327">
        <f>IF(AND(A594&gt;'1. AgeData'!$I$30,'S. Setup'!I$84="remove"), 0,1)*IF(($A594&gt;=70),INDEX('12. RMDtable'!$B$43:$B$82,($A594-70+1),0),0)</f>
        <v>0</v>
      </c>
      <c r="J594" s="2327">
        <f>IF(AND(B594&gt;'1. AgeData'!$I$31,'S. Setup'!I$84="remove"), 0,1)*IF(($B594&gt;=70),INDEX('12. RMDtable'!$B$43:$B$82,($B594-70+1),0),0)</f>
        <v>0</v>
      </c>
      <c r="K594" s="993">
        <f>IF(AND(A594&gt;'1. AgeData'!$I$30,'S. Setup'!$J$84="remove"),0,1) * IF(I594=0,0,IF(A594='1. AgeData'!$D$30, $D$95,I300)/I594)</f>
        <v>0</v>
      </c>
      <c r="L594" s="2320">
        <f>IF(AND(B594&gt;'1. AgeData'!$I$31,'S. Setup'!$J$84="remove"),0,1) * IF(J594=0,0,IF(B594='1. AgeData'!$D$31, $D$101,J300)/J594)</f>
        <v>0</v>
      </c>
      <c r="M594" s="1311"/>
    </row>
    <row r="595" spans="1:13" x14ac:dyDescent="0.25">
      <c r="A595" s="2281">
        <f t="shared" ref="A595:B595" si="166">A594+1</f>
        <v>68</v>
      </c>
      <c r="B595" s="2287">
        <f t="shared" si="166"/>
        <v>63</v>
      </c>
      <c r="C595" s="837"/>
      <c r="D595" s="837"/>
      <c r="E595" s="869">
        <f t="shared" si="156"/>
        <v>0</v>
      </c>
      <c r="F595" s="868">
        <f t="shared" si="157"/>
        <v>631.6</v>
      </c>
      <c r="G595" s="857">
        <f t="shared" si="158"/>
        <v>0</v>
      </c>
      <c r="H595" s="858">
        <f t="shared" si="159"/>
        <v>0</v>
      </c>
      <c r="I595" s="2327">
        <f>IF(AND(A595&gt;'1. AgeData'!$I$30,'S. Setup'!I$84="remove"), 0,1)*IF(($A595&gt;=70),INDEX('12. RMDtable'!$B$43:$B$82,($A595-70+1),0),0)</f>
        <v>0</v>
      </c>
      <c r="J595" s="2327">
        <f>IF(AND(B595&gt;'1. AgeData'!$I$31,'S. Setup'!I$84="remove"), 0,1)*IF(($B595&gt;=70),INDEX('12. RMDtable'!$B$43:$B$82,($B595-70+1),0),0)</f>
        <v>0</v>
      </c>
      <c r="K595" s="993">
        <f>IF(AND(A595&gt;'1. AgeData'!$I$30,'S. Setup'!$J$84="remove"),0,1) * IF(I595=0,0,IF(A595='1. AgeData'!$D$30, $D$95,I301)/I595)</f>
        <v>0</v>
      </c>
      <c r="L595" s="2320">
        <f>IF(AND(B595&gt;'1. AgeData'!$I$31,'S. Setup'!$J$84="remove"),0,1) * IF(J595=0,0,IF(B595='1. AgeData'!$D$31, $D$101,J301)/J595)</f>
        <v>0</v>
      </c>
      <c r="M595" s="1311"/>
    </row>
    <row r="596" spans="1:13" x14ac:dyDescent="0.25">
      <c r="A596" s="2281">
        <f t="shared" ref="A596:B596" si="167">A595+1</f>
        <v>69</v>
      </c>
      <c r="B596" s="2287">
        <f t="shared" si="167"/>
        <v>64</v>
      </c>
      <c r="C596" s="837"/>
      <c r="D596" s="837"/>
      <c r="E596" s="869">
        <f t="shared" si="156"/>
        <v>0</v>
      </c>
      <c r="F596" s="868">
        <f t="shared" si="157"/>
        <v>651.49540000000025</v>
      </c>
      <c r="G596" s="857">
        <f t="shared" si="158"/>
        <v>0</v>
      </c>
      <c r="H596" s="858">
        <f t="shared" si="159"/>
        <v>0</v>
      </c>
      <c r="I596" s="2327">
        <f>IF(AND(A596&gt;'1. AgeData'!$I$30,'S. Setup'!I$84="remove"), 0,1)*IF(($A596&gt;=70),INDEX('12. RMDtable'!$B$43:$B$82,($A596-70+1),0),0)</f>
        <v>0</v>
      </c>
      <c r="J596" s="2327">
        <f>IF(AND(B596&gt;'1. AgeData'!$I$31,'S. Setup'!I$84="remove"), 0,1)*IF(($B596&gt;=70),INDEX('12. RMDtable'!$B$43:$B$82,($B596-70+1),0),0)</f>
        <v>0</v>
      </c>
      <c r="K596" s="993">
        <f>IF(AND(A596&gt;'1. AgeData'!$I$30,'S. Setup'!$J$84="remove"),0,1) * IF(I596=0,0,IF(A596='1. AgeData'!$D$30, $D$95,I302)/I596)</f>
        <v>0</v>
      </c>
      <c r="L596" s="2320">
        <f>IF(AND(B596&gt;'1. AgeData'!$I$31,'S. Setup'!$J$84="remove"),0,1) * IF(J596=0,0,IF(B596='1. AgeData'!$D$31, $D$101,J302)/J596)</f>
        <v>0</v>
      </c>
      <c r="M596" s="1311"/>
    </row>
    <row r="597" spans="1:13" x14ac:dyDescent="0.25">
      <c r="A597" s="2281">
        <f t="shared" ref="A597:B597" si="168">A596+1</f>
        <v>70</v>
      </c>
      <c r="B597" s="2287">
        <f t="shared" si="168"/>
        <v>65</v>
      </c>
      <c r="C597" s="837"/>
      <c r="D597" s="837"/>
      <c r="E597" s="869">
        <f t="shared" si="156"/>
        <v>0</v>
      </c>
      <c r="F597" s="868">
        <f t="shared" si="157"/>
        <v>678.85820680000052</v>
      </c>
      <c r="G597" s="857">
        <f t="shared" si="158"/>
        <v>0</v>
      </c>
      <c r="H597" s="858">
        <f t="shared" si="159"/>
        <v>0</v>
      </c>
      <c r="I597" s="2327">
        <f>IF(AND(A597&gt;'1. AgeData'!$I$30,'S. Setup'!I$84="remove"), 0,1)*IF(($A597&gt;=70),INDEX('12. RMDtable'!$B$43:$B$82,($A597-70+1),0),0)</f>
        <v>27.4</v>
      </c>
      <c r="J597" s="2327">
        <f>IF(AND(B597&gt;'1. AgeData'!$I$31,'S. Setup'!I$84="remove"), 0,1)*IF(($B597&gt;=70),INDEX('12. RMDtable'!$B$43:$B$82,($B597-70+1),0),0)</f>
        <v>0</v>
      </c>
      <c r="K597" s="993">
        <f>IF(AND(A597&gt;'1. AgeData'!$I$30,'S. Setup'!$J$84="remove"),0,1) * IF(I597=0,0,IF(A597='1. AgeData'!$D$30, $D$95,I303)/I597)</f>
        <v>620.43795620437959</v>
      </c>
      <c r="L597" s="2320">
        <f>IF(AND(B597&gt;'1. AgeData'!$I$31,'S. Setup'!$J$84="remove"),0,1) * IF(J597=0,0,IF(B597='1. AgeData'!$D$31, $D$101,J303)/J597)</f>
        <v>0</v>
      </c>
      <c r="M597" s="1311"/>
    </row>
    <row r="598" spans="1:13" s="215" customFormat="1" x14ac:dyDescent="0.25">
      <c r="A598" s="2281">
        <f t="shared" ref="A598:B598" si="169">A597+1</f>
        <v>71</v>
      </c>
      <c r="B598" s="2287">
        <f t="shared" si="169"/>
        <v>66</v>
      </c>
      <c r="C598" s="867"/>
      <c r="D598" s="867"/>
      <c r="E598" s="869">
        <f t="shared" si="156"/>
        <v>800</v>
      </c>
      <c r="F598" s="868">
        <f t="shared" si="157"/>
        <v>0</v>
      </c>
      <c r="G598" s="857">
        <f t="shared" si="158"/>
        <v>0</v>
      </c>
      <c r="H598" s="858">
        <f t="shared" si="159"/>
        <v>0</v>
      </c>
      <c r="I598" s="2327">
        <f>IF(AND(A598&gt;'1. AgeData'!$I$30,'S. Setup'!I$84="remove"), 0,1)*IF(($A598&gt;=70),INDEX('12. RMDtable'!$B$43:$B$82,($A598-70+1),0),0)</f>
        <v>26.5</v>
      </c>
      <c r="J598" s="2327">
        <f>IF(AND(B598&gt;'1. AgeData'!$I$31,'S. Setup'!I$84="remove"), 0,1)*IF(($B598&gt;=70),INDEX('12. RMDtable'!$B$43:$B$82,($B598-70+1),0),0)</f>
        <v>0</v>
      </c>
      <c r="K598" s="993">
        <f>IF(AND(A598&gt;'1. AgeData'!$I$30,'S. Setup'!$J$84="remove"),0,1) * IF(I598=0,0,IF(A598='1. AgeData'!$D$30, $D$95,I304)/I598)</f>
        <v>618.09668089794798</v>
      </c>
      <c r="L598" s="2320">
        <f>IF(AND(B598&gt;'1. AgeData'!$I$31,'S. Setup'!$J$84="remove"),0,1) * IF(J598=0,0,IF(B598='1. AgeData'!$D$31, $D$101,J304)/J598)</f>
        <v>0</v>
      </c>
      <c r="M598" s="1454"/>
    </row>
    <row r="599" spans="1:13" x14ac:dyDescent="0.25">
      <c r="A599" s="2281">
        <f t="shared" ref="A599:B599" si="170">A598+1</f>
        <v>72</v>
      </c>
      <c r="B599" s="2287">
        <f t="shared" si="170"/>
        <v>67</v>
      </c>
      <c r="C599" s="837"/>
      <c r="D599" s="837"/>
      <c r="E599" s="869">
        <f t="shared" si="156"/>
        <v>800</v>
      </c>
      <c r="F599" s="868">
        <f t="shared" si="157"/>
        <v>0</v>
      </c>
      <c r="G599" s="857">
        <f t="shared" si="158"/>
        <v>0</v>
      </c>
      <c r="H599" s="858">
        <f t="shared" si="159"/>
        <v>0</v>
      </c>
      <c r="I599" s="2327">
        <f>IF(AND(A599&gt;'1. AgeData'!$I$30,'S. Setup'!I$84="remove"), 0,1)*IF(($A599&gt;=70),INDEX('12. RMDtable'!$B$43:$B$82,($A599-70+1),0),0)</f>
        <v>25.6</v>
      </c>
      <c r="J599" s="2327">
        <f>IF(AND(B599&gt;'1. AgeData'!$I$31,'S. Setup'!I$84="remove"), 0,1)*IF(($B599&gt;=70),INDEX('12. RMDtable'!$B$43:$B$82,($B599-70+1),0),0)</f>
        <v>0</v>
      </c>
      <c r="K599" s="993">
        <f>IF(AND(A599&gt;'1. AgeData'!$I$30,'S. Setup'!$J$84="remove"),0,1) * IF(I599=0,0,IF(A599='1. AgeData'!$D$30, $D$95,I305)/I599)</f>
        <v>639.91809840242388</v>
      </c>
      <c r="L599" s="2320">
        <f>IF(AND(B599&gt;'1. AgeData'!$I$31,'S. Setup'!$J$84="remove"),0,1) * IF(J599=0,0,IF(B599='1. AgeData'!$D$31, $D$101,J305)/J599)</f>
        <v>0</v>
      </c>
      <c r="M599" s="1311"/>
    </row>
    <row r="600" spans="1:13" x14ac:dyDescent="0.25">
      <c r="A600" s="2281">
        <f t="shared" ref="A600:B600" si="171">A599+1</f>
        <v>73</v>
      </c>
      <c r="B600" s="2287">
        <f t="shared" si="171"/>
        <v>68</v>
      </c>
      <c r="C600" s="837"/>
      <c r="D600" s="837"/>
      <c r="E600" s="869">
        <f t="shared" si="156"/>
        <v>840.21333333333337</v>
      </c>
      <c r="F600" s="868">
        <f t="shared" si="157"/>
        <v>0</v>
      </c>
      <c r="G600" s="857">
        <f t="shared" si="158"/>
        <v>80.97165991902834</v>
      </c>
      <c r="H600" s="858">
        <f t="shared" si="159"/>
        <v>0</v>
      </c>
      <c r="I600" s="2327">
        <f>IF(AND(A600&gt;'1. AgeData'!$I$30,'S. Setup'!I$84="remove"), 0,1)*IF(($A600&gt;=70),INDEX('12. RMDtable'!$B$43:$B$82,($A600-70+1),0),0)</f>
        <v>24.7</v>
      </c>
      <c r="J600" s="2327">
        <f>IF(AND(B600&gt;'1. AgeData'!$I$31,'S. Setup'!I$84="remove"), 0,1)*IF(($B600&gt;=70),INDEX('12. RMDtable'!$B$43:$B$82,($B600-70+1),0),0)</f>
        <v>0</v>
      </c>
      <c r="K600" s="993">
        <f>IF(AND(A600&gt;'1. AgeData'!$I$30,'S. Setup'!$J$84="remove"),0,1) * IF(I600=0,0,IF(A600='1. AgeData'!$D$30, $D$95,I306)/I600)</f>
        <v>662.35149399180466</v>
      </c>
      <c r="L600" s="2320">
        <f>IF(AND(B600&gt;'1. AgeData'!$I$31,'S. Setup'!$J$84="remove"),0,1) * IF(J600=0,0,IF(B600='1. AgeData'!$D$31, $D$101,J306)/J600)</f>
        <v>0</v>
      </c>
      <c r="M600" s="1311"/>
    </row>
    <row r="601" spans="1:13" x14ac:dyDescent="0.25">
      <c r="A601" s="2281">
        <f t="shared" ref="A601:B601" si="172">A600+1</f>
        <v>74</v>
      </c>
      <c r="B601" s="2287">
        <f t="shared" si="172"/>
        <v>69</v>
      </c>
      <c r="C601" s="837"/>
      <c r="D601" s="837"/>
      <c r="E601" s="869">
        <f t="shared" si="156"/>
        <v>887.72739733333367</v>
      </c>
      <c r="F601" s="868">
        <f t="shared" si="157"/>
        <v>0</v>
      </c>
      <c r="G601" s="857">
        <f t="shared" si="158"/>
        <v>83.295308406763525</v>
      </c>
      <c r="H601" s="858">
        <f t="shared" si="159"/>
        <v>0</v>
      </c>
      <c r="I601" s="2327">
        <f>IF(AND(A601&gt;'1. AgeData'!$I$30,'S. Setup'!I$84="remove"), 0,1)*IF(($A601&gt;=70),INDEX('12. RMDtable'!$B$43:$B$82,($A601-70+1),0),0)</f>
        <v>23.8</v>
      </c>
      <c r="J601" s="2327">
        <f>IF(AND(B601&gt;'1. AgeData'!$I$31,'S. Setup'!I$84="remove"), 0,1)*IF(($B601&gt;=70),INDEX('12. RMDtable'!$B$43:$B$82,($B601-70+1),0),0)</f>
        <v>0</v>
      </c>
      <c r="K601" s="993">
        <f>IF(AND(A601&gt;'1. AgeData'!$I$30,'S. Setup'!$J$84="remove"),0,1) * IF(I601=0,0,IF(A601='1. AgeData'!$D$30, $D$95,I307)/I601)</f>
        <v>686.45581958017624</v>
      </c>
      <c r="L601" s="2320">
        <f>IF(AND(B601&gt;'1. AgeData'!$I$31,'S. Setup'!$J$84="remove"),0,1) * IF(J601=0,0,IF(B601='1. AgeData'!$D$31, $D$101,J307)/J601)</f>
        <v>0</v>
      </c>
      <c r="M601" s="1311"/>
    </row>
    <row r="602" spans="1:13" x14ac:dyDescent="0.25">
      <c r="A602" s="2281">
        <f t="shared" ref="A602:B602" si="173">A601+1</f>
        <v>75</v>
      </c>
      <c r="B602" s="2287">
        <f t="shared" si="173"/>
        <v>70</v>
      </c>
      <c r="C602" s="837"/>
      <c r="D602" s="837"/>
      <c r="E602" s="869">
        <f t="shared" si="156"/>
        <v>954.66204309226725</v>
      </c>
      <c r="F602" s="868">
        <f t="shared" si="157"/>
        <v>0</v>
      </c>
      <c r="G602" s="857">
        <f t="shared" si="158"/>
        <v>85.675808299335159</v>
      </c>
      <c r="H602" s="858">
        <f t="shared" si="159"/>
        <v>189.44474006399213</v>
      </c>
      <c r="I602" s="2327">
        <f>IF(AND(A602&gt;'1. AgeData'!$I$30,'S. Setup'!I$84="remove"), 0,1)*IF(($A602&gt;=70),INDEX('12. RMDtable'!$B$43:$B$82,($A602-70+1),0),0)</f>
        <v>22.9</v>
      </c>
      <c r="J602" s="2327">
        <f>IF(AND(B602&gt;'1. AgeData'!$I$31,'S. Setup'!I$84="remove"), 0,1)*IF(($B602&gt;=70),INDEX('12. RMDtable'!$B$43:$B$82,($B602-70+1),0),0)</f>
        <v>27.4</v>
      </c>
      <c r="K602" s="993">
        <f>IF(AND(A602&gt;'1. AgeData'!$I$30,'S. Setup'!$J$84="remove"),0,1) * IF(I602=0,0,IF(A602='1. AgeData'!$D$30, $D$95,I308)/I602)</f>
        <v>712.38184193973029</v>
      </c>
      <c r="L602" s="2320">
        <f>IF(AND(B602&gt;'1. AgeData'!$I$31,'S. Setup'!$J$84="remove"),0,1) * IF(J602=0,0,IF(B602='1. AgeData'!$D$31, $D$101,J308)/J602)</f>
        <v>547.44525547445255</v>
      </c>
      <c r="M602" s="1311"/>
    </row>
    <row r="603" spans="1:13" x14ac:dyDescent="0.25">
      <c r="A603" s="2281">
        <f t="shared" ref="A603:B603" si="174">A602+1</f>
        <v>76</v>
      </c>
      <c r="B603" s="2287">
        <f t="shared" si="174"/>
        <v>71</v>
      </c>
      <c r="C603" s="837"/>
      <c r="D603" s="837"/>
      <c r="E603" s="869">
        <f t="shared" si="156"/>
        <v>0</v>
      </c>
      <c r="F603" s="868">
        <f t="shared" si="157"/>
        <v>0</v>
      </c>
      <c r="G603" s="857">
        <f t="shared" si="158"/>
        <v>88.113401876098933</v>
      </c>
      <c r="H603" s="858">
        <f t="shared" si="159"/>
        <v>195.29179111675964</v>
      </c>
      <c r="I603" s="2327">
        <f>IF(AND(A603&gt;'1. AgeData'!$I$30,'S. Setup'!I$84="remove"), 0,1)*IF(($A603&gt;=70),INDEX('12. RMDtable'!$B$43:$B$82,($A603-70+1),0),0)</f>
        <v>22</v>
      </c>
      <c r="J603" s="2327">
        <f>IF(AND(B603&gt;'1. AgeData'!$I$31,'S. Setup'!I$84="remove"), 0,1)*IF(($B603&gt;=70),INDEX('12. RMDtable'!$B$43:$B$82,($B603-70+1),0),0)</f>
        <v>26.5</v>
      </c>
      <c r="K603" s="993">
        <f>IF(AND(A603&gt;'1. AgeData'!$I$30,'S. Setup'!$J$84="remove"),0,1) * IF(I603=0,0,IF(A603='1. AgeData'!$D$30, $D$95,I309)/I603)</f>
        <v>740.34627991183049</v>
      </c>
      <c r="L603" s="2320">
        <f>IF(AND(B603&gt;'1. AgeData'!$I$31,'S. Setup'!$J$84="remove"),0,1) * IF(J603=0,0,IF(B603='1. AgeData'!$D$31, $D$101,J309)/J603)</f>
        <v>545.37942432171872</v>
      </c>
      <c r="M603" s="1311"/>
    </row>
    <row r="604" spans="1:13" x14ac:dyDescent="0.25">
      <c r="A604" s="2281">
        <f t="shared" ref="A604:B604" si="175">A603+1</f>
        <v>77</v>
      </c>
      <c r="B604" s="2287">
        <f t="shared" si="175"/>
        <v>72</v>
      </c>
      <c r="C604" s="837"/>
      <c r="D604" s="837"/>
      <c r="E604" s="869">
        <f t="shared" si="156"/>
        <v>0</v>
      </c>
      <c r="F604" s="868">
        <f t="shared" si="157"/>
        <v>0</v>
      </c>
      <c r="G604" s="857">
        <f t="shared" si="158"/>
        <v>90.180741786154201</v>
      </c>
      <c r="H604" s="858">
        <f t="shared" si="159"/>
        <v>201.30120941567478</v>
      </c>
      <c r="I604" s="2327">
        <f>IF(AND(A604&gt;'1. AgeData'!$I$30,'S. Setup'!I$84="remove"), 0,1)*IF(($A604&gt;=70),INDEX('12. RMDtable'!$B$43:$B$82,($A604-70+1),0),0)</f>
        <v>21.2</v>
      </c>
      <c r="J604" s="2327">
        <f>IF(AND(B604&gt;'1. AgeData'!$I$31,'S. Setup'!I$84="remove"), 0,1)*IF(($B604&gt;=70),INDEX('12. RMDtable'!$B$43:$B$82,($B604-70+1),0),0)</f>
        <v>25.6</v>
      </c>
      <c r="K604" s="993">
        <f>IF(AND(A604&gt;'1. AgeData'!$I$30,'S. Setup'!$J$84="remove"),0,1) * IF(I604=0,0,IF(A604='1. AgeData'!$D$30, $D$95,I310)/I604)</f>
        <v>766.96479811736651</v>
      </c>
      <c r="L604" s="2320">
        <f>IF(AND(B604&gt;'1. AgeData'!$I$31,'S. Setup'!$J$84="remove"),0,1) * IF(J604=0,0,IF(B604='1. AgeData'!$D$31, $D$101,J310)/J604)</f>
        <v>564.63361623743288</v>
      </c>
      <c r="M604" s="1311"/>
    </row>
    <row r="605" spans="1:13" x14ac:dyDescent="0.25">
      <c r="A605" s="2281">
        <f t="shared" ref="A605:B605" si="176">A604+1</f>
        <v>78</v>
      </c>
      <c r="B605" s="2287">
        <f t="shared" si="176"/>
        <v>73</v>
      </c>
      <c r="C605" s="837"/>
      <c r="D605" s="837"/>
      <c r="E605" s="869">
        <f t="shared" si="156"/>
        <v>0</v>
      </c>
      <c r="F605" s="868">
        <f t="shared" si="157"/>
        <v>0</v>
      </c>
      <c r="G605" s="857">
        <f t="shared" si="158"/>
        <v>92.721972896073012</v>
      </c>
      <c r="H605" s="858">
        <f t="shared" si="159"/>
        <v>207.47553315062686</v>
      </c>
      <c r="I605" s="2327">
        <f>IF(AND(A605&gt;'1. AgeData'!$I$30,'S. Setup'!I$84="remove"), 0,1)*IF(($A605&gt;=70),INDEX('12. RMDtable'!$B$43:$B$82,($A605-70+1),0),0)</f>
        <v>20.3</v>
      </c>
      <c r="J605" s="2327">
        <f>IF(AND(B605&gt;'1. AgeData'!$I$31,'S. Setup'!I$84="remove"), 0,1)*IF(($B605&gt;=70),INDEX('12. RMDtable'!$B$43:$B$82,($B605-70+1),0),0)</f>
        <v>24.7</v>
      </c>
      <c r="K605" s="993">
        <f>IF(AND(A605&gt;'1. AgeData'!$I$30,'S. Setup'!$J$84="remove"),0,1) * IF(I605=0,0,IF(A605='1. AgeData'!$D$30, $D$95,I311)/I605)</f>
        <v>799.65690649668147</v>
      </c>
      <c r="L605" s="2320">
        <f>IF(AND(B605&gt;'1. AgeData'!$I$31,'S. Setup'!$J$84="remove"),0,1) * IF(J605=0,0,IF(B605='1. AgeData'!$D$31, $D$101,J311)/J605)</f>
        <v>584.42778881629829</v>
      </c>
      <c r="M605" s="1311"/>
    </row>
    <row r="606" spans="1:13" x14ac:dyDescent="0.25">
      <c r="A606" s="2281">
        <f t="shared" ref="A606:B606" si="177">A605+1</f>
        <v>79</v>
      </c>
      <c r="B606" s="2287">
        <f t="shared" si="177"/>
        <v>74</v>
      </c>
      <c r="C606" s="837"/>
      <c r="D606" s="837"/>
      <c r="E606" s="869">
        <f t="shared" si="156"/>
        <v>0</v>
      </c>
      <c r="F606" s="868">
        <f t="shared" si="157"/>
        <v>0</v>
      </c>
      <c r="G606" s="857">
        <f t="shared" si="158"/>
        <v>94.830850957567236</v>
      </c>
      <c r="H606" s="858">
        <f t="shared" si="159"/>
        <v>213.81704897375394</v>
      </c>
      <c r="I606" s="2327">
        <f>IF(AND(A606&gt;'1. AgeData'!$I$30,'S. Setup'!I$84="remove"), 0,1)*IF(($A606&gt;=70),INDEX('12. RMDtable'!$B$43:$B$82,($A606-70+1),0),0)</f>
        <v>19.5</v>
      </c>
      <c r="J606" s="2327">
        <f>IF(AND(B606&gt;'1. AgeData'!$I$31,'S. Setup'!I$84="remove"), 0,1)*IF(($B606&gt;=70),INDEX('12. RMDtable'!$B$43:$B$82,($B606-70+1),0),0)</f>
        <v>23.8</v>
      </c>
      <c r="K606" s="993">
        <f>IF(AND(A606&gt;'1. AgeData'!$I$30,'S. Setup'!$J$84="remove"),0,1) * IF(I606=0,0,IF(A606='1. AgeData'!$D$30, $D$95,I312)/I606)</f>
        <v>830.7868253078625</v>
      </c>
      <c r="L606" s="2320">
        <f>IF(AND(B606&gt;'1. AgeData'!$I$31,'S. Setup'!$J$84="remove"),0,1) * IF(J606=0,0,IF(B606='1. AgeData'!$D$31, $D$101,J312)/J606)</f>
        <v>605.69631139427315</v>
      </c>
      <c r="M606" s="1311"/>
    </row>
    <row r="607" spans="1:13" x14ac:dyDescent="0.25">
      <c r="A607" s="2281">
        <f t="shared" ref="A607:B607" si="178">A606+1</f>
        <v>80</v>
      </c>
      <c r="B607" s="2287">
        <f t="shared" si="178"/>
        <v>75</v>
      </c>
      <c r="C607" s="837"/>
      <c r="D607" s="837"/>
      <c r="E607" s="869">
        <f t="shared" si="156"/>
        <v>0</v>
      </c>
      <c r="F607" s="868">
        <f t="shared" si="157"/>
        <v>0</v>
      </c>
      <c r="G607" s="857">
        <f t="shared" si="158"/>
        <v>96.951360066011461</v>
      </c>
      <c r="H607" s="858">
        <f t="shared" si="159"/>
        <v>220.3277314300596</v>
      </c>
      <c r="I607" s="2327">
        <f>IF(AND(A607&gt;'1. AgeData'!$I$30,'S. Setup'!I$84="remove"), 0,1)*IF(($A607&gt;=70),INDEX('12. RMDtable'!$B$43:$B$82,($A607-70+1),0),0)</f>
        <v>18.7</v>
      </c>
      <c r="J607" s="2327">
        <f>IF(AND(B607&gt;'1. AgeData'!$I$31,'S. Setup'!I$84="remove"), 0,1)*IF(($B607&gt;=70),INDEX('12. RMDtable'!$B$43:$B$82,($B607-70+1),0),0)</f>
        <v>22.9</v>
      </c>
      <c r="K607" s="993">
        <f>IF(AND(A607&gt;'1. AgeData'!$I$30,'S. Setup'!$J$84="remove"),0,1) * IF(I607=0,0,IF(A607='1. AgeData'!$D$30, $D$95,I313)/I607)</f>
        <v>864.66380613326942</v>
      </c>
      <c r="L607" s="2320">
        <f>IF(AND(B607&gt;'1. AgeData'!$I$31,'S. Setup'!$J$84="remove"),0,1) * IF(J607=0,0,IF(B607='1. AgeData'!$D$31, $D$101,J313)/J607)</f>
        <v>628.57221347623272</v>
      </c>
      <c r="M607" s="1311"/>
    </row>
    <row r="608" spans="1:13" x14ac:dyDescent="0.25">
      <c r="A608" s="2281">
        <f t="shared" ref="A608:B608" si="179">A607+1</f>
        <v>81</v>
      </c>
      <c r="B608" s="2287">
        <f t="shared" si="179"/>
        <v>76</v>
      </c>
      <c r="C608" s="837"/>
      <c r="D608" s="837"/>
      <c r="E608" s="869">
        <f t="shared" si="156"/>
        <v>0</v>
      </c>
      <c r="F608" s="868">
        <f t="shared" si="157"/>
        <v>0</v>
      </c>
      <c r="G608" s="857">
        <f t="shared" si="158"/>
        <v>99.07881954759408</v>
      </c>
      <c r="H608" s="858">
        <f t="shared" si="159"/>
        <v>227.00916988567616</v>
      </c>
      <c r="I608" s="2327">
        <f>IF(AND(A608&gt;'1. AgeData'!$I$30,'S. Setup'!I$84="remove"), 0,1)*IF(($A608&gt;=70),INDEX('12. RMDtable'!$B$43:$B$82,($A608-70+1),0),0)</f>
        <v>17.899999999999999</v>
      </c>
      <c r="J608" s="2327">
        <f>IF(AND(B608&gt;'1. AgeData'!$I$31,'S. Setup'!I$84="remove"), 0,1)*IF(($B608&gt;=70),INDEX('12. RMDtable'!$B$43:$B$82,($B608-70+1),0),0)</f>
        <v>22</v>
      </c>
      <c r="K608" s="993">
        <f>IF(AND(A608&gt;'1. AgeData'!$I$30,'S. Setup'!$J$84="remove"),0,1) * IF(I608=0,0,IF(A608='1. AgeData'!$D$30, $D$95,I314)/I608)</f>
        <v>901.41542982495707</v>
      </c>
      <c r="L608" s="2320">
        <f>IF(AND(B608&gt;'1. AgeData'!$I$31,'S. Setup'!$J$84="remove"),0,1) * IF(J608=0,0,IF(B608='1. AgeData'!$D$31, $D$101,J314)/J608)</f>
        <v>653.24671756926216</v>
      </c>
      <c r="M608" s="1311"/>
    </row>
    <row r="609" spans="1:13" x14ac:dyDescent="0.25">
      <c r="A609" s="2281">
        <f t="shared" ref="A609:B609" si="180">A608+1</f>
        <v>82</v>
      </c>
      <c r="B609" s="2287">
        <f t="shared" si="180"/>
        <v>77</v>
      </c>
      <c r="C609" s="837"/>
      <c r="D609" s="837"/>
      <c r="E609" s="869">
        <f t="shared" si="156"/>
        <v>0</v>
      </c>
      <c r="F609" s="868">
        <f t="shared" si="157"/>
        <v>0</v>
      </c>
      <c r="G609" s="857">
        <f t="shared" si="158"/>
        <v>101.20773946960415</v>
      </c>
      <c r="H609" s="858">
        <f t="shared" si="159"/>
        <v>232.75935499079921</v>
      </c>
      <c r="I609" s="2327">
        <f>IF(AND(A609&gt;'1. AgeData'!$I$30,'S. Setup'!I$84="remove"), 0,1)*IF(($A609&gt;=70),INDEX('12. RMDtable'!$B$43:$B$82,($A609-70+1),0),0)</f>
        <v>17.100000000000001</v>
      </c>
      <c r="J609" s="2327">
        <f>IF(AND(B609&gt;'1. AgeData'!$I$31,'S. Setup'!I$84="remove"), 0,1)*IF(($B609&gt;=70),INDEX('12. RMDtable'!$B$43:$B$82,($B609-70+1),0),0)</f>
        <v>21.2</v>
      </c>
      <c r="K609" s="993">
        <f>IF(AND(A609&gt;'1. AgeData'!$I$30,'S. Setup'!$J$84="remove"),0,1) * IF(I609=0,0,IF(A609='1. AgeData'!$D$30, $D$95,I315)/I609)</f>
        <v>941.43769416228304</v>
      </c>
      <c r="L609" s="2320">
        <f>IF(AND(B609&gt;'1. AgeData'!$I$31,'S. Setup'!$J$84="remove"),0,1) * IF(J609=0,0,IF(B609='1. AgeData'!$D$31, $D$101,J315)/J609)</f>
        <v>676.73364539767636</v>
      </c>
      <c r="M609" s="1311"/>
    </row>
    <row r="610" spans="1:13" x14ac:dyDescent="0.25">
      <c r="A610" s="2281">
        <f t="shared" ref="A610:B610" si="181">A609+1</f>
        <v>83</v>
      </c>
      <c r="B610" s="2287">
        <f t="shared" si="181"/>
        <v>78</v>
      </c>
      <c r="C610" s="837"/>
      <c r="D610" s="837"/>
      <c r="E610" s="869">
        <f t="shared" si="156"/>
        <v>0</v>
      </c>
      <c r="F610" s="868">
        <f t="shared" si="157"/>
        <v>0</v>
      </c>
      <c r="G610" s="857">
        <f t="shared" si="158"/>
        <v>103.33167391379848</v>
      </c>
      <c r="H610" s="858">
        <f t="shared" si="159"/>
        <v>239.75589481421727</v>
      </c>
      <c r="I610" s="2327">
        <f>IF(AND(A610&gt;'1. AgeData'!$I$30,'S. Setup'!I$84="remove"), 0,1)*IF(($A610&gt;=70),INDEX('12. RMDtable'!$B$43:$B$82,($A610-70+1),0),0)</f>
        <v>16.3</v>
      </c>
      <c r="J610" s="2327">
        <f>IF(AND(B610&gt;'1. AgeData'!$I$31,'S. Setup'!I$84="remove"), 0,1)*IF(($B610&gt;=70),INDEX('12. RMDtable'!$B$43:$B$82,($B610-70+1),0),0)</f>
        <v>20.3</v>
      </c>
      <c r="K610" s="993">
        <f>IF(AND(A610&gt;'1. AgeData'!$I$30,'S. Setup'!$J$84="remove"),0,1) * IF(I610=0,0,IF(A610='1. AgeData'!$D$30, $D$95,I316)/I610)</f>
        <v>985.18787152378627</v>
      </c>
      <c r="L610" s="2320">
        <f>IF(AND(B610&gt;'1. AgeData'!$I$31,'S. Setup'!$J$84="remove"),0,1) * IF(J610=0,0,IF(B610='1. AgeData'!$D$31, $D$101,J316)/J610)</f>
        <v>705.57962337942479</v>
      </c>
      <c r="M610" s="1311"/>
    </row>
    <row r="611" spans="1:13" x14ac:dyDescent="0.25">
      <c r="A611" s="2281">
        <f t="shared" ref="A611:B611" si="182">A610+1</f>
        <v>84</v>
      </c>
      <c r="B611" s="2287">
        <f t="shared" si="182"/>
        <v>79</v>
      </c>
      <c r="C611" s="837"/>
      <c r="D611" s="837"/>
      <c r="E611" s="869">
        <f t="shared" si="156"/>
        <v>0</v>
      </c>
      <c r="F611" s="868">
        <f t="shared" si="157"/>
        <v>0</v>
      </c>
      <c r="G611" s="857">
        <f t="shared" si="158"/>
        <v>105.44304000703973</v>
      </c>
      <c r="H611" s="858">
        <f t="shared" si="159"/>
        <v>245.65819313757964</v>
      </c>
      <c r="I611" s="2327">
        <f>IF(AND(A611&gt;'1. AgeData'!$I$30,'S. Setup'!I$84="remove"), 0,1)*IF(($A611&gt;=70),INDEX('12. RMDtable'!$B$43:$B$82,($A611-70+1),0),0)</f>
        <v>15.5</v>
      </c>
      <c r="J611" s="2327">
        <f>IF(AND(B611&gt;'1. AgeData'!$I$31,'S. Setup'!I$84="remove"), 0,1)*IF(($B611&gt;=70),INDEX('12. RMDtable'!$B$43:$B$82,($B611-70+1),0),0)</f>
        <v>19.5</v>
      </c>
      <c r="K611" s="993">
        <f>IF(AND(A611&gt;'1. AgeData'!$I$30,'S. Setup'!$J$84="remove"),0,1) * IF(I611=0,0,IF(A611='1. AgeData'!$D$30, $D$95,I317)/I611)</f>
        <v>1033.2136857081427</v>
      </c>
      <c r="L611" s="2320">
        <f>IF(AND(B611&gt;'1. AgeData'!$I$31,'S. Setup'!$J$84="remove"),0,1) * IF(J611=0,0,IF(B611='1. AgeData'!$D$31, $D$101,J317)/J611)</f>
        <v>733.04719880105517</v>
      </c>
      <c r="M611" s="1311"/>
    </row>
    <row r="612" spans="1:13" x14ac:dyDescent="0.25">
      <c r="A612" s="2281">
        <f t="shared" ref="A612:B612" si="183">A611+1</f>
        <v>85</v>
      </c>
      <c r="B612" s="2287">
        <f t="shared" si="183"/>
        <v>80</v>
      </c>
      <c r="C612" s="837"/>
      <c r="D612" s="837"/>
      <c r="E612" s="869">
        <f t="shared" si="156"/>
        <v>0</v>
      </c>
      <c r="F612" s="868">
        <f t="shared" si="157"/>
        <v>0</v>
      </c>
      <c r="G612" s="857">
        <f t="shared" si="158"/>
        <v>106.80631877091452</v>
      </c>
      <c r="H612" s="858">
        <f t="shared" si="159"/>
        <v>251.61244854076728</v>
      </c>
      <c r="I612" s="2327">
        <f>IF(AND(A612&gt;'1. AgeData'!$I$30,'S. Setup'!I$84="remove"), 0,1)*IF(($A612&gt;=70),INDEX('12. RMDtable'!$B$43:$B$82,($A612-70+1),0),0)</f>
        <v>14.8</v>
      </c>
      <c r="J612" s="2327">
        <f>IF(AND(B612&gt;'1. AgeData'!$I$31,'S. Setup'!I$84="remove"), 0,1)*IF(($B612&gt;=70),INDEX('12. RMDtable'!$B$43:$B$82,($B612-70+1),0),0)</f>
        <v>18.7</v>
      </c>
      <c r="K612" s="993">
        <f>IF(AND(A612&gt;'1. AgeData'!$I$30,'S. Setup'!$J$84="remove"),0,1) * IF(I612=0,0,IF(A612='1. AgeData'!$D$30, $D$95,I318)/I612)</f>
        <v>1078.8369131278282</v>
      </c>
      <c r="L612" s="2320">
        <f>IF(AND(B612&gt;'1. AgeData'!$I$31,'S. Setup'!$J$84="remove"),0,1) * IF(J612=0,0,IF(B612='1. AgeData'!$D$31, $D$101,J318)/J612)</f>
        <v>762.93865247053179</v>
      </c>
      <c r="M612" s="1311"/>
    </row>
    <row r="613" spans="1:13" x14ac:dyDescent="0.25">
      <c r="A613" s="2281">
        <f t="shared" ref="A613:B613" si="184">A612+1</f>
        <v>86</v>
      </c>
      <c r="B613" s="2287">
        <f t="shared" si="184"/>
        <v>81</v>
      </c>
      <c r="C613" s="837"/>
      <c r="D613" s="837"/>
      <c r="E613" s="869">
        <f t="shared" si="156"/>
        <v>0</v>
      </c>
      <c r="F613" s="868">
        <f t="shared" si="157"/>
        <v>0</v>
      </c>
      <c r="G613" s="857">
        <f t="shared" si="158"/>
        <v>108.08769159951652</v>
      </c>
      <c r="H613" s="858">
        <f t="shared" si="159"/>
        <v>257.60686913742711</v>
      </c>
      <c r="I613" s="2327">
        <f>IF(AND(A613&gt;'1. AgeData'!$I$30,'S. Setup'!I$84="remove"), 0,1)*IF(($A613&gt;=70),INDEX('12. RMDtable'!$B$43:$B$82,($A613-70+1),0),0)</f>
        <v>14.1</v>
      </c>
      <c r="J613" s="2327">
        <f>IF(AND(B613&gt;'1. AgeData'!$I$31,'S. Setup'!I$84="remove"), 0,1)*IF(($B613&gt;=70),INDEX('12. RMDtable'!$B$43:$B$82,($B613-70+1),0),0)</f>
        <v>17.899999999999999</v>
      </c>
      <c r="K613" s="993">
        <f>IF(AND(A613&gt;'1. AgeData'!$I$30,'S. Setup'!$J$84="remove"),0,1) * IF(I613=0,0,IF(A613='1. AgeData'!$D$30, $D$95,I319)/I613)</f>
        <v>1129.1605026150476</v>
      </c>
      <c r="L613" s="2320">
        <f>IF(AND(B613&gt;'1. AgeData'!$I$31,'S. Setup'!$J$84="remove"),0,1) * IF(J613=0,0,IF(B613='1. AgeData'!$D$31, $D$101,J319)/J613)</f>
        <v>795.36655572790335</v>
      </c>
      <c r="M613" s="1311"/>
    </row>
    <row r="614" spans="1:13" x14ac:dyDescent="0.25">
      <c r="A614" s="2281">
        <f t="shared" ref="A614:B614" si="185">A613+1</f>
        <v>87</v>
      </c>
      <c r="B614" s="2287">
        <f t="shared" si="185"/>
        <v>82</v>
      </c>
      <c r="C614" s="837"/>
      <c r="D614" s="837"/>
      <c r="E614" s="869">
        <f t="shared" si="156"/>
        <v>0</v>
      </c>
      <c r="F614" s="868">
        <f t="shared" si="157"/>
        <v>0</v>
      </c>
      <c r="G614" s="857">
        <f t="shared" si="158"/>
        <v>109.27318772148523</v>
      </c>
      <c r="H614" s="858">
        <f t="shared" si="159"/>
        <v>263.62748815794004</v>
      </c>
      <c r="I614" s="2327">
        <f>IF(AND(A614&gt;'1. AgeData'!$I$30,'S. Setup'!I$84="remove"), 0,1)*IF(($A614&gt;=70),INDEX('12. RMDtable'!$B$43:$B$82,($A614-70+1),0),0)</f>
        <v>13.4</v>
      </c>
      <c r="J614" s="2327">
        <f>IF(AND(B614&gt;'1. AgeData'!$I$31,'S. Setup'!I$84="remove"), 0,1)*IF(($B614&gt;=70),INDEX('12. RMDtable'!$B$43:$B$82,($B614-70+1),0),0)</f>
        <v>17.100000000000001</v>
      </c>
      <c r="K614" s="993">
        <f>IF(AND(A614&gt;'1. AgeData'!$I$30,'S. Setup'!$J$84="remove"),0,1) * IF(I614=0,0,IF(A614='1. AgeData'!$D$30, $D$95,I320)/I614)</f>
        <v>1184.3910072675337</v>
      </c>
      <c r="L614" s="2320">
        <f>IF(AND(B614&gt;'1. AgeData'!$I$31,'S. Setup'!$J$84="remove"),0,1) * IF(J614=0,0,IF(B614='1. AgeData'!$D$31, $D$101,J320)/J614)</f>
        <v>830.68031837848514</v>
      </c>
      <c r="M614" s="1311"/>
    </row>
    <row r="615" spans="1:13" x14ac:dyDescent="0.25">
      <c r="A615" s="2281">
        <f t="shared" ref="A615:B615" si="186">A614+1</f>
        <v>88</v>
      </c>
      <c r="B615" s="2287">
        <f t="shared" si="186"/>
        <v>83</v>
      </c>
      <c r="C615" s="837"/>
      <c r="D615" s="837"/>
      <c r="E615" s="869">
        <f t="shared" si="156"/>
        <v>0</v>
      </c>
      <c r="F615" s="868">
        <f t="shared" si="157"/>
        <v>0</v>
      </c>
      <c r="G615" s="857">
        <f t="shared" si="158"/>
        <v>110.34681830131885</v>
      </c>
      <c r="H615" s="858">
        <f t="shared" si="159"/>
        <v>269.65776478123382</v>
      </c>
      <c r="I615" s="2327">
        <f>IF(AND(A615&gt;'1. AgeData'!$I$30,'S. Setup'!I$84="remove"), 0,1)*IF(($A615&gt;=70),INDEX('12. RMDtable'!$B$43:$B$82,($A615-70+1),0),0)</f>
        <v>12.7</v>
      </c>
      <c r="J615" s="2327">
        <f>IF(AND(B615&gt;'1. AgeData'!$I$31,'S. Setup'!I$84="remove"), 0,1)*IF(($B615&gt;=70),INDEX('12. RMDtable'!$B$43:$B$82,($B615-70+1),0),0)</f>
        <v>16.3</v>
      </c>
      <c r="K615" s="993">
        <f>IF(AND(A615&gt;'1. AgeData'!$I$30,'S. Setup'!$J$84="remove"),0,1) * IF(I615=0,0,IF(A615='1. AgeData'!$D$30, $D$95,I321)/I615)</f>
        <v>1245.32354273484</v>
      </c>
      <c r="L615" s="2320">
        <f>IF(AND(B615&gt;'1. AgeData'!$I$31,'S. Setup'!$J$84="remove"),0,1) * IF(J615=0,0,IF(B615='1. AgeData'!$D$31, $D$101,J321)/J615)</f>
        <v>869.28341605039964</v>
      </c>
      <c r="M615" s="1311"/>
    </row>
    <row r="616" spans="1:13" x14ac:dyDescent="0.25">
      <c r="A616" s="2281">
        <f t="shared" ref="A616:B616" si="187">A615+1</f>
        <v>89</v>
      </c>
      <c r="B616" s="2287">
        <f t="shared" si="187"/>
        <v>84</v>
      </c>
      <c r="C616" s="837"/>
      <c r="D616" s="837"/>
      <c r="E616" s="869">
        <f t="shared" si="156"/>
        <v>0</v>
      </c>
      <c r="F616" s="868">
        <f t="shared" si="157"/>
        <v>0</v>
      </c>
      <c r="G616" s="857">
        <f t="shared" si="158"/>
        <v>111.29019164211321</v>
      </c>
      <c r="H616" s="858">
        <f t="shared" si="159"/>
        <v>275.67809184591425</v>
      </c>
      <c r="I616" s="2327">
        <f>IF(AND(A616&gt;'1. AgeData'!$I$30,'S. Setup'!I$84="remove"), 0,1)*IF(($A616&gt;=70),INDEX('12. RMDtable'!$B$43:$B$82,($A616-70+1),0),0)</f>
        <v>12</v>
      </c>
      <c r="J616" s="2327">
        <f>IF(AND(B616&gt;'1. AgeData'!$I$31,'S. Setup'!I$84="remove"), 0,1)*IF(($B616&gt;=70),INDEX('12. RMDtable'!$B$43:$B$82,($B616-70+1),0),0)</f>
        <v>15.5</v>
      </c>
      <c r="K616" s="993">
        <f>IF(AND(A616&gt;'1. AgeData'!$I$30,'S. Setup'!$J$84="remove"),0,1) * IF(I616=0,0,IF(A616='1. AgeData'!$D$30, $D$95,I322)/I616)</f>
        <v>1312.8897047720966</v>
      </c>
      <c r="L616" s="2320">
        <f>IF(AND(B616&gt;'1. AgeData'!$I$31,'S. Setup'!$J$84="remove"),0,1) * IF(J616=0,0,IF(B616='1. AgeData'!$D$31, $D$101,J322)/J616)</f>
        <v>911.65913444836133</v>
      </c>
      <c r="M616" s="1311"/>
    </row>
    <row r="617" spans="1:13" x14ac:dyDescent="0.25">
      <c r="A617" s="2281">
        <f t="shared" ref="A617:B617" si="188">A616+1</f>
        <v>90</v>
      </c>
      <c r="B617" s="2287">
        <f t="shared" si="188"/>
        <v>85</v>
      </c>
      <c r="C617" s="837"/>
      <c r="D617" s="837"/>
      <c r="E617" s="869">
        <f t="shared" si="156"/>
        <v>0</v>
      </c>
      <c r="F617" s="868">
        <f t="shared" si="157"/>
        <v>0</v>
      </c>
      <c r="G617" s="857">
        <f t="shared" si="158"/>
        <v>111.09885061086888</v>
      </c>
      <c r="H617" s="858">
        <f t="shared" si="159"/>
        <v>279.76203925383436</v>
      </c>
      <c r="I617" s="2327">
        <f>IF(AND(A617&gt;'1. AgeData'!$I$30,'S. Setup'!I$84="remove"), 0,1)*IF(($A617&gt;=70),INDEX('12. RMDtable'!$B$43:$B$82,($A617-70+1),0),0)</f>
        <v>11.4</v>
      </c>
      <c r="J617" s="2327">
        <f>IF(AND(B617&gt;'1. AgeData'!$I$31,'S. Setup'!I$84="remove"), 0,1)*IF(($B617&gt;=70),INDEX('12. RMDtable'!$B$43:$B$82,($B617-70+1),0),0)</f>
        <v>14.8</v>
      </c>
      <c r="K617" s="993">
        <f>IF(AND(A617&gt;'1. AgeData'!$I$30,'S. Setup'!$J$84="remove"),0,1) * IF(I617=0,0,IF(A617='1. AgeData'!$D$30, $D$95,I323)/I617)</f>
        <v>1376.0623065989389</v>
      </c>
      <c r="L617" s="2320">
        <f>IF(AND(B617&gt;'1. AgeData'!$I$31,'S. Setup'!$J$84="remove"),0,1) * IF(J617=0,0,IF(B617='1. AgeData'!$D$31, $D$101,J323)/J617)</f>
        <v>951.91492334808368</v>
      </c>
      <c r="M617" s="1311"/>
    </row>
    <row r="618" spans="1:13" x14ac:dyDescent="0.25">
      <c r="A618" s="2281">
        <f t="shared" ref="A618:B618" si="189">A617+1</f>
        <v>91</v>
      </c>
      <c r="B618" s="2287">
        <f t="shared" si="189"/>
        <v>86</v>
      </c>
      <c r="C618" s="837"/>
      <c r="D618" s="837"/>
      <c r="E618" s="869">
        <f t="shared" si="156"/>
        <v>0</v>
      </c>
      <c r="F618" s="868">
        <f t="shared" si="157"/>
        <v>0</v>
      </c>
      <c r="G618" s="857">
        <f t="shared" si="158"/>
        <v>110.70156935062892</v>
      </c>
      <c r="H618" s="858">
        <f t="shared" si="159"/>
        <v>283.64696175638056</v>
      </c>
      <c r="I618" s="2327">
        <f>IF(AND(A618&gt;'1. AgeData'!$I$30,'S. Setup'!I$84="remove"), 0,1)*IF(($A618&gt;=70),INDEX('12. RMDtable'!$B$43:$B$82,($A618-70+1),0),0)</f>
        <v>10.8</v>
      </c>
      <c r="J618" s="2327">
        <f>IF(AND(B618&gt;'1. AgeData'!$I$31,'S. Setup'!I$84="remove"), 0,1)*IF(($B618&gt;=70),INDEX('12. RMDtable'!$B$43:$B$82,($B618-70+1),0),0)</f>
        <v>14.1</v>
      </c>
      <c r="K618" s="993">
        <f>IF(AND(A618&gt;'1. AgeData'!$I$30,'S. Setup'!$J$84="remove"),0,1) * IF(I618=0,0,IF(A618='1. AgeData'!$D$30, $D$95,I324)/I618)</f>
        <v>1446.6608975371353</v>
      </c>
      <c r="L618" s="2320">
        <f>IF(AND(B618&gt;'1. AgeData'!$I$31,'S. Setup'!$J$84="remove"),0,1) * IF(J618=0,0,IF(B618='1. AgeData'!$D$31, $D$101,J324)/J618)</f>
        <v>996.31809054268911</v>
      </c>
      <c r="M618" s="1311"/>
    </row>
    <row r="619" spans="1:13" x14ac:dyDescent="0.25">
      <c r="A619" s="2281">
        <f t="shared" ref="A619:B619" si="190">A618+1</f>
        <v>92</v>
      </c>
      <c r="B619" s="2287">
        <f t="shared" si="190"/>
        <v>87</v>
      </c>
      <c r="C619" s="837"/>
      <c r="D619" s="837"/>
      <c r="E619" s="869">
        <f t="shared" si="156"/>
        <v>0</v>
      </c>
      <c r="F619" s="868">
        <f t="shared" si="157"/>
        <v>0</v>
      </c>
      <c r="G619" s="857">
        <f t="shared" si="158"/>
        <v>110.07599695284753</v>
      </c>
      <c r="H619" s="858">
        <f t="shared" si="159"/>
        <v>287.29521204434411</v>
      </c>
      <c r="I619" s="2327">
        <f>IF(AND(A619&gt;'1. AgeData'!$I$30,'S. Setup'!I$84="remove"), 0,1)*IF(($A619&gt;=70),INDEX('12. RMDtable'!$B$43:$B$82,($A619-70+1),0),0)</f>
        <v>10.199999999999999</v>
      </c>
      <c r="J619" s="2327">
        <f>IF(AND(B619&gt;'1. AgeData'!$I$31,'S. Setup'!I$84="remove"), 0,1)*IF(($B619&gt;=70),INDEX('12. RMDtable'!$B$43:$B$82,($B619-70+1),0),0)</f>
        <v>13.4</v>
      </c>
      <c r="K619" s="993">
        <f>IF(AND(A619&gt;'1. AgeData'!$I$30,'S. Setup'!$J$84="remove"),0,1) * IF(I619=0,0,IF(A619='1. AgeData'!$D$30, $D$95,I325)/I619)</f>
        <v>1524.8371669081241</v>
      </c>
      <c r="L619" s="2320">
        <f>IF(AND(B619&gt;'1. AgeData'!$I$31,'S. Setup'!$J$84="remove"),0,1) * IF(J619=0,0,IF(B619='1. AgeData'!$D$31, $D$101,J325)/J619)</f>
        <v>1045.050888765471</v>
      </c>
      <c r="M619" s="1311"/>
    </row>
    <row r="620" spans="1:13" x14ac:dyDescent="0.25">
      <c r="A620" s="2281">
        <f t="shared" ref="A620:B620" si="191">A619+1</f>
        <v>93</v>
      </c>
      <c r="B620" s="2287">
        <f t="shared" si="191"/>
        <v>88</v>
      </c>
      <c r="C620" s="837"/>
      <c r="D620" s="837"/>
      <c r="E620" s="869">
        <f t="shared" si="156"/>
        <v>0</v>
      </c>
      <c r="F620" s="868">
        <f t="shared" si="157"/>
        <v>0</v>
      </c>
      <c r="G620" s="857">
        <f t="shared" si="158"/>
        <v>109.1969942521803</v>
      </c>
      <c r="H620" s="858">
        <f t="shared" si="159"/>
        <v>290.66357874303731</v>
      </c>
      <c r="I620" s="2327">
        <f>IF(AND(A620&gt;'1. AgeData'!$I$30,'S. Setup'!I$84="remove"), 0,1)*IF(($A620&gt;=70),INDEX('12. RMDtable'!$B$43:$B$82,($A620-70+1),0),0)</f>
        <v>9.6</v>
      </c>
      <c r="J620" s="2327">
        <f>IF(AND(B620&gt;'1. AgeData'!$I$31,'S. Setup'!I$84="remove"), 0,1)*IF(($B620&gt;=70),INDEX('12. RMDtable'!$B$43:$B$82,($B620-70+1),0),0)</f>
        <v>12.7</v>
      </c>
      <c r="K620" s="993">
        <f>IF(AND(A620&gt;'1. AgeData'!$I$30,'S. Setup'!$J$84="remove"),0,1) * IF(I620=0,0,IF(A620='1. AgeData'!$D$30, $D$95,I326)/I620)</f>
        <v>1611.9961284470705</v>
      </c>
      <c r="L620" s="2320">
        <f>IF(AND(B620&gt;'1. AgeData'!$I$31,'S. Setup'!$J$84="remove"),0,1) * IF(J620=0,0,IF(B620='1. AgeData'!$D$31, $D$101,J326)/J620)</f>
        <v>1098.8148906483882</v>
      </c>
      <c r="M620" s="1311"/>
    </row>
    <row r="621" spans="1:13" x14ac:dyDescent="0.25">
      <c r="A621" s="2281">
        <f t="shared" ref="A621:B621" si="192">A620+1</f>
        <v>94</v>
      </c>
      <c r="B621" s="2287">
        <f t="shared" si="192"/>
        <v>89</v>
      </c>
      <c r="C621" s="837"/>
      <c r="D621" s="837"/>
      <c r="E621" s="869">
        <f t="shared" si="156"/>
        <v>0</v>
      </c>
      <c r="F621" s="868">
        <f t="shared" si="157"/>
        <v>0</v>
      </c>
      <c r="G621" s="857">
        <f t="shared" si="158"/>
        <v>106.8488988856675</v>
      </c>
      <c r="H621" s="858">
        <f t="shared" si="159"/>
        <v>293.7022242391468</v>
      </c>
      <c r="I621" s="2327">
        <f>IF(AND(A621&gt;'1. AgeData'!$I$30,'S. Setup'!I$84="remove"), 0,1)*IF(($A621&gt;=70),INDEX('12. RMDtable'!$B$43:$B$82,($A621-70+1),0),0)</f>
        <v>9.1</v>
      </c>
      <c r="J621" s="2327">
        <f>IF(AND(B621&gt;'1. AgeData'!$I$31,'S. Setup'!I$84="remove"), 0,1)*IF(($B621&gt;=70),INDEX('12. RMDtable'!$B$43:$B$82,($B621-70+1),0),0)</f>
        <v>12</v>
      </c>
      <c r="K621" s="993">
        <f>IF(AND(A621&gt;'1. AgeData'!$I$30,'S. Setup'!$J$84="remove"),0,1) * IF(I621=0,0,IF(A621='1. AgeData'!$D$30, $D$95,I327)/I621)</f>
        <v>1690.9894364343879</v>
      </c>
      <c r="L621" s="2320">
        <f>IF(AND(B621&gt;'1. AgeData'!$I$31,'S. Setup'!$J$84="remove"),0,1) * IF(J621=0,0,IF(B621='1. AgeData'!$D$31, $D$101,J327)/J621)</f>
        <v>1158.4320924459678</v>
      </c>
      <c r="M621" s="1311"/>
    </row>
    <row r="622" spans="1:13" x14ac:dyDescent="0.25">
      <c r="A622" s="2281">
        <f t="shared" ref="A622:B622" si="193">A621+1</f>
        <v>95</v>
      </c>
      <c r="B622" s="2287">
        <f t="shared" si="193"/>
        <v>90</v>
      </c>
      <c r="C622" s="837"/>
      <c r="D622" s="837"/>
      <c r="E622" s="869">
        <f t="shared" si="156"/>
        <v>0</v>
      </c>
      <c r="F622" s="868">
        <f t="shared" si="157"/>
        <v>0</v>
      </c>
      <c r="G622" s="857">
        <f t="shared" si="158"/>
        <v>104.22078870179712</v>
      </c>
      <c r="H622" s="858">
        <f t="shared" si="159"/>
        <v>293.75375094515374</v>
      </c>
      <c r="I622" s="2327">
        <f>IF(AND(A622&gt;'1. AgeData'!$I$30,'S. Setup'!I$84="remove"), 0,1)*IF(($A622&gt;=70),INDEX('12. RMDtable'!$B$43:$B$82,($A622-70+1),0),0)</f>
        <v>8.6</v>
      </c>
      <c r="J622" s="2327">
        <f>IF(AND(B622&gt;'1. AgeData'!$I$31,'S. Setup'!I$84="remove"), 0,1)*IF(($B622&gt;=70),INDEX('12. RMDtable'!$B$43:$B$82,($B622-70+1),0),0)</f>
        <v>11.4</v>
      </c>
      <c r="K622" s="993">
        <f>IF(AND(A622&gt;'1. AgeData'!$I$30,'S. Setup'!$J$84="remove"),0,1) * IF(I622=0,0,IF(A622='1. AgeData'!$D$30, $D$95,I328)/I622)</f>
        <v>1780.1175073913505</v>
      </c>
      <c r="L622" s="2320">
        <f>IF(AND(B622&gt;'1. AgeData'!$I$31,'S. Setup'!$J$84="remove"),0,1) * IF(J622=0,0,IF(B622='1. AgeData'!$D$31, $D$101,J328)/J622)</f>
        <v>1214.1726234696519</v>
      </c>
      <c r="M622" s="1311"/>
    </row>
    <row r="623" spans="1:13" ht="15.75" thickBot="1" x14ac:dyDescent="0.3">
      <c r="A623" s="2285">
        <f t="shared" ref="A623:B623" si="194">A622+1</f>
        <v>96</v>
      </c>
      <c r="B623" s="2288">
        <f t="shared" si="194"/>
        <v>91</v>
      </c>
      <c r="C623" s="1975"/>
      <c r="D623" s="1896"/>
      <c r="E623" s="878">
        <f t="shared" si="156"/>
        <v>0</v>
      </c>
      <c r="F623" s="1896">
        <f t="shared" si="157"/>
        <v>0</v>
      </c>
      <c r="G623" s="921">
        <f t="shared" si="158"/>
        <v>101.2951438950052</v>
      </c>
      <c r="H623" s="1433">
        <f t="shared" si="159"/>
        <v>293.26144141810676</v>
      </c>
      <c r="I623" s="2328">
        <f>IF(AND(A623&gt;'1. AgeData'!$I$30,'S. Setup'!I$84="remove"), 0,1)*IF(($A623&gt;=70),INDEX('12. RMDtable'!$B$43:$B$82,($A623-70+1),0),0)</f>
        <v>8.1</v>
      </c>
      <c r="J623" s="2328">
        <f>IF(AND(B623&gt;'1. AgeData'!$I$31,'S. Setup'!I$84="remove"), 0,1)*IF(($B623&gt;=70),INDEX('12. RMDtable'!$B$43:$B$82,($B623-70+1),0),0)</f>
        <v>10.8</v>
      </c>
      <c r="K623" s="1972">
        <f>IF(AND(A623&gt;'1. AgeData'!$I$30,'S. Setup'!$J$84="remove"),0,1) * IF(I623=0,0,IF(A623='1. AgeData'!$D$30, $D$95,I329)/I623)</f>
        <v>1878.9978385936604</v>
      </c>
      <c r="L623" s="2321">
        <f>IF(AND(B623&gt;'1. AgeData'!$I$31,'S. Setup'!$J$84="remove"),0,1) * IF(J623=0,0,IF(B623='1. AgeData'!$D$31, $D$101,J329)/J623)</f>
        <v>1276.4654978268838</v>
      </c>
      <c r="M623" s="1315"/>
    </row>
    <row r="624" spans="1:13" ht="15.75" thickTop="1" x14ac:dyDescent="0.25"/>
    <row r="625" spans="1:14" ht="15.75" thickBot="1" x14ac:dyDescent="0.3">
      <c r="A625" s="38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</row>
    <row r="626" spans="1:14" ht="19.5" thickTop="1" x14ac:dyDescent="0.3">
      <c r="A626" s="1340" t="s">
        <v>2034</v>
      </c>
      <c r="B626" s="1341"/>
      <c r="C626" s="1341"/>
      <c r="D626" s="1341"/>
      <c r="E626" s="1341"/>
      <c r="F626" s="1341"/>
      <c r="G626" s="1341"/>
      <c r="H626" s="1341"/>
      <c r="I626" s="1341"/>
      <c r="J626" s="1341"/>
      <c r="K626" s="1341"/>
      <c r="L626" s="1341"/>
      <c r="M626" s="1342"/>
      <c r="N626" s="1336"/>
    </row>
    <row r="627" spans="1:14" ht="18.75" x14ac:dyDescent="0.3">
      <c r="A627" s="1438" t="s">
        <v>2033</v>
      </c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1311"/>
      <c r="N627" s="1336"/>
    </row>
    <row r="628" spans="1:14" x14ac:dyDescent="0.25">
      <c r="A628" s="1416" t="s">
        <v>2893</v>
      </c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1311"/>
      <c r="N628" s="1336"/>
    </row>
    <row r="629" spans="1:14" x14ac:dyDescent="0.25">
      <c r="A629" s="1416" t="s">
        <v>2037</v>
      </c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1311"/>
      <c r="N629" s="1336"/>
    </row>
    <row r="630" spans="1:14" ht="15.75" thickBot="1" x14ac:dyDescent="0.3">
      <c r="A630" s="1435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1311"/>
      <c r="N630" s="1336"/>
    </row>
    <row r="631" spans="1:14" ht="19.5" thickTop="1" x14ac:dyDescent="0.3">
      <c r="A631" s="2424"/>
      <c r="B631" s="2415" t="s">
        <v>2035</v>
      </c>
      <c r="C631" s="1341"/>
      <c r="D631" s="1341"/>
      <c r="E631" s="1341"/>
      <c r="F631" s="1341"/>
      <c r="G631" s="1341"/>
      <c r="H631" s="1341"/>
      <c r="I631" s="1342"/>
      <c r="J631" s="2415" t="s">
        <v>2055</v>
      </c>
      <c r="K631" s="1341"/>
      <c r="L631" s="1341"/>
      <c r="M631" s="1342"/>
      <c r="N631" s="1336"/>
    </row>
    <row r="632" spans="1:14" ht="19.5" thickBot="1" x14ac:dyDescent="0.35">
      <c r="A632" s="2425"/>
      <c r="B632" s="2417"/>
      <c r="C632" s="2422"/>
      <c r="D632" s="2422"/>
      <c r="E632" s="2422"/>
      <c r="F632" s="2422"/>
      <c r="G632" s="2422"/>
      <c r="H632" s="2422"/>
      <c r="I632" s="2423"/>
      <c r="J632" s="2417" t="s">
        <v>2056</v>
      </c>
      <c r="K632" s="1314"/>
      <c r="L632" s="1314"/>
      <c r="M632" s="1315"/>
      <c r="N632" s="1336"/>
    </row>
    <row r="633" spans="1:14" ht="62.25" thickTop="1" thickBot="1" x14ac:dyDescent="0.3">
      <c r="A633" s="1907" t="s">
        <v>218</v>
      </c>
      <c r="B633" s="664" t="s">
        <v>1927</v>
      </c>
      <c r="C633" s="2384" t="s">
        <v>1926</v>
      </c>
      <c r="D633" s="2383" t="s">
        <v>1923</v>
      </c>
      <c r="E633" s="2385" t="s">
        <v>1925</v>
      </c>
      <c r="F633" s="2383" t="s">
        <v>1922</v>
      </c>
      <c r="G633" s="2384" t="s">
        <v>1928</v>
      </c>
      <c r="H633" s="2383" t="s">
        <v>1924</v>
      </c>
      <c r="I633" s="2386" t="s">
        <v>1929</v>
      </c>
      <c r="J633" s="2387" t="s">
        <v>1930</v>
      </c>
      <c r="K633" s="2388" t="s">
        <v>1931</v>
      </c>
      <c r="L633" s="2389" t="s">
        <v>1932</v>
      </c>
      <c r="M633" s="2390" t="s">
        <v>1933</v>
      </c>
    </row>
    <row r="634" spans="1:14" ht="15.75" thickTop="1" x14ac:dyDescent="0.25">
      <c r="A634" s="2419">
        <v>1</v>
      </c>
      <c r="B634" s="840">
        <f t="shared" ref="B634:B665" si="195">IF(AND($C166="Roth",OR($B166="C",$B166="FC")),$D166,0)</f>
        <v>0</v>
      </c>
      <c r="C634" s="837">
        <f t="shared" ref="C634:C665" si="196">IF(AND($C166="Roth",OR($B166="C",$B166="FC")),$G166,0)</f>
        <v>0</v>
      </c>
      <c r="D634" s="840">
        <f t="shared" ref="D634:D665" si="197">IF(AND($C166="Roth",OR($B166="W",$B166="FW")),$D166,0)</f>
        <v>71</v>
      </c>
      <c r="E634" s="868">
        <f t="shared" ref="E634:E665" si="198">IF(AND($C166="Roth",OR($B166="W",$B166="FW")),$G166,0)</f>
        <v>621.68715419732598</v>
      </c>
      <c r="F634" s="836">
        <f t="shared" ref="F634:F665" si="199">IF(AND($I166="Roth",OR($H166="C",$H166="FC")),$J166,0)</f>
        <v>0</v>
      </c>
      <c r="G634" s="1892">
        <f t="shared" ref="G634:G665" si="200">IF(AND($I166="Roth",OR($H166="C",$H166="FC")),$M166,0)</f>
        <v>0</v>
      </c>
      <c r="H634" s="836">
        <f t="shared" ref="H634:H665" si="201">IF(AND($I166="Roth",OR($H166="W",$H166="FW")),$J166,0)</f>
        <v>66</v>
      </c>
      <c r="I634" s="1894">
        <f t="shared" ref="I634:I665" si="202">IF(AND($I166="Roth",OR($H166="W",$H166="FW")),$M166,0)</f>
        <v>497.3497233578608</v>
      </c>
      <c r="J634" s="2382">
        <f t="shared" ref="J634:J665" si="203">IF(AND($C166="inher-5Yr",OR($B166="W",$B166="FW")),$D166,0)</f>
        <v>0</v>
      </c>
      <c r="K634" s="1583">
        <f t="shared" ref="K634:K665" si="204">IF(AND($C166="inher-5Yr",OR($B166="W",$B166="FW")),$G166,0)</f>
        <v>0</v>
      </c>
      <c r="L634" s="836">
        <f t="shared" ref="L634:L665" si="205">IF(AND($I166="inher-5Yr",OR($H166="W",$H166="FW")),$J166,0)</f>
        <v>0</v>
      </c>
      <c r="M634" s="1894">
        <f t="shared" ref="M634:M665" si="206">IF(AND($I166="inher-5Yr",OR($H166="W",$H166="FW")),$M166,0)</f>
        <v>0</v>
      </c>
    </row>
    <row r="635" spans="1:14" x14ac:dyDescent="0.25">
      <c r="A635" s="2420">
        <v>2</v>
      </c>
      <c r="B635" s="840">
        <f t="shared" si="195"/>
        <v>0</v>
      </c>
      <c r="C635" s="837">
        <f t="shared" si="196"/>
        <v>0</v>
      </c>
      <c r="D635" s="840">
        <f t="shared" si="197"/>
        <v>75</v>
      </c>
      <c r="E635" s="868">
        <f t="shared" si="198"/>
        <v>807.5210029944775</v>
      </c>
      <c r="F635" s="841">
        <f t="shared" si="199"/>
        <v>0</v>
      </c>
      <c r="G635" s="837">
        <f t="shared" si="200"/>
        <v>0</v>
      </c>
      <c r="H635" s="841">
        <f t="shared" si="201"/>
        <v>70</v>
      </c>
      <c r="I635" s="1895">
        <f t="shared" si="202"/>
        <v>1009.401253743097</v>
      </c>
      <c r="J635" s="2380">
        <f t="shared" si="203"/>
        <v>0</v>
      </c>
      <c r="K635" s="868">
        <f t="shared" si="204"/>
        <v>0</v>
      </c>
      <c r="L635" s="841">
        <f t="shared" si="205"/>
        <v>0</v>
      </c>
      <c r="M635" s="1895">
        <f t="shared" si="206"/>
        <v>0</v>
      </c>
    </row>
    <row r="636" spans="1:14" x14ac:dyDescent="0.25">
      <c r="A636" s="2420">
        <v>3</v>
      </c>
      <c r="B636" s="840">
        <f t="shared" si="195"/>
        <v>0</v>
      </c>
      <c r="C636" s="837">
        <f t="shared" si="196"/>
        <v>0</v>
      </c>
      <c r="D636" s="840">
        <f t="shared" si="197"/>
        <v>70</v>
      </c>
      <c r="E636" s="868">
        <f t="shared" si="198"/>
        <v>487.59776799790285</v>
      </c>
      <c r="F636" s="841">
        <f t="shared" si="199"/>
        <v>58</v>
      </c>
      <c r="G636" s="837">
        <f t="shared" si="200"/>
        <v>1273.4495999999999</v>
      </c>
      <c r="H636" s="841">
        <f t="shared" si="201"/>
        <v>0</v>
      </c>
      <c r="I636" s="1895">
        <f t="shared" si="202"/>
        <v>0</v>
      </c>
      <c r="J636" s="2380">
        <f t="shared" si="203"/>
        <v>0</v>
      </c>
      <c r="K636" s="868">
        <f t="shared" si="204"/>
        <v>0</v>
      </c>
      <c r="L636" s="841">
        <f t="shared" si="205"/>
        <v>0</v>
      </c>
      <c r="M636" s="1895">
        <f t="shared" si="206"/>
        <v>0</v>
      </c>
    </row>
    <row r="637" spans="1:14" x14ac:dyDescent="0.25">
      <c r="A637" s="2420">
        <v>4</v>
      </c>
      <c r="B637" s="840">
        <f t="shared" si="195"/>
        <v>0</v>
      </c>
      <c r="C637" s="837">
        <f t="shared" si="196"/>
        <v>0</v>
      </c>
      <c r="D637" s="840">
        <f t="shared" si="197"/>
        <v>75</v>
      </c>
      <c r="E637" s="868">
        <f t="shared" si="198"/>
        <v>403.76050149723875</v>
      </c>
      <c r="F637" s="841">
        <f t="shared" si="199"/>
        <v>0</v>
      </c>
      <c r="G637" s="837">
        <f t="shared" si="200"/>
        <v>0</v>
      </c>
      <c r="H637" s="841">
        <f t="shared" si="201"/>
        <v>0</v>
      </c>
      <c r="I637" s="1895">
        <f t="shared" si="202"/>
        <v>0</v>
      </c>
      <c r="J637" s="2380">
        <f t="shared" si="203"/>
        <v>0</v>
      </c>
      <c r="K637" s="868">
        <f t="shared" si="204"/>
        <v>0</v>
      </c>
      <c r="L637" s="841">
        <f t="shared" si="205"/>
        <v>0</v>
      </c>
      <c r="M637" s="1895">
        <f t="shared" si="206"/>
        <v>0</v>
      </c>
    </row>
    <row r="638" spans="1:14" x14ac:dyDescent="0.25">
      <c r="A638" s="2420">
        <v>5</v>
      </c>
      <c r="B638" s="840">
        <f t="shared" si="195"/>
        <v>62</v>
      </c>
      <c r="C638" s="837">
        <f t="shared" si="196"/>
        <v>1040.4000000000001</v>
      </c>
      <c r="D638" s="840">
        <f t="shared" si="197"/>
        <v>0</v>
      </c>
      <c r="E638" s="868">
        <f t="shared" si="198"/>
        <v>0</v>
      </c>
      <c r="F638" s="841">
        <f t="shared" si="199"/>
        <v>0</v>
      </c>
      <c r="G638" s="837">
        <f t="shared" si="200"/>
        <v>0</v>
      </c>
      <c r="H638" s="841">
        <f t="shared" si="201"/>
        <v>0</v>
      </c>
      <c r="I638" s="1895">
        <f t="shared" si="202"/>
        <v>0</v>
      </c>
      <c r="J638" s="2380">
        <f t="shared" si="203"/>
        <v>0</v>
      </c>
      <c r="K638" s="868">
        <f t="shared" si="204"/>
        <v>0</v>
      </c>
      <c r="L638" s="841">
        <f t="shared" si="205"/>
        <v>0</v>
      </c>
      <c r="M638" s="1895">
        <f t="shared" si="206"/>
        <v>0</v>
      </c>
    </row>
    <row r="639" spans="1:14" x14ac:dyDescent="0.25">
      <c r="A639" s="2420">
        <v>6</v>
      </c>
      <c r="B639" s="840">
        <f t="shared" si="195"/>
        <v>61</v>
      </c>
      <c r="C639" s="837">
        <f t="shared" si="196"/>
        <v>510</v>
      </c>
      <c r="D639" s="840">
        <f t="shared" si="197"/>
        <v>0</v>
      </c>
      <c r="E639" s="868">
        <f t="shared" si="198"/>
        <v>0</v>
      </c>
      <c r="F639" s="841">
        <f t="shared" si="199"/>
        <v>0</v>
      </c>
      <c r="G639" s="837">
        <f t="shared" si="200"/>
        <v>0</v>
      </c>
      <c r="H639" s="841">
        <f t="shared" si="201"/>
        <v>0</v>
      </c>
      <c r="I639" s="1895">
        <f t="shared" si="202"/>
        <v>0</v>
      </c>
      <c r="J639" s="2380">
        <f t="shared" si="203"/>
        <v>0</v>
      </c>
      <c r="K639" s="868">
        <f t="shared" si="204"/>
        <v>0</v>
      </c>
      <c r="L639" s="841">
        <f t="shared" si="205"/>
        <v>0</v>
      </c>
      <c r="M639" s="1895">
        <f t="shared" si="206"/>
        <v>0</v>
      </c>
    </row>
    <row r="640" spans="1:14" x14ac:dyDescent="0.25">
      <c r="A640" s="2420">
        <v>7</v>
      </c>
      <c r="B640" s="840">
        <f t="shared" si="195"/>
        <v>0</v>
      </c>
      <c r="C640" s="837">
        <f t="shared" si="196"/>
        <v>0</v>
      </c>
      <c r="D640" s="840">
        <f t="shared" si="197"/>
        <v>0</v>
      </c>
      <c r="E640" s="868">
        <f t="shared" si="198"/>
        <v>0</v>
      </c>
      <c r="F640" s="841">
        <f t="shared" si="199"/>
        <v>0</v>
      </c>
      <c r="G640" s="837">
        <f t="shared" si="200"/>
        <v>0</v>
      </c>
      <c r="H640" s="841">
        <f t="shared" si="201"/>
        <v>0</v>
      </c>
      <c r="I640" s="1895">
        <f t="shared" si="202"/>
        <v>0</v>
      </c>
      <c r="J640" s="2380">
        <f t="shared" si="203"/>
        <v>0</v>
      </c>
      <c r="K640" s="868">
        <f t="shared" si="204"/>
        <v>0</v>
      </c>
      <c r="L640" s="841">
        <f t="shared" si="205"/>
        <v>0</v>
      </c>
      <c r="M640" s="1895">
        <f t="shared" si="206"/>
        <v>0</v>
      </c>
    </row>
    <row r="641" spans="1:13" x14ac:dyDescent="0.25">
      <c r="A641" s="2420">
        <v>8</v>
      </c>
      <c r="B641" s="840">
        <f t="shared" si="195"/>
        <v>0</v>
      </c>
      <c r="C641" s="837">
        <f t="shared" si="196"/>
        <v>0</v>
      </c>
      <c r="D641" s="840">
        <f t="shared" si="197"/>
        <v>0</v>
      </c>
      <c r="E641" s="868">
        <f t="shared" si="198"/>
        <v>0</v>
      </c>
      <c r="F641" s="841">
        <f t="shared" si="199"/>
        <v>0</v>
      </c>
      <c r="G641" s="837">
        <f t="shared" si="200"/>
        <v>0</v>
      </c>
      <c r="H641" s="841">
        <f t="shared" si="201"/>
        <v>0</v>
      </c>
      <c r="I641" s="1895">
        <f t="shared" si="202"/>
        <v>0</v>
      </c>
      <c r="J641" s="2380">
        <f t="shared" si="203"/>
        <v>0</v>
      </c>
      <c r="K641" s="868">
        <f t="shared" si="204"/>
        <v>0</v>
      </c>
      <c r="L641" s="841">
        <f t="shared" si="205"/>
        <v>0</v>
      </c>
      <c r="M641" s="1895">
        <f t="shared" si="206"/>
        <v>0</v>
      </c>
    </row>
    <row r="642" spans="1:13" x14ac:dyDescent="0.25">
      <c r="A642" s="2420">
        <v>9</v>
      </c>
      <c r="B642" s="840">
        <f t="shared" si="195"/>
        <v>0</v>
      </c>
      <c r="C642" s="837">
        <f t="shared" si="196"/>
        <v>0</v>
      </c>
      <c r="D642" s="840">
        <f t="shared" si="197"/>
        <v>0</v>
      </c>
      <c r="E642" s="868">
        <f t="shared" si="198"/>
        <v>0</v>
      </c>
      <c r="F642" s="841">
        <f t="shared" si="199"/>
        <v>0</v>
      </c>
      <c r="G642" s="837">
        <f t="shared" si="200"/>
        <v>0</v>
      </c>
      <c r="H642" s="841">
        <f t="shared" si="201"/>
        <v>0</v>
      </c>
      <c r="I642" s="1895">
        <f t="shared" si="202"/>
        <v>0</v>
      </c>
      <c r="J642" s="2380">
        <f t="shared" si="203"/>
        <v>0</v>
      </c>
      <c r="K642" s="868">
        <f t="shared" si="204"/>
        <v>0</v>
      </c>
      <c r="L642" s="841">
        <f t="shared" si="205"/>
        <v>0</v>
      </c>
      <c r="M642" s="1895">
        <f t="shared" si="206"/>
        <v>0</v>
      </c>
    </row>
    <row r="643" spans="1:13" x14ac:dyDescent="0.25">
      <c r="A643" s="2420">
        <v>10</v>
      </c>
      <c r="B643" s="840">
        <f t="shared" si="195"/>
        <v>0</v>
      </c>
      <c r="C643" s="837">
        <f t="shared" si="196"/>
        <v>0</v>
      </c>
      <c r="D643" s="840">
        <f t="shared" si="197"/>
        <v>0</v>
      </c>
      <c r="E643" s="868">
        <f t="shared" si="198"/>
        <v>0</v>
      </c>
      <c r="F643" s="841">
        <f t="shared" si="199"/>
        <v>0</v>
      </c>
      <c r="G643" s="837">
        <f t="shared" si="200"/>
        <v>0</v>
      </c>
      <c r="H643" s="841">
        <f t="shared" si="201"/>
        <v>0</v>
      </c>
      <c r="I643" s="1895">
        <f t="shared" si="202"/>
        <v>0</v>
      </c>
      <c r="J643" s="2380">
        <f t="shared" si="203"/>
        <v>0</v>
      </c>
      <c r="K643" s="868">
        <f t="shared" si="204"/>
        <v>0</v>
      </c>
      <c r="L643" s="841">
        <f t="shared" si="205"/>
        <v>0</v>
      </c>
      <c r="M643" s="1895">
        <f t="shared" si="206"/>
        <v>0</v>
      </c>
    </row>
    <row r="644" spans="1:13" x14ac:dyDescent="0.25">
      <c r="A644" s="2420">
        <v>11</v>
      </c>
      <c r="B644" s="840">
        <f t="shared" si="195"/>
        <v>0</v>
      </c>
      <c r="C644" s="837">
        <f t="shared" si="196"/>
        <v>0</v>
      </c>
      <c r="D644" s="840">
        <f t="shared" si="197"/>
        <v>0</v>
      </c>
      <c r="E644" s="868">
        <f t="shared" si="198"/>
        <v>0</v>
      </c>
      <c r="F644" s="841">
        <f t="shared" si="199"/>
        <v>0</v>
      </c>
      <c r="G644" s="837">
        <f t="shared" si="200"/>
        <v>0</v>
      </c>
      <c r="H644" s="841">
        <f t="shared" si="201"/>
        <v>0</v>
      </c>
      <c r="I644" s="1895">
        <f t="shared" si="202"/>
        <v>0</v>
      </c>
      <c r="J644" s="2380">
        <f t="shared" si="203"/>
        <v>0</v>
      </c>
      <c r="K644" s="868">
        <f t="shared" si="204"/>
        <v>0</v>
      </c>
      <c r="L644" s="841">
        <f t="shared" si="205"/>
        <v>0</v>
      </c>
      <c r="M644" s="1895">
        <f t="shared" si="206"/>
        <v>0</v>
      </c>
    </row>
    <row r="645" spans="1:13" x14ac:dyDescent="0.25">
      <c r="A645" s="2420">
        <v>12</v>
      </c>
      <c r="B645" s="840">
        <f t="shared" si="195"/>
        <v>0</v>
      </c>
      <c r="C645" s="837">
        <f t="shared" si="196"/>
        <v>0</v>
      </c>
      <c r="D645" s="840">
        <f t="shared" si="197"/>
        <v>0</v>
      </c>
      <c r="E645" s="868">
        <f t="shared" si="198"/>
        <v>0</v>
      </c>
      <c r="F645" s="841">
        <f t="shared" si="199"/>
        <v>0</v>
      </c>
      <c r="G645" s="837">
        <f t="shared" si="200"/>
        <v>0</v>
      </c>
      <c r="H645" s="841">
        <f t="shared" si="201"/>
        <v>0</v>
      </c>
      <c r="I645" s="1895">
        <f t="shared" si="202"/>
        <v>0</v>
      </c>
      <c r="J645" s="2380">
        <f t="shared" si="203"/>
        <v>0</v>
      </c>
      <c r="K645" s="868">
        <f t="shared" si="204"/>
        <v>0</v>
      </c>
      <c r="L645" s="841">
        <f t="shared" si="205"/>
        <v>0</v>
      </c>
      <c r="M645" s="1895">
        <f t="shared" si="206"/>
        <v>0</v>
      </c>
    </row>
    <row r="646" spans="1:13" x14ac:dyDescent="0.25">
      <c r="A646" s="2420">
        <v>13</v>
      </c>
      <c r="B646" s="840">
        <f t="shared" si="195"/>
        <v>0</v>
      </c>
      <c r="C646" s="837">
        <f t="shared" si="196"/>
        <v>0</v>
      </c>
      <c r="D646" s="840">
        <f t="shared" si="197"/>
        <v>0</v>
      </c>
      <c r="E646" s="868">
        <f t="shared" si="198"/>
        <v>0</v>
      </c>
      <c r="F646" s="841">
        <f t="shared" si="199"/>
        <v>0</v>
      </c>
      <c r="G646" s="837">
        <f t="shared" si="200"/>
        <v>0</v>
      </c>
      <c r="H646" s="841">
        <f t="shared" si="201"/>
        <v>0</v>
      </c>
      <c r="I646" s="1895">
        <f t="shared" si="202"/>
        <v>0</v>
      </c>
      <c r="J646" s="2380">
        <f t="shared" si="203"/>
        <v>0</v>
      </c>
      <c r="K646" s="868">
        <f t="shared" si="204"/>
        <v>0</v>
      </c>
      <c r="L646" s="841">
        <f t="shared" si="205"/>
        <v>0</v>
      </c>
      <c r="M646" s="1895">
        <f t="shared" si="206"/>
        <v>0</v>
      </c>
    </row>
    <row r="647" spans="1:13" x14ac:dyDescent="0.25">
      <c r="A647" s="2420">
        <v>14</v>
      </c>
      <c r="B647" s="840">
        <f t="shared" si="195"/>
        <v>0</v>
      </c>
      <c r="C647" s="837">
        <f t="shared" si="196"/>
        <v>0</v>
      </c>
      <c r="D647" s="840">
        <f t="shared" si="197"/>
        <v>0</v>
      </c>
      <c r="E647" s="868">
        <f t="shared" si="198"/>
        <v>0</v>
      </c>
      <c r="F647" s="841">
        <f t="shared" si="199"/>
        <v>0</v>
      </c>
      <c r="G647" s="837">
        <f t="shared" si="200"/>
        <v>0</v>
      </c>
      <c r="H647" s="841">
        <f t="shared" si="201"/>
        <v>0</v>
      </c>
      <c r="I647" s="1895">
        <f t="shared" si="202"/>
        <v>0</v>
      </c>
      <c r="J647" s="2380">
        <f t="shared" si="203"/>
        <v>0</v>
      </c>
      <c r="K647" s="868">
        <f t="shared" si="204"/>
        <v>0</v>
      </c>
      <c r="L647" s="841">
        <f t="shared" si="205"/>
        <v>0</v>
      </c>
      <c r="M647" s="1895">
        <f t="shared" si="206"/>
        <v>0</v>
      </c>
    </row>
    <row r="648" spans="1:13" x14ac:dyDescent="0.25">
      <c r="A648" s="2420">
        <v>15</v>
      </c>
      <c r="B648" s="840">
        <f t="shared" si="195"/>
        <v>0</v>
      </c>
      <c r="C648" s="837">
        <f t="shared" si="196"/>
        <v>0</v>
      </c>
      <c r="D648" s="840">
        <f t="shared" si="197"/>
        <v>0</v>
      </c>
      <c r="E648" s="868">
        <f t="shared" si="198"/>
        <v>0</v>
      </c>
      <c r="F648" s="841">
        <f t="shared" si="199"/>
        <v>0</v>
      </c>
      <c r="G648" s="837">
        <f t="shared" si="200"/>
        <v>0</v>
      </c>
      <c r="H648" s="841">
        <f t="shared" si="201"/>
        <v>0</v>
      </c>
      <c r="I648" s="1895">
        <f t="shared" si="202"/>
        <v>0</v>
      </c>
      <c r="J648" s="2380">
        <f t="shared" si="203"/>
        <v>0</v>
      </c>
      <c r="K648" s="868">
        <f t="shared" si="204"/>
        <v>0</v>
      </c>
      <c r="L648" s="841">
        <f t="shared" si="205"/>
        <v>0</v>
      </c>
      <c r="M648" s="1895">
        <f t="shared" si="206"/>
        <v>0</v>
      </c>
    </row>
    <row r="649" spans="1:13" x14ac:dyDescent="0.25">
      <c r="A649" s="2420">
        <v>16</v>
      </c>
      <c r="B649" s="840">
        <f t="shared" si="195"/>
        <v>0</v>
      </c>
      <c r="C649" s="837">
        <f t="shared" si="196"/>
        <v>0</v>
      </c>
      <c r="D649" s="840">
        <f t="shared" si="197"/>
        <v>0</v>
      </c>
      <c r="E649" s="868">
        <f t="shared" si="198"/>
        <v>0</v>
      </c>
      <c r="F649" s="841">
        <f t="shared" si="199"/>
        <v>0</v>
      </c>
      <c r="G649" s="837">
        <f t="shared" si="200"/>
        <v>0</v>
      </c>
      <c r="H649" s="841">
        <f t="shared" si="201"/>
        <v>0</v>
      </c>
      <c r="I649" s="1895">
        <f t="shared" si="202"/>
        <v>0</v>
      </c>
      <c r="J649" s="2380">
        <f t="shared" si="203"/>
        <v>0</v>
      </c>
      <c r="K649" s="868">
        <f t="shared" si="204"/>
        <v>0</v>
      </c>
      <c r="L649" s="841">
        <f t="shared" si="205"/>
        <v>0</v>
      </c>
      <c r="M649" s="1895">
        <f t="shared" si="206"/>
        <v>0</v>
      </c>
    </row>
    <row r="650" spans="1:13" x14ac:dyDescent="0.25">
      <c r="A650" s="2420">
        <v>17</v>
      </c>
      <c r="B650" s="840">
        <f t="shared" si="195"/>
        <v>0</v>
      </c>
      <c r="C650" s="837">
        <f t="shared" si="196"/>
        <v>0</v>
      </c>
      <c r="D650" s="840">
        <f t="shared" si="197"/>
        <v>0</v>
      </c>
      <c r="E650" s="868">
        <f t="shared" si="198"/>
        <v>0</v>
      </c>
      <c r="F650" s="841">
        <f t="shared" si="199"/>
        <v>0</v>
      </c>
      <c r="G650" s="837">
        <f t="shared" si="200"/>
        <v>0</v>
      </c>
      <c r="H650" s="841">
        <f t="shared" si="201"/>
        <v>0</v>
      </c>
      <c r="I650" s="1895">
        <f t="shared" si="202"/>
        <v>0</v>
      </c>
      <c r="J650" s="2380">
        <f t="shared" si="203"/>
        <v>0</v>
      </c>
      <c r="K650" s="868">
        <f t="shared" si="204"/>
        <v>0</v>
      </c>
      <c r="L650" s="841">
        <f t="shared" si="205"/>
        <v>0</v>
      </c>
      <c r="M650" s="1895">
        <f t="shared" si="206"/>
        <v>0</v>
      </c>
    </row>
    <row r="651" spans="1:13" x14ac:dyDescent="0.25">
      <c r="A651" s="2420">
        <v>18</v>
      </c>
      <c r="B651" s="840">
        <f t="shared" si="195"/>
        <v>0</v>
      </c>
      <c r="C651" s="837">
        <f t="shared" si="196"/>
        <v>0</v>
      </c>
      <c r="D651" s="840">
        <f t="shared" si="197"/>
        <v>0</v>
      </c>
      <c r="E651" s="868">
        <f t="shared" si="198"/>
        <v>0</v>
      </c>
      <c r="F651" s="841">
        <f t="shared" si="199"/>
        <v>0</v>
      </c>
      <c r="G651" s="837">
        <f t="shared" si="200"/>
        <v>0</v>
      </c>
      <c r="H651" s="841">
        <f t="shared" si="201"/>
        <v>0</v>
      </c>
      <c r="I651" s="1895">
        <f t="shared" si="202"/>
        <v>0</v>
      </c>
      <c r="J651" s="2380">
        <f t="shared" si="203"/>
        <v>0</v>
      </c>
      <c r="K651" s="868">
        <f t="shared" si="204"/>
        <v>0</v>
      </c>
      <c r="L651" s="841">
        <f t="shared" si="205"/>
        <v>0</v>
      </c>
      <c r="M651" s="1895">
        <f t="shared" si="206"/>
        <v>0</v>
      </c>
    </row>
    <row r="652" spans="1:13" x14ac:dyDescent="0.25">
      <c r="A652" s="2420">
        <v>19</v>
      </c>
      <c r="B652" s="840">
        <f t="shared" si="195"/>
        <v>0</v>
      </c>
      <c r="C652" s="837">
        <f t="shared" si="196"/>
        <v>0</v>
      </c>
      <c r="D652" s="840">
        <f t="shared" si="197"/>
        <v>0</v>
      </c>
      <c r="E652" s="868">
        <f t="shared" si="198"/>
        <v>0</v>
      </c>
      <c r="F652" s="841">
        <f t="shared" si="199"/>
        <v>0</v>
      </c>
      <c r="G652" s="837">
        <f t="shared" si="200"/>
        <v>0</v>
      </c>
      <c r="H652" s="841">
        <f t="shared" si="201"/>
        <v>0</v>
      </c>
      <c r="I652" s="1895">
        <f t="shared" si="202"/>
        <v>0</v>
      </c>
      <c r="J652" s="2380">
        <f t="shared" si="203"/>
        <v>0</v>
      </c>
      <c r="K652" s="868">
        <f t="shared" si="204"/>
        <v>0</v>
      </c>
      <c r="L652" s="841">
        <f t="shared" si="205"/>
        <v>0</v>
      </c>
      <c r="M652" s="1895">
        <f t="shared" si="206"/>
        <v>0</v>
      </c>
    </row>
    <row r="653" spans="1:13" x14ac:dyDescent="0.25">
      <c r="A653" s="2420">
        <v>20</v>
      </c>
      <c r="B653" s="840">
        <f t="shared" si="195"/>
        <v>0</v>
      </c>
      <c r="C653" s="837">
        <f t="shared" si="196"/>
        <v>0</v>
      </c>
      <c r="D653" s="840">
        <f t="shared" si="197"/>
        <v>0</v>
      </c>
      <c r="E653" s="868">
        <f t="shared" si="198"/>
        <v>0</v>
      </c>
      <c r="F653" s="841">
        <f t="shared" si="199"/>
        <v>0</v>
      </c>
      <c r="G653" s="837">
        <f t="shared" si="200"/>
        <v>0</v>
      </c>
      <c r="H653" s="841">
        <f t="shared" si="201"/>
        <v>0</v>
      </c>
      <c r="I653" s="1895">
        <f t="shared" si="202"/>
        <v>0</v>
      </c>
      <c r="J653" s="2380">
        <f t="shared" si="203"/>
        <v>0</v>
      </c>
      <c r="K653" s="868">
        <f t="shared" si="204"/>
        <v>0</v>
      </c>
      <c r="L653" s="841">
        <f t="shared" si="205"/>
        <v>0</v>
      </c>
      <c r="M653" s="1895">
        <f t="shared" si="206"/>
        <v>0</v>
      </c>
    </row>
    <row r="654" spans="1:13" x14ac:dyDescent="0.25">
      <c r="A654" s="2420">
        <v>21</v>
      </c>
      <c r="B654" s="840">
        <f t="shared" si="195"/>
        <v>0</v>
      </c>
      <c r="C654" s="837">
        <f t="shared" si="196"/>
        <v>0</v>
      </c>
      <c r="D654" s="840">
        <f t="shared" si="197"/>
        <v>0</v>
      </c>
      <c r="E654" s="868">
        <f t="shared" si="198"/>
        <v>0</v>
      </c>
      <c r="F654" s="841">
        <f t="shared" si="199"/>
        <v>0</v>
      </c>
      <c r="G654" s="837">
        <f t="shared" si="200"/>
        <v>0</v>
      </c>
      <c r="H654" s="841">
        <f t="shared" si="201"/>
        <v>0</v>
      </c>
      <c r="I654" s="1895">
        <f t="shared" si="202"/>
        <v>0</v>
      </c>
      <c r="J654" s="2380">
        <f t="shared" si="203"/>
        <v>0</v>
      </c>
      <c r="K654" s="868">
        <f t="shared" si="204"/>
        <v>0</v>
      </c>
      <c r="L654" s="841">
        <f t="shared" si="205"/>
        <v>0</v>
      </c>
      <c r="M654" s="1895">
        <f t="shared" si="206"/>
        <v>0</v>
      </c>
    </row>
    <row r="655" spans="1:13" x14ac:dyDescent="0.25">
      <c r="A655" s="2420">
        <v>22</v>
      </c>
      <c r="B655" s="840">
        <f t="shared" si="195"/>
        <v>0</v>
      </c>
      <c r="C655" s="837">
        <f t="shared" si="196"/>
        <v>0</v>
      </c>
      <c r="D655" s="840">
        <f t="shared" si="197"/>
        <v>0</v>
      </c>
      <c r="E655" s="868">
        <f t="shared" si="198"/>
        <v>0</v>
      </c>
      <c r="F655" s="841">
        <f t="shared" si="199"/>
        <v>0</v>
      </c>
      <c r="G655" s="837">
        <f t="shared" si="200"/>
        <v>0</v>
      </c>
      <c r="H655" s="841">
        <f t="shared" si="201"/>
        <v>0</v>
      </c>
      <c r="I655" s="1895">
        <f t="shared" si="202"/>
        <v>0</v>
      </c>
      <c r="J655" s="2380">
        <f t="shared" si="203"/>
        <v>0</v>
      </c>
      <c r="K655" s="868">
        <f t="shared" si="204"/>
        <v>0</v>
      </c>
      <c r="L655" s="841">
        <f t="shared" si="205"/>
        <v>0</v>
      </c>
      <c r="M655" s="1895">
        <f t="shared" si="206"/>
        <v>0</v>
      </c>
    </row>
    <row r="656" spans="1:13" x14ac:dyDescent="0.25">
      <c r="A656" s="2420">
        <v>23</v>
      </c>
      <c r="B656" s="840">
        <f t="shared" si="195"/>
        <v>0</v>
      </c>
      <c r="C656" s="837">
        <f t="shared" si="196"/>
        <v>0</v>
      </c>
      <c r="D656" s="840">
        <f t="shared" si="197"/>
        <v>0</v>
      </c>
      <c r="E656" s="868">
        <f t="shared" si="198"/>
        <v>0</v>
      </c>
      <c r="F656" s="841">
        <f t="shared" si="199"/>
        <v>0</v>
      </c>
      <c r="G656" s="837">
        <f t="shared" si="200"/>
        <v>0</v>
      </c>
      <c r="H656" s="841">
        <f t="shared" si="201"/>
        <v>0</v>
      </c>
      <c r="I656" s="1895">
        <f t="shared" si="202"/>
        <v>0</v>
      </c>
      <c r="J656" s="2380">
        <f t="shared" si="203"/>
        <v>0</v>
      </c>
      <c r="K656" s="868">
        <f t="shared" si="204"/>
        <v>0</v>
      </c>
      <c r="L656" s="841">
        <f t="shared" si="205"/>
        <v>0</v>
      </c>
      <c r="M656" s="1895">
        <f t="shared" si="206"/>
        <v>0</v>
      </c>
    </row>
    <row r="657" spans="1:13" x14ac:dyDescent="0.25">
      <c r="A657" s="2420">
        <v>24</v>
      </c>
      <c r="B657" s="840">
        <f t="shared" si="195"/>
        <v>0</v>
      </c>
      <c r="C657" s="837">
        <f t="shared" si="196"/>
        <v>0</v>
      </c>
      <c r="D657" s="840">
        <f t="shared" si="197"/>
        <v>0</v>
      </c>
      <c r="E657" s="868">
        <f t="shared" si="198"/>
        <v>0</v>
      </c>
      <c r="F657" s="841">
        <f t="shared" si="199"/>
        <v>0</v>
      </c>
      <c r="G657" s="837">
        <f t="shared" si="200"/>
        <v>0</v>
      </c>
      <c r="H657" s="841">
        <f t="shared" si="201"/>
        <v>0</v>
      </c>
      <c r="I657" s="1895">
        <f t="shared" si="202"/>
        <v>0</v>
      </c>
      <c r="J657" s="2380">
        <f t="shared" si="203"/>
        <v>0</v>
      </c>
      <c r="K657" s="868">
        <f t="shared" si="204"/>
        <v>0</v>
      </c>
      <c r="L657" s="841">
        <f t="shared" si="205"/>
        <v>0</v>
      </c>
      <c r="M657" s="1895">
        <f t="shared" si="206"/>
        <v>0</v>
      </c>
    </row>
    <row r="658" spans="1:13" x14ac:dyDescent="0.25">
      <c r="A658" s="2420">
        <v>25</v>
      </c>
      <c r="B658" s="840">
        <f t="shared" si="195"/>
        <v>0</v>
      </c>
      <c r="C658" s="837">
        <f t="shared" si="196"/>
        <v>0</v>
      </c>
      <c r="D658" s="840">
        <f t="shared" si="197"/>
        <v>0</v>
      </c>
      <c r="E658" s="868">
        <f t="shared" si="198"/>
        <v>0</v>
      </c>
      <c r="F658" s="841">
        <f t="shared" si="199"/>
        <v>0</v>
      </c>
      <c r="G658" s="837">
        <f t="shared" si="200"/>
        <v>0</v>
      </c>
      <c r="H658" s="841">
        <f t="shared" si="201"/>
        <v>0</v>
      </c>
      <c r="I658" s="1895">
        <f t="shared" si="202"/>
        <v>0</v>
      </c>
      <c r="J658" s="2380">
        <f t="shared" si="203"/>
        <v>0</v>
      </c>
      <c r="K658" s="868">
        <f t="shared" si="204"/>
        <v>0</v>
      </c>
      <c r="L658" s="841">
        <f t="shared" si="205"/>
        <v>0</v>
      </c>
      <c r="M658" s="1895">
        <f t="shared" si="206"/>
        <v>0</v>
      </c>
    </row>
    <row r="659" spans="1:13" x14ac:dyDescent="0.25">
      <c r="A659" s="2420">
        <v>26</v>
      </c>
      <c r="B659" s="840">
        <f t="shared" si="195"/>
        <v>0</v>
      </c>
      <c r="C659" s="837">
        <f t="shared" si="196"/>
        <v>0</v>
      </c>
      <c r="D659" s="840">
        <f t="shared" si="197"/>
        <v>0</v>
      </c>
      <c r="E659" s="868">
        <f t="shared" si="198"/>
        <v>0</v>
      </c>
      <c r="F659" s="841">
        <f t="shared" si="199"/>
        <v>0</v>
      </c>
      <c r="G659" s="837">
        <f t="shared" si="200"/>
        <v>0</v>
      </c>
      <c r="H659" s="841">
        <f t="shared" si="201"/>
        <v>0</v>
      </c>
      <c r="I659" s="1895">
        <f t="shared" si="202"/>
        <v>0</v>
      </c>
      <c r="J659" s="2380">
        <f t="shared" si="203"/>
        <v>0</v>
      </c>
      <c r="K659" s="868">
        <f t="shared" si="204"/>
        <v>0</v>
      </c>
      <c r="L659" s="841">
        <f t="shared" si="205"/>
        <v>0</v>
      </c>
      <c r="M659" s="1895">
        <f t="shared" si="206"/>
        <v>0</v>
      </c>
    </row>
    <row r="660" spans="1:13" x14ac:dyDescent="0.25">
      <c r="A660" s="2420">
        <v>27</v>
      </c>
      <c r="B660" s="840">
        <f t="shared" si="195"/>
        <v>0</v>
      </c>
      <c r="C660" s="837">
        <f t="shared" si="196"/>
        <v>0</v>
      </c>
      <c r="D660" s="840">
        <f t="shared" si="197"/>
        <v>0</v>
      </c>
      <c r="E660" s="868">
        <f t="shared" si="198"/>
        <v>0</v>
      </c>
      <c r="F660" s="841">
        <f t="shared" si="199"/>
        <v>0</v>
      </c>
      <c r="G660" s="837">
        <f t="shared" si="200"/>
        <v>0</v>
      </c>
      <c r="H660" s="841">
        <f t="shared" si="201"/>
        <v>0</v>
      </c>
      <c r="I660" s="1895">
        <f t="shared" si="202"/>
        <v>0</v>
      </c>
      <c r="J660" s="2380">
        <f t="shared" si="203"/>
        <v>0</v>
      </c>
      <c r="K660" s="868">
        <f t="shared" si="204"/>
        <v>0</v>
      </c>
      <c r="L660" s="841">
        <f t="shared" si="205"/>
        <v>0</v>
      </c>
      <c r="M660" s="1895">
        <f t="shared" si="206"/>
        <v>0</v>
      </c>
    </row>
    <row r="661" spans="1:13" x14ac:dyDescent="0.25">
      <c r="A661" s="2420">
        <v>28</v>
      </c>
      <c r="B661" s="840">
        <f t="shared" si="195"/>
        <v>0</v>
      </c>
      <c r="C661" s="837">
        <f t="shared" si="196"/>
        <v>0</v>
      </c>
      <c r="D661" s="840">
        <f t="shared" si="197"/>
        <v>0</v>
      </c>
      <c r="E661" s="868">
        <f t="shared" si="198"/>
        <v>0</v>
      </c>
      <c r="F661" s="841">
        <f t="shared" si="199"/>
        <v>0</v>
      </c>
      <c r="G661" s="837">
        <f t="shared" si="200"/>
        <v>0</v>
      </c>
      <c r="H661" s="841">
        <f t="shared" si="201"/>
        <v>0</v>
      </c>
      <c r="I661" s="1895">
        <f t="shared" si="202"/>
        <v>0</v>
      </c>
      <c r="J661" s="2380">
        <f t="shared" si="203"/>
        <v>0</v>
      </c>
      <c r="K661" s="868">
        <f t="shared" si="204"/>
        <v>0</v>
      </c>
      <c r="L661" s="841">
        <f t="shared" si="205"/>
        <v>0</v>
      </c>
      <c r="M661" s="1895">
        <f t="shared" si="206"/>
        <v>0</v>
      </c>
    </row>
    <row r="662" spans="1:13" x14ac:dyDescent="0.25">
      <c r="A662" s="2420">
        <v>29</v>
      </c>
      <c r="B662" s="840">
        <f t="shared" si="195"/>
        <v>0</v>
      </c>
      <c r="C662" s="837">
        <f t="shared" si="196"/>
        <v>0</v>
      </c>
      <c r="D662" s="840">
        <f t="shared" si="197"/>
        <v>0</v>
      </c>
      <c r="E662" s="868">
        <f t="shared" si="198"/>
        <v>0</v>
      </c>
      <c r="F662" s="841">
        <f t="shared" si="199"/>
        <v>0</v>
      </c>
      <c r="G662" s="837">
        <f t="shared" si="200"/>
        <v>0</v>
      </c>
      <c r="H662" s="841">
        <f t="shared" si="201"/>
        <v>0</v>
      </c>
      <c r="I662" s="1895">
        <f t="shared" si="202"/>
        <v>0</v>
      </c>
      <c r="J662" s="2380">
        <f t="shared" si="203"/>
        <v>0</v>
      </c>
      <c r="K662" s="868">
        <f t="shared" si="204"/>
        <v>0</v>
      </c>
      <c r="L662" s="841">
        <f t="shared" si="205"/>
        <v>0</v>
      </c>
      <c r="M662" s="1895">
        <f t="shared" si="206"/>
        <v>0</v>
      </c>
    </row>
    <row r="663" spans="1:13" x14ac:dyDescent="0.25">
      <c r="A663" s="2420">
        <v>30</v>
      </c>
      <c r="B663" s="840">
        <f t="shared" si="195"/>
        <v>0</v>
      </c>
      <c r="C663" s="837">
        <f t="shared" si="196"/>
        <v>0</v>
      </c>
      <c r="D663" s="840">
        <f t="shared" si="197"/>
        <v>0</v>
      </c>
      <c r="E663" s="868">
        <f t="shared" si="198"/>
        <v>0</v>
      </c>
      <c r="F663" s="841">
        <f t="shared" si="199"/>
        <v>0</v>
      </c>
      <c r="G663" s="837">
        <f t="shared" si="200"/>
        <v>0</v>
      </c>
      <c r="H663" s="841">
        <f t="shared" si="201"/>
        <v>0</v>
      </c>
      <c r="I663" s="1895">
        <f t="shared" si="202"/>
        <v>0</v>
      </c>
      <c r="J663" s="2380">
        <f t="shared" si="203"/>
        <v>0</v>
      </c>
      <c r="K663" s="868">
        <f t="shared" si="204"/>
        <v>0</v>
      </c>
      <c r="L663" s="841">
        <f t="shared" si="205"/>
        <v>0</v>
      </c>
      <c r="M663" s="1895">
        <f t="shared" si="206"/>
        <v>0</v>
      </c>
    </row>
    <row r="664" spans="1:13" x14ac:dyDescent="0.25">
      <c r="A664" s="2420">
        <v>31</v>
      </c>
      <c r="B664" s="840">
        <f t="shared" si="195"/>
        <v>0</v>
      </c>
      <c r="C664" s="837">
        <f t="shared" si="196"/>
        <v>0</v>
      </c>
      <c r="D664" s="840">
        <f t="shared" si="197"/>
        <v>0</v>
      </c>
      <c r="E664" s="868">
        <f t="shared" si="198"/>
        <v>0</v>
      </c>
      <c r="F664" s="841">
        <f t="shared" si="199"/>
        <v>0</v>
      </c>
      <c r="G664" s="837">
        <f t="shared" si="200"/>
        <v>0</v>
      </c>
      <c r="H664" s="841">
        <f t="shared" si="201"/>
        <v>0</v>
      </c>
      <c r="I664" s="1895">
        <f t="shared" si="202"/>
        <v>0</v>
      </c>
      <c r="J664" s="2380">
        <f t="shared" si="203"/>
        <v>0</v>
      </c>
      <c r="K664" s="868">
        <f t="shared" si="204"/>
        <v>0</v>
      </c>
      <c r="L664" s="841">
        <f t="shared" si="205"/>
        <v>0</v>
      </c>
      <c r="M664" s="1895">
        <f t="shared" si="206"/>
        <v>0</v>
      </c>
    </row>
    <row r="665" spans="1:13" x14ac:dyDescent="0.25">
      <c r="A665" s="2420">
        <v>32</v>
      </c>
      <c r="B665" s="840">
        <f t="shared" si="195"/>
        <v>0</v>
      </c>
      <c r="C665" s="837">
        <f t="shared" si="196"/>
        <v>0</v>
      </c>
      <c r="D665" s="840">
        <f t="shared" si="197"/>
        <v>0</v>
      </c>
      <c r="E665" s="868">
        <f t="shared" si="198"/>
        <v>0</v>
      </c>
      <c r="F665" s="841">
        <f t="shared" si="199"/>
        <v>0</v>
      </c>
      <c r="G665" s="837">
        <f t="shared" si="200"/>
        <v>0</v>
      </c>
      <c r="H665" s="841">
        <f t="shared" si="201"/>
        <v>0</v>
      </c>
      <c r="I665" s="1895">
        <f t="shared" si="202"/>
        <v>0</v>
      </c>
      <c r="J665" s="2380">
        <f t="shared" si="203"/>
        <v>0</v>
      </c>
      <c r="K665" s="868">
        <f t="shared" si="204"/>
        <v>0</v>
      </c>
      <c r="L665" s="841">
        <f t="shared" si="205"/>
        <v>0</v>
      </c>
      <c r="M665" s="1895">
        <f t="shared" si="206"/>
        <v>0</v>
      </c>
    </row>
    <row r="666" spans="1:13" x14ac:dyDescent="0.25">
      <c r="A666" s="2420">
        <v>33</v>
      </c>
      <c r="B666" s="840">
        <f t="shared" ref="B666:B697" si="207">IF(AND($C198="Roth",OR($B198="C",$B198="FC")),$D198,0)</f>
        <v>0</v>
      </c>
      <c r="C666" s="837">
        <f t="shared" ref="C666:C697" si="208">IF(AND($C198="Roth",OR($B198="C",$B198="FC")),$G198,0)</f>
        <v>0</v>
      </c>
      <c r="D666" s="840">
        <f t="shared" ref="D666:D697" si="209">IF(AND($C198="Roth",OR($B198="W",$B198="FW")),$D198,0)</f>
        <v>0</v>
      </c>
      <c r="E666" s="868">
        <f t="shared" ref="E666:E697" si="210">IF(AND($C198="Roth",OR($B198="W",$B198="FW")),$G198,0)</f>
        <v>0</v>
      </c>
      <c r="F666" s="841">
        <f t="shared" ref="F666:F697" si="211">IF(AND($I198="Roth",OR($H198="C",$H198="FC")),$J198,0)</f>
        <v>0</v>
      </c>
      <c r="G666" s="837">
        <f t="shared" ref="G666:G697" si="212">IF(AND($I198="Roth",OR($H198="C",$H198="FC")),$M198,0)</f>
        <v>0</v>
      </c>
      <c r="H666" s="841">
        <f t="shared" ref="H666:H697" si="213">IF(AND($I198="Roth",OR($H198="W",$H198="FW")),$J198,0)</f>
        <v>0</v>
      </c>
      <c r="I666" s="1895">
        <f t="shared" ref="I666:I697" si="214">IF(AND($I198="Roth",OR($H198="W",$H198="FW")),$M198,0)</f>
        <v>0</v>
      </c>
      <c r="J666" s="2380">
        <f t="shared" ref="J666:J697" si="215">IF(AND($C198="inher-5Yr",OR($B198="W",$B198="FW")),$D198,0)</f>
        <v>0</v>
      </c>
      <c r="K666" s="868">
        <f t="shared" ref="K666:K697" si="216">IF(AND($C198="inher-5Yr",OR($B198="W",$B198="FW")),$G198,0)</f>
        <v>0</v>
      </c>
      <c r="L666" s="841">
        <f t="shared" ref="L666:L697" si="217">IF(AND($I198="inher-5Yr",OR($H198="W",$H198="FW")),$J198,0)</f>
        <v>0</v>
      </c>
      <c r="M666" s="1895">
        <f t="shared" ref="M666:M697" si="218">IF(AND($I198="inher-5Yr",OR($H198="W",$H198="FW")),$M198,0)</f>
        <v>0</v>
      </c>
    </row>
    <row r="667" spans="1:13" x14ac:dyDescent="0.25">
      <c r="A667" s="2420">
        <v>34</v>
      </c>
      <c r="B667" s="840">
        <f t="shared" si="207"/>
        <v>0</v>
      </c>
      <c r="C667" s="837">
        <f t="shared" si="208"/>
        <v>0</v>
      </c>
      <c r="D667" s="840">
        <f t="shared" si="209"/>
        <v>0</v>
      </c>
      <c r="E667" s="868">
        <f t="shared" si="210"/>
        <v>0</v>
      </c>
      <c r="F667" s="841">
        <f t="shared" si="211"/>
        <v>0</v>
      </c>
      <c r="G667" s="837">
        <f t="shared" si="212"/>
        <v>0</v>
      </c>
      <c r="H667" s="841">
        <f t="shared" si="213"/>
        <v>0</v>
      </c>
      <c r="I667" s="1895">
        <f t="shared" si="214"/>
        <v>0</v>
      </c>
      <c r="J667" s="2380">
        <f t="shared" si="215"/>
        <v>0</v>
      </c>
      <c r="K667" s="868">
        <f t="shared" si="216"/>
        <v>0</v>
      </c>
      <c r="L667" s="841">
        <f t="shared" si="217"/>
        <v>0</v>
      </c>
      <c r="M667" s="1895">
        <f t="shared" si="218"/>
        <v>0</v>
      </c>
    </row>
    <row r="668" spans="1:13" x14ac:dyDescent="0.25">
      <c r="A668" s="2420">
        <v>35</v>
      </c>
      <c r="B668" s="840">
        <f t="shared" si="207"/>
        <v>0</v>
      </c>
      <c r="C668" s="837">
        <f t="shared" si="208"/>
        <v>0</v>
      </c>
      <c r="D668" s="840">
        <f t="shared" si="209"/>
        <v>0</v>
      </c>
      <c r="E668" s="868">
        <f t="shared" si="210"/>
        <v>0</v>
      </c>
      <c r="F668" s="841">
        <f t="shared" si="211"/>
        <v>0</v>
      </c>
      <c r="G668" s="837">
        <f t="shared" si="212"/>
        <v>0</v>
      </c>
      <c r="H668" s="841">
        <f t="shared" si="213"/>
        <v>0</v>
      </c>
      <c r="I668" s="1895">
        <f t="shared" si="214"/>
        <v>0</v>
      </c>
      <c r="J668" s="2380">
        <f t="shared" si="215"/>
        <v>0</v>
      </c>
      <c r="K668" s="868">
        <f t="shared" si="216"/>
        <v>0</v>
      </c>
      <c r="L668" s="841">
        <f t="shared" si="217"/>
        <v>0</v>
      </c>
      <c r="M668" s="1895">
        <f t="shared" si="218"/>
        <v>0</v>
      </c>
    </row>
    <row r="669" spans="1:13" x14ac:dyDescent="0.25">
      <c r="A669" s="2420">
        <v>36</v>
      </c>
      <c r="B669" s="840">
        <f t="shared" si="207"/>
        <v>0</v>
      </c>
      <c r="C669" s="837">
        <f t="shared" si="208"/>
        <v>0</v>
      </c>
      <c r="D669" s="840">
        <f t="shared" si="209"/>
        <v>0</v>
      </c>
      <c r="E669" s="868">
        <f t="shared" si="210"/>
        <v>0</v>
      </c>
      <c r="F669" s="841">
        <f t="shared" si="211"/>
        <v>0</v>
      </c>
      <c r="G669" s="837">
        <f t="shared" si="212"/>
        <v>0</v>
      </c>
      <c r="H669" s="841">
        <f t="shared" si="213"/>
        <v>0</v>
      </c>
      <c r="I669" s="1895">
        <f t="shared" si="214"/>
        <v>0</v>
      </c>
      <c r="J669" s="2380">
        <f t="shared" si="215"/>
        <v>0</v>
      </c>
      <c r="K669" s="868">
        <f t="shared" si="216"/>
        <v>0</v>
      </c>
      <c r="L669" s="841">
        <f t="shared" si="217"/>
        <v>0</v>
      </c>
      <c r="M669" s="1895">
        <f t="shared" si="218"/>
        <v>0</v>
      </c>
    </row>
    <row r="670" spans="1:13" x14ac:dyDescent="0.25">
      <c r="A670" s="2420">
        <v>37</v>
      </c>
      <c r="B670" s="840">
        <f t="shared" si="207"/>
        <v>0</v>
      </c>
      <c r="C670" s="837">
        <f t="shared" si="208"/>
        <v>0</v>
      </c>
      <c r="D670" s="840">
        <f t="shared" si="209"/>
        <v>0</v>
      </c>
      <c r="E670" s="868">
        <f t="shared" si="210"/>
        <v>0</v>
      </c>
      <c r="F670" s="841">
        <f t="shared" si="211"/>
        <v>0</v>
      </c>
      <c r="G670" s="837">
        <f t="shared" si="212"/>
        <v>0</v>
      </c>
      <c r="H670" s="841">
        <f t="shared" si="213"/>
        <v>0</v>
      </c>
      <c r="I670" s="1895">
        <f t="shared" si="214"/>
        <v>0</v>
      </c>
      <c r="J670" s="2380">
        <f t="shared" si="215"/>
        <v>0</v>
      </c>
      <c r="K670" s="868">
        <f t="shared" si="216"/>
        <v>0</v>
      </c>
      <c r="L670" s="841">
        <f t="shared" si="217"/>
        <v>0</v>
      </c>
      <c r="M670" s="1895">
        <f t="shared" si="218"/>
        <v>0</v>
      </c>
    </row>
    <row r="671" spans="1:13" x14ac:dyDescent="0.25">
      <c r="A671" s="2420">
        <v>38</v>
      </c>
      <c r="B671" s="840">
        <f t="shared" si="207"/>
        <v>0</v>
      </c>
      <c r="C671" s="837">
        <f t="shared" si="208"/>
        <v>0</v>
      </c>
      <c r="D671" s="840">
        <f t="shared" si="209"/>
        <v>0</v>
      </c>
      <c r="E671" s="868">
        <f t="shared" si="210"/>
        <v>0</v>
      </c>
      <c r="F671" s="841">
        <f t="shared" si="211"/>
        <v>0</v>
      </c>
      <c r="G671" s="837">
        <f t="shared" si="212"/>
        <v>0</v>
      </c>
      <c r="H671" s="841">
        <f t="shared" si="213"/>
        <v>0</v>
      </c>
      <c r="I671" s="1895">
        <f t="shared" si="214"/>
        <v>0</v>
      </c>
      <c r="J671" s="2380">
        <f t="shared" si="215"/>
        <v>0</v>
      </c>
      <c r="K671" s="868">
        <f t="shared" si="216"/>
        <v>0</v>
      </c>
      <c r="L671" s="841">
        <f t="shared" si="217"/>
        <v>0</v>
      </c>
      <c r="M671" s="1895">
        <f t="shared" si="218"/>
        <v>0</v>
      </c>
    </row>
    <row r="672" spans="1:13" x14ac:dyDescent="0.25">
      <c r="A672" s="2420">
        <v>39</v>
      </c>
      <c r="B672" s="840">
        <f t="shared" si="207"/>
        <v>0</v>
      </c>
      <c r="C672" s="837">
        <f t="shared" si="208"/>
        <v>0</v>
      </c>
      <c r="D672" s="840">
        <f t="shared" si="209"/>
        <v>0</v>
      </c>
      <c r="E672" s="868">
        <f t="shared" si="210"/>
        <v>0</v>
      </c>
      <c r="F672" s="841">
        <f t="shared" si="211"/>
        <v>0</v>
      </c>
      <c r="G672" s="837">
        <f t="shared" si="212"/>
        <v>0</v>
      </c>
      <c r="H672" s="841">
        <f t="shared" si="213"/>
        <v>0</v>
      </c>
      <c r="I672" s="1895">
        <f t="shared" si="214"/>
        <v>0</v>
      </c>
      <c r="J672" s="2380">
        <f t="shared" si="215"/>
        <v>0</v>
      </c>
      <c r="K672" s="868">
        <f t="shared" si="216"/>
        <v>0</v>
      </c>
      <c r="L672" s="841">
        <f t="shared" si="217"/>
        <v>0</v>
      </c>
      <c r="M672" s="1895">
        <f t="shared" si="218"/>
        <v>0</v>
      </c>
    </row>
    <row r="673" spans="1:13" x14ac:dyDescent="0.25">
      <c r="A673" s="2420">
        <v>40</v>
      </c>
      <c r="B673" s="840">
        <f t="shared" si="207"/>
        <v>0</v>
      </c>
      <c r="C673" s="837">
        <f t="shared" si="208"/>
        <v>0</v>
      </c>
      <c r="D673" s="840">
        <f t="shared" si="209"/>
        <v>0</v>
      </c>
      <c r="E673" s="868">
        <f t="shared" si="210"/>
        <v>0</v>
      </c>
      <c r="F673" s="841">
        <f t="shared" si="211"/>
        <v>0</v>
      </c>
      <c r="G673" s="837">
        <f t="shared" si="212"/>
        <v>0</v>
      </c>
      <c r="H673" s="841">
        <f t="shared" si="213"/>
        <v>0</v>
      </c>
      <c r="I673" s="1895">
        <f t="shared" si="214"/>
        <v>0</v>
      </c>
      <c r="J673" s="2380">
        <f t="shared" si="215"/>
        <v>0</v>
      </c>
      <c r="K673" s="868">
        <f t="shared" si="216"/>
        <v>0</v>
      </c>
      <c r="L673" s="841">
        <f t="shared" si="217"/>
        <v>0</v>
      </c>
      <c r="M673" s="1895">
        <f t="shared" si="218"/>
        <v>0</v>
      </c>
    </row>
    <row r="674" spans="1:13" x14ac:dyDescent="0.25">
      <c r="A674" s="2420">
        <v>41</v>
      </c>
      <c r="B674" s="840">
        <f t="shared" si="207"/>
        <v>0</v>
      </c>
      <c r="C674" s="837">
        <f t="shared" si="208"/>
        <v>0</v>
      </c>
      <c r="D674" s="840">
        <f t="shared" si="209"/>
        <v>0</v>
      </c>
      <c r="E674" s="868">
        <f t="shared" si="210"/>
        <v>0</v>
      </c>
      <c r="F674" s="841">
        <f t="shared" si="211"/>
        <v>0</v>
      </c>
      <c r="G674" s="837">
        <f t="shared" si="212"/>
        <v>0</v>
      </c>
      <c r="H674" s="841">
        <f t="shared" si="213"/>
        <v>0</v>
      </c>
      <c r="I674" s="1895">
        <f t="shared" si="214"/>
        <v>0</v>
      </c>
      <c r="J674" s="2380">
        <f t="shared" si="215"/>
        <v>0</v>
      </c>
      <c r="K674" s="868">
        <f t="shared" si="216"/>
        <v>0</v>
      </c>
      <c r="L674" s="841">
        <f t="shared" si="217"/>
        <v>0</v>
      </c>
      <c r="M674" s="1895">
        <f t="shared" si="218"/>
        <v>0</v>
      </c>
    </row>
    <row r="675" spans="1:13" x14ac:dyDescent="0.25">
      <c r="A675" s="2420">
        <v>42</v>
      </c>
      <c r="B675" s="840">
        <f t="shared" si="207"/>
        <v>0</v>
      </c>
      <c r="C675" s="837">
        <f t="shared" si="208"/>
        <v>0</v>
      </c>
      <c r="D675" s="840">
        <f t="shared" si="209"/>
        <v>0</v>
      </c>
      <c r="E675" s="868">
        <f t="shared" si="210"/>
        <v>0</v>
      </c>
      <c r="F675" s="841">
        <f t="shared" si="211"/>
        <v>0</v>
      </c>
      <c r="G675" s="837">
        <f t="shared" si="212"/>
        <v>0</v>
      </c>
      <c r="H675" s="841">
        <f t="shared" si="213"/>
        <v>0</v>
      </c>
      <c r="I675" s="1895">
        <f t="shared" si="214"/>
        <v>0</v>
      </c>
      <c r="J675" s="2380">
        <f t="shared" si="215"/>
        <v>0</v>
      </c>
      <c r="K675" s="868">
        <f t="shared" si="216"/>
        <v>0</v>
      </c>
      <c r="L675" s="841">
        <f t="shared" si="217"/>
        <v>0</v>
      </c>
      <c r="M675" s="1895">
        <f t="shared" si="218"/>
        <v>0</v>
      </c>
    </row>
    <row r="676" spans="1:13" x14ac:dyDescent="0.25">
      <c r="A676" s="2420">
        <v>43</v>
      </c>
      <c r="B676" s="840">
        <f t="shared" si="207"/>
        <v>0</v>
      </c>
      <c r="C676" s="837">
        <f t="shared" si="208"/>
        <v>0</v>
      </c>
      <c r="D676" s="840">
        <f t="shared" si="209"/>
        <v>0</v>
      </c>
      <c r="E676" s="868">
        <f t="shared" si="210"/>
        <v>0</v>
      </c>
      <c r="F676" s="841">
        <f t="shared" si="211"/>
        <v>0</v>
      </c>
      <c r="G676" s="837">
        <f t="shared" si="212"/>
        <v>0</v>
      </c>
      <c r="H676" s="841">
        <f t="shared" si="213"/>
        <v>0</v>
      </c>
      <c r="I676" s="1895">
        <f t="shared" si="214"/>
        <v>0</v>
      </c>
      <c r="J676" s="2380">
        <f t="shared" si="215"/>
        <v>0</v>
      </c>
      <c r="K676" s="868">
        <f t="shared" si="216"/>
        <v>0</v>
      </c>
      <c r="L676" s="841">
        <f t="shared" si="217"/>
        <v>0</v>
      </c>
      <c r="M676" s="1895">
        <f t="shared" si="218"/>
        <v>0</v>
      </c>
    </row>
    <row r="677" spans="1:13" x14ac:dyDescent="0.25">
      <c r="A677" s="2420">
        <v>44</v>
      </c>
      <c r="B677" s="840">
        <f t="shared" si="207"/>
        <v>0</v>
      </c>
      <c r="C677" s="837">
        <f t="shared" si="208"/>
        <v>0</v>
      </c>
      <c r="D677" s="840">
        <f t="shared" si="209"/>
        <v>0</v>
      </c>
      <c r="E677" s="868">
        <f t="shared" si="210"/>
        <v>0</v>
      </c>
      <c r="F677" s="841">
        <f t="shared" si="211"/>
        <v>0</v>
      </c>
      <c r="G677" s="837">
        <f t="shared" si="212"/>
        <v>0</v>
      </c>
      <c r="H677" s="841">
        <f t="shared" si="213"/>
        <v>0</v>
      </c>
      <c r="I677" s="1895">
        <f t="shared" si="214"/>
        <v>0</v>
      </c>
      <c r="J677" s="2380">
        <f t="shared" si="215"/>
        <v>0</v>
      </c>
      <c r="K677" s="868">
        <f t="shared" si="216"/>
        <v>0</v>
      </c>
      <c r="L677" s="841">
        <f t="shared" si="217"/>
        <v>0</v>
      </c>
      <c r="M677" s="1895">
        <f t="shared" si="218"/>
        <v>0</v>
      </c>
    </row>
    <row r="678" spans="1:13" x14ac:dyDescent="0.25">
      <c r="A678" s="2420">
        <v>45</v>
      </c>
      <c r="B678" s="840">
        <f t="shared" si="207"/>
        <v>0</v>
      </c>
      <c r="C678" s="837">
        <f t="shared" si="208"/>
        <v>0</v>
      </c>
      <c r="D678" s="840">
        <f t="shared" si="209"/>
        <v>0</v>
      </c>
      <c r="E678" s="868">
        <f t="shared" si="210"/>
        <v>0</v>
      </c>
      <c r="F678" s="841">
        <f t="shared" si="211"/>
        <v>0</v>
      </c>
      <c r="G678" s="837">
        <f t="shared" si="212"/>
        <v>0</v>
      </c>
      <c r="H678" s="841">
        <f t="shared" si="213"/>
        <v>0</v>
      </c>
      <c r="I678" s="1895">
        <f t="shared" si="214"/>
        <v>0</v>
      </c>
      <c r="J678" s="2380">
        <f t="shared" si="215"/>
        <v>0</v>
      </c>
      <c r="K678" s="868">
        <f t="shared" si="216"/>
        <v>0</v>
      </c>
      <c r="L678" s="841">
        <f t="shared" si="217"/>
        <v>0</v>
      </c>
      <c r="M678" s="1895">
        <f t="shared" si="218"/>
        <v>0</v>
      </c>
    </row>
    <row r="679" spans="1:13" x14ac:dyDescent="0.25">
      <c r="A679" s="2420">
        <v>46</v>
      </c>
      <c r="B679" s="840">
        <f t="shared" si="207"/>
        <v>0</v>
      </c>
      <c r="C679" s="837">
        <f t="shared" si="208"/>
        <v>0</v>
      </c>
      <c r="D679" s="840">
        <f t="shared" si="209"/>
        <v>0</v>
      </c>
      <c r="E679" s="868">
        <f t="shared" si="210"/>
        <v>0</v>
      </c>
      <c r="F679" s="841">
        <f t="shared" si="211"/>
        <v>0</v>
      </c>
      <c r="G679" s="837">
        <f t="shared" si="212"/>
        <v>0</v>
      </c>
      <c r="H679" s="841">
        <f t="shared" si="213"/>
        <v>0</v>
      </c>
      <c r="I679" s="1895">
        <f t="shared" si="214"/>
        <v>0</v>
      </c>
      <c r="J679" s="2380">
        <f t="shared" si="215"/>
        <v>0</v>
      </c>
      <c r="K679" s="868">
        <f t="shared" si="216"/>
        <v>0</v>
      </c>
      <c r="L679" s="841">
        <f t="shared" si="217"/>
        <v>0</v>
      </c>
      <c r="M679" s="1895">
        <f t="shared" si="218"/>
        <v>0</v>
      </c>
    </row>
    <row r="680" spans="1:13" x14ac:dyDescent="0.25">
      <c r="A680" s="2420">
        <v>47</v>
      </c>
      <c r="B680" s="840">
        <f t="shared" si="207"/>
        <v>0</v>
      </c>
      <c r="C680" s="837">
        <f t="shared" si="208"/>
        <v>0</v>
      </c>
      <c r="D680" s="840">
        <f t="shared" si="209"/>
        <v>0</v>
      </c>
      <c r="E680" s="868">
        <f t="shared" si="210"/>
        <v>0</v>
      </c>
      <c r="F680" s="841">
        <f t="shared" si="211"/>
        <v>0</v>
      </c>
      <c r="G680" s="837">
        <f t="shared" si="212"/>
        <v>0</v>
      </c>
      <c r="H680" s="841">
        <f t="shared" si="213"/>
        <v>0</v>
      </c>
      <c r="I680" s="1895">
        <f t="shared" si="214"/>
        <v>0</v>
      </c>
      <c r="J680" s="2380">
        <f t="shared" si="215"/>
        <v>0</v>
      </c>
      <c r="K680" s="868">
        <f t="shared" si="216"/>
        <v>0</v>
      </c>
      <c r="L680" s="841">
        <f t="shared" si="217"/>
        <v>0</v>
      </c>
      <c r="M680" s="1895">
        <f t="shared" si="218"/>
        <v>0</v>
      </c>
    </row>
    <row r="681" spans="1:13" x14ac:dyDescent="0.25">
      <c r="A681" s="2420">
        <v>48</v>
      </c>
      <c r="B681" s="840">
        <f t="shared" si="207"/>
        <v>0</v>
      </c>
      <c r="C681" s="837">
        <f t="shared" si="208"/>
        <v>0</v>
      </c>
      <c r="D681" s="840">
        <f t="shared" si="209"/>
        <v>0</v>
      </c>
      <c r="E681" s="868">
        <f t="shared" si="210"/>
        <v>0</v>
      </c>
      <c r="F681" s="841">
        <f t="shared" si="211"/>
        <v>0</v>
      </c>
      <c r="G681" s="837">
        <f t="shared" si="212"/>
        <v>0</v>
      </c>
      <c r="H681" s="841">
        <f t="shared" si="213"/>
        <v>0</v>
      </c>
      <c r="I681" s="1895">
        <f t="shared" si="214"/>
        <v>0</v>
      </c>
      <c r="J681" s="2380">
        <f t="shared" si="215"/>
        <v>0</v>
      </c>
      <c r="K681" s="868">
        <f t="shared" si="216"/>
        <v>0</v>
      </c>
      <c r="L681" s="841">
        <f t="shared" si="217"/>
        <v>0</v>
      </c>
      <c r="M681" s="1895">
        <f t="shared" si="218"/>
        <v>0</v>
      </c>
    </row>
    <row r="682" spans="1:13" x14ac:dyDescent="0.25">
      <c r="A682" s="2420">
        <v>49</v>
      </c>
      <c r="B682" s="840">
        <f t="shared" si="207"/>
        <v>0</v>
      </c>
      <c r="C682" s="837">
        <f t="shared" si="208"/>
        <v>0</v>
      </c>
      <c r="D682" s="840">
        <f t="shared" si="209"/>
        <v>0</v>
      </c>
      <c r="E682" s="868">
        <f t="shared" si="210"/>
        <v>0</v>
      </c>
      <c r="F682" s="841">
        <f t="shared" si="211"/>
        <v>0</v>
      </c>
      <c r="G682" s="837">
        <f t="shared" si="212"/>
        <v>0</v>
      </c>
      <c r="H682" s="841">
        <f t="shared" si="213"/>
        <v>0</v>
      </c>
      <c r="I682" s="1895">
        <f t="shared" si="214"/>
        <v>0</v>
      </c>
      <c r="J682" s="2380">
        <f t="shared" si="215"/>
        <v>0</v>
      </c>
      <c r="K682" s="868">
        <f t="shared" si="216"/>
        <v>0</v>
      </c>
      <c r="L682" s="841">
        <f t="shared" si="217"/>
        <v>0</v>
      </c>
      <c r="M682" s="1895">
        <f t="shared" si="218"/>
        <v>0</v>
      </c>
    </row>
    <row r="683" spans="1:13" x14ac:dyDescent="0.25">
      <c r="A683" s="2420">
        <v>50</v>
      </c>
      <c r="B683" s="840">
        <f t="shared" si="207"/>
        <v>0</v>
      </c>
      <c r="C683" s="837">
        <f t="shared" si="208"/>
        <v>0</v>
      </c>
      <c r="D683" s="840">
        <f t="shared" si="209"/>
        <v>0</v>
      </c>
      <c r="E683" s="868">
        <f t="shared" si="210"/>
        <v>0</v>
      </c>
      <c r="F683" s="841">
        <f t="shared" si="211"/>
        <v>0</v>
      </c>
      <c r="G683" s="837">
        <f t="shared" si="212"/>
        <v>0</v>
      </c>
      <c r="H683" s="841">
        <f t="shared" si="213"/>
        <v>0</v>
      </c>
      <c r="I683" s="1895">
        <f t="shared" si="214"/>
        <v>0</v>
      </c>
      <c r="J683" s="2380">
        <f t="shared" si="215"/>
        <v>0</v>
      </c>
      <c r="K683" s="868">
        <f t="shared" si="216"/>
        <v>0</v>
      </c>
      <c r="L683" s="841">
        <f t="shared" si="217"/>
        <v>0</v>
      </c>
      <c r="M683" s="1895">
        <f t="shared" si="218"/>
        <v>0</v>
      </c>
    </row>
    <row r="684" spans="1:13" x14ac:dyDescent="0.25">
      <c r="A684" s="2420">
        <v>51</v>
      </c>
      <c r="B684" s="840">
        <f t="shared" si="207"/>
        <v>0</v>
      </c>
      <c r="C684" s="837">
        <f t="shared" si="208"/>
        <v>0</v>
      </c>
      <c r="D684" s="840">
        <f t="shared" si="209"/>
        <v>0</v>
      </c>
      <c r="E684" s="868">
        <f t="shared" si="210"/>
        <v>0</v>
      </c>
      <c r="F684" s="841">
        <f t="shared" si="211"/>
        <v>0</v>
      </c>
      <c r="G684" s="837">
        <f t="shared" si="212"/>
        <v>0</v>
      </c>
      <c r="H684" s="841">
        <f t="shared" si="213"/>
        <v>0</v>
      </c>
      <c r="I684" s="1895">
        <f t="shared" si="214"/>
        <v>0</v>
      </c>
      <c r="J684" s="2380">
        <f t="shared" si="215"/>
        <v>0</v>
      </c>
      <c r="K684" s="868">
        <f t="shared" si="216"/>
        <v>0</v>
      </c>
      <c r="L684" s="841">
        <f t="shared" si="217"/>
        <v>0</v>
      </c>
      <c r="M684" s="1895">
        <f t="shared" si="218"/>
        <v>0</v>
      </c>
    </row>
    <row r="685" spans="1:13" x14ac:dyDescent="0.25">
      <c r="A685" s="2420">
        <v>52</v>
      </c>
      <c r="B685" s="840">
        <f t="shared" si="207"/>
        <v>0</v>
      </c>
      <c r="C685" s="837">
        <f t="shared" si="208"/>
        <v>0</v>
      </c>
      <c r="D685" s="840">
        <f t="shared" si="209"/>
        <v>0</v>
      </c>
      <c r="E685" s="868">
        <f t="shared" si="210"/>
        <v>0</v>
      </c>
      <c r="F685" s="841">
        <f t="shared" si="211"/>
        <v>0</v>
      </c>
      <c r="G685" s="837">
        <f t="shared" si="212"/>
        <v>0</v>
      </c>
      <c r="H685" s="841">
        <f t="shared" si="213"/>
        <v>0</v>
      </c>
      <c r="I685" s="1895">
        <f t="shared" si="214"/>
        <v>0</v>
      </c>
      <c r="J685" s="2380">
        <f t="shared" si="215"/>
        <v>0</v>
      </c>
      <c r="K685" s="868">
        <f t="shared" si="216"/>
        <v>0</v>
      </c>
      <c r="L685" s="841">
        <f t="shared" si="217"/>
        <v>0</v>
      </c>
      <c r="M685" s="1895">
        <f t="shared" si="218"/>
        <v>0</v>
      </c>
    </row>
    <row r="686" spans="1:13" x14ac:dyDescent="0.25">
      <c r="A686" s="2420">
        <v>53</v>
      </c>
      <c r="B686" s="840">
        <f t="shared" si="207"/>
        <v>0</v>
      </c>
      <c r="C686" s="837">
        <f t="shared" si="208"/>
        <v>0</v>
      </c>
      <c r="D686" s="840">
        <f t="shared" si="209"/>
        <v>0</v>
      </c>
      <c r="E686" s="868">
        <f t="shared" si="210"/>
        <v>0</v>
      </c>
      <c r="F686" s="841">
        <f t="shared" si="211"/>
        <v>0</v>
      </c>
      <c r="G686" s="837">
        <f t="shared" si="212"/>
        <v>0</v>
      </c>
      <c r="H686" s="841">
        <f t="shared" si="213"/>
        <v>0</v>
      </c>
      <c r="I686" s="1895">
        <f t="shared" si="214"/>
        <v>0</v>
      </c>
      <c r="J686" s="2380">
        <f t="shared" si="215"/>
        <v>0</v>
      </c>
      <c r="K686" s="868">
        <f t="shared" si="216"/>
        <v>0</v>
      </c>
      <c r="L686" s="841">
        <f t="shared" si="217"/>
        <v>0</v>
      </c>
      <c r="M686" s="1895">
        <f t="shared" si="218"/>
        <v>0</v>
      </c>
    </row>
    <row r="687" spans="1:13" x14ac:dyDescent="0.25">
      <c r="A687" s="2420">
        <v>54</v>
      </c>
      <c r="B687" s="840">
        <f t="shared" si="207"/>
        <v>0</v>
      </c>
      <c r="C687" s="837">
        <f t="shared" si="208"/>
        <v>0</v>
      </c>
      <c r="D687" s="840">
        <f t="shared" si="209"/>
        <v>0</v>
      </c>
      <c r="E687" s="868">
        <f t="shared" si="210"/>
        <v>0</v>
      </c>
      <c r="F687" s="841">
        <f t="shared" si="211"/>
        <v>0</v>
      </c>
      <c r="G687" s="837">
        <f t="shared" si="212"/>
        <v>0</v>
      </c>
      <c r="H687" s="841">
        <f t="shared" si="213"/>
        <v>0</v>
      </c>
      <c r="I687" s="1895">
        <f t="shared" si="214"/>
        <v>0</v>
      </c>
      <c r="J687" s="2380">
        <f t="shared" si="215"/>
        <v>0</v>
      </c>
      <c r="K687" s="868">
        <f t="shared" si="216"/>
        <v>0</v>
      </c>
      <c r="L687" s="841">
        <f t="shared" si="217"/>
        <v>0</v>
      </c>
      <c r="M687" s="1895">
        <f t="shared" si="218"/>
        <v>0</v>
      </c>
    </row>
    <row r="688" spans="1:13" x14ac:dyDescent="0.25">
      <c r="A688" s="2420">
        <v>55</v>
      </c>
      <c r="B688" s="840">
        <f t="shared" si="207"/>
        <v>0</v>
      </c>
      <c r="C688" s="837">
        <f t="shared" si="208"/>
        <v>0</v>
      </c>
      <c r="D688" s="840">
        <f t="shared" si="209"/>
        <v>0</v>
      </c>
      <c r="E688" s="868">
        <f t="shared" si="210"/>
        <v>0</v>
      </c>
      <c r="F688" s="841">
        <f t="shared" si="211"/>
        <v>0</v>
      </c>
      <c r="G688" s="837">
        <f t="shared" si="212"/>
        <v>0</v>
      </c>
      <c r="H688" s="841">
        <f t="shared" si="213"/>
        <v>0</v>
      </c>
      <c r="I688" s="1895">
        <f t="shared" si="214"/>
        <v>0</v>
      </c>
      <c r="J688" s="2380">
        <f t="shared" si="215"/>
        <v>0</v>
      </c>
      <c r="K688" s="868">
        <f t="shared" si="216"/>
        <v>0</v>
      </c>
      <c r="L688" s="841">
        <f t="shared" si="217"/>
        <v>0</v>
      </c>
      <c r="M688" s="1895">
        <f t="shared" si="218"/>
        <v>0</v>
      </c>
    </row>
    <row r="689" spans="1:13" x14ac:dyDescent="0.25">
      <c r="A689" s="2420">
        <v>56</v>
      </c>
      <c r="B689" s="840">
        <f t="shared" si="207"/>
        <v>0</v>
      </c>
      <c r="C689" s="837">
        <f t="shared" si="208"/>
        <v>0</v>
      </c>
      <c r="D689" s="840">
        <f t="shared" si="209"/>
        <v>0</v>
      </c>
      <c r="E689" s="868">
        <f t="shared" si="210"/>
        <v>0</v>
      </c>
      <c r="F689" s="841">
        <f t="shared" si="211"/>
        <v>0</v>
      </c>
      <c r="G689" s="837">
        <f t="shared" si="212"/>
        <v>0</v>
      </c>
      <c r="H689" s="841">
        <f t="shared" si="213"/>
        <v>0</v>
      </c>
      <c r="I689" s="1895">
        <f t="shared" si="214"/>
        <v>0</v>
      </c>
      <c r="J689" s="2380">
        <f t="shared" si="215"/>
        <v>0</v>
      </c>
      <c r="K689" s="868">
        <f t="shared" si="216"/>
        <v>0</v>
      </c>
      <c r="L689" s="841">
        <f t="shared" si="217"/>
        <v>0</v>
      </c>
      <c r="M689" s="1895">
        <f t="shared" si="218"/>
        <v>0</v>
      </c>
    </row>
    <row r="690" spans="1:13" x14ac:dyDescent="0.25">
      <c r="A690" s="2420">
        <v>57</v>
      </c>
      <c r="B690" s="840">
        <f t="shared" si="207"/>
        <v>0</v>
      </c>
      <c r="C690" s="837">
        <f t="shared" si="208"/>
        <v>0</v>
      </c>
      <c r="D690" s="840">
        <f t="shared" si="209"/>
        <v>0</v>
      </c>
      <c r="E690" s="868">
        <f t="shared" si="210"/>
        <v>0</v>
      </c>
      <c r="F690" s="841">
        <f t="shared" si="211"/>
        <v>0</v>
      </c>
      <c r="G690" s="837">
        <f t="shared" si="212"/>
        <v>0</v>
      </c>
      <c r="H690" s="841">
        <f t="shared" si="213"/>
        <v>0</v>
      </c>
      <c r="I690" s="1895">
        <f t="shared" si="214"/>
        <v>0</v>
      </c>
      <c r="J690" s="2380">
        <f t="shared" si="215"/>
        <v>0</v>
      </c>
      <c r="K690" s="868">
        <f t="shared" si="216"/>
        <v>0</v>
      </c>
      <c r="L690" s="841">
        <f t="shared" si="217"/>
        <v>0</v>
      </c>
      <c r="M690" s="1895">
        <f t="shared" si="218"/>
        <v>0</v>
      </c>
    </row>
    <row r="691" spans="1:13" x14ac:dyDescent="0.25">
      <c r="A691" s="2420">
        <v>58</v>
      </c>
      <c r="B691" s="840">
        <f t="shared" si="207"/>
        <v>0</v>
      </c>
      <c r="C691" s="837">
        <f t="shared" si="208"/>
        <v>0</v>
      </c>
      <c r="D691" s="840">
        <f t="shared" si="209"/>
        <v>0</v>
      </c>
      <c r="E691" s="868">
        <f t="shared" si="210"/>
        <v>0</v>
      </c>
      <c r="F691" s="841">
        <f t="shared" si="211"/>
        <v>0</v>
      </c>
      <c r="G691" s="837">
        <f t="shared" si="212"/>
        <v>0</v>
      </c>
      <c r="H691" s="841">
        <f t="shared" si="213"/>
        <v>0</v>
      </c>
      <c r="I691" s="1895">
        <f t="shared" si="214"/>
        <v>0</v>
      </c>
      <c r="J691" s="2380">
        <f t="shared" si="215"/>
        <v>0</v>
      </c>
      <c r="K691" s="868">
        <f t="shared" si="216"/>
        <v>0</v>
      </c>
      <c r="L691" s="841">
        <f t="shared" si="217"/>
        <v>0</v>
      </c>
      <c r="M691" s="1895">
        <f t="shared" si="218"/>
        <v>0</v>
      </c>
    </row>
    <row r="692" spans="1:13" x14ac:dyDescent="0.25">
      <c r="A692" s="2420">
        <v>59</v>
      </c>
      <c r="B692" s="840">
        <f t="shared" si="207"/>
        <v>0</v>
      </c>
      <c r="C692" s="837">
        <f t="shared" si="208"/>
        <v>0</v>
      </c>
      <c r="D692" s="840">
        <f t="shared" si="209"/>
        <v>0</v>
      </c>
      <c r="E692" s="868">
        <f t="shared" si="210"/>
        <v>0</v>
      </c>
      <c r="F692" s="841">
        <f t="shared" si="211"/>
        <v>0</v>
      </c>
      <c r="G692" s="837">
        <f t="shared" si="212"/>
        <v>0</v>
      </c>
      <c r="H692" s="841">
        <f t="shared" si="213"/>
        <v>0</v>
      </c>
      <c r="I692" s="1895">
        <f t="shared" si="214"/>
        <v>0</v>
      </c>
      <c r="J692" s="2380">
        <f t="shared" si="215"/>
        <v>0</v>
      </c>
      <c r="K692" s="868">
        <f t="shared" si="216"/>
        <v>0</v>
      </c>
      <c r="L692" s="841">
        <f t="shared" si="217"/>
        <v>0</v>
      </c>
      <c r="M692" s="1895">
        <f t="shared" si="218"/>
        <v>0</v>
      </c>
    </row>
    <row r="693" spans="1:13" x14ac:dyDescent="0.25">
      <c r="A693" s="2420">
        <v>60</v>
      </c>
      <c r="B693" s="840">
        <f t="shared" si="207"/>
        <v>0</v>
      </c>
      <c r="C693" s="837">
        <f t="shared" si="208"/>
        <v>0</v>
      </c>
      <c r="D693" s="840">
        <f t="shared" si="209"/>
        <v>0</v>
      </c>
      <c r="E693" s="868">
        <f t="shared" si="210"/>
        <v>0</v>
      </c>
      <c r="F693" s="841">
        <f t="shared" si="211"/>
        <v>0</v>
      </c>
      <c r="G693" s="837">
        <f t="shared" si="212"/>
        <v>0</v>
      </c>
      <c r="H693" s="841">
        <f t="shared" si="213"/>
        <v>0</v>
      </c>
      <c r="I693" s="1895">
        <f t="shared" si="214"/>
        <v>0</v>
      </c>
      <c r="J693" s="2380">
        <f t="shared" si="215"/>
        <v>0</v>
      </c>
      <c r="K693" s="868">
        <f t="shared" si="216"/>
        <v>0</v>
      </c>
      <c r="L693" s="841">
        <f t="shared" si="217"/>
        <v>0</v>
      </c>
      <c r="M693" s="1895">
        <f t="shared" si="218"/>
        <v>0</v>
      </c>
    </row>
    <row r="694" spans="1:13" x14ac:dyDescent="0.25">
      <c r="A694" s="2420">
        <v>61</v>
      </c>
      <c r="B694" s="840">
        <f t="shared" si="207"/>
        <v>0</v>
      </c>
      <c r="C694" s="837">
        <f t="shared" si="208"/>
        <v>0</v>
      </c>
      <c r="D694" s="840">
        <f t="shared" si="209"/>
        <v>0</v>
      </c>
      <c r="E694" s="868">
        <f t="shared" si="210"/>
        <v>0</v>
      </c>
      <c r="F694" s="841">
        <f t="shared" si="211"/>
        <v>0</v>
      </c>
      <c r="G694" s="837">
        <f t="shared" si="212"/>
        <v>0</v>
      </c>
      <c r="H694" s="841">
        <f t="shared" si="213"/>
        <v>0</v>
      </c>
      <c r="I694" s="1895">
        <f t="shared" si="214"/>
        <v>0</v>
      </c>
      <c r="J694" s="2380">
        <f t="shared" si="215"/>
        <v>0</v>
      </c>
      <c r="K694" s="868">
        <f t="shared" si="216"/>
        <v>0</v>
      </c>
      <c r="L694" s="841">
        <f t="shared" si="217"/>
        <v>0</v>
      </c>
      <c r="M694" s="1895">
        <f t="shared" si="218"/>
        <v>0</v>
      </c>
    </row>
    <row r="695" spans="1:13" x14ac:dyDescent="0.25">
      <c r="A695" s="2420">
        <v>62</v>
      </c>
      <c r="B695" s="840">
        <f t="shared" si="207"/>
        <v>0</v>
      </c>
      <c r="C695" s="837">
        <f t="shared" si="208"/>
        <v>0</v>
      </c>
      <c r="D695" s="840">
        <f t="shared" si="209"/>
        <v>0</v>
      </c>
      <c r="E695" s="868">
        <f t="shared" si="210"/>
        <v>0</v>
      </c>
      <c r="F695" s="841">
        <f t="shared" si="211"/>
        <v>0</v>
      </c>
      <c r="G695" s="837">
        <f t="shared" si="212"/>
        <v>0</v>
      </c>
      <c r="H695" s="841">
        <f t="shared" si="213"/>
        <v>0</v>
      </c>
      <c r="I695" s="1895">
        <f t="shared" si="214"/>
        <v>0</v>
      </c>
      <c r="J695" s="2380">
        <f t="shared" si="215"/>
        <v>0</v>
      </c>
      <c r="K695" s="868">
        <f t="shared" si="216"/>
        <v>0</v>
      </c>
      <c r="L695" s="841">
        <f t="shared" si="217"/>
        <v>0</v>
      </c>
      <c r="M695" s="1895">
        <f t="shared" si="218"/>
        <v>0</v>
      </c>
    </row>
    <row r="696" spans="1:13" x14ac:dyDescent="0.25">
      <c r="A696" s="2420">
        <v>63</v>
      </c>
      <c r="B696" s="840">
        <f t="shared" si="207"/>
        <v>0</v>
      </c>
      <c r="C696" s="837">
        <f t="shared" si="208"/>
        <v>0</v>
      </c>
      <c r="D696" s="840">
        <f t="shared" si="209"/>
        <v>0</v>
      </c>
      <c r="E696" s="868">
        <f t="shared" si="210"/>
        <v>0</v>
      </c>
      <c r="F696" s="841">
        <f t="shared" si="211"/>
        <v>0</v>
      </c>
      <c r="G696" s="837">
        <f t="shared" si="212"/>
        <v>0</v>
      </c>
      <c r="H696" s="841">
        <f t="shared" si="213"/>
        <v>0</v>
      </c>
      <c r="I696" s="1895">
        <f t="shared" si="214"/>
        <v>0</v>
      </c>
      <c r="J696" s="2380">
        <f t="shared" si="215"/>
        <v>0</v>
      </c>
      <c r="K696" s="868">
        <f t="shared" si="216"/>
        <v>0</v>
      </c>
      <c r="L696" s="841">
        <f t="shared" si="217"/>
        <v>0</v>
      </c>
      <c r="M696" s="1895">
        <f t="shared" si="218"/>
        <v>0</v>
      </c>
    </row>
    <row r="697" spans="1:13" x14ac:dyDescent="0.25">
      <c r="A697" s="2420">
        <v>64</v>
      </c>
      <c r="B697" s="840">
        <f t="shared" si="207"/>
        <v>0</v>
      </c>
      <c r="C697" s="837">
        <f t="shared" si="208"/>
        <v>0</v>
      </c>
      <c r="D697" s="840">
        <f t="shared" si="209"/>
        <v>0</v>
      </c>
      <c r="E697" s="868">
        <f t="shared" si="210"/>
        <v>0</v>
      </c>
      <c r="F697" s="841">
        <f t="shared" si="211"/>
        <v>0</v>
      </c>
      <c r="G697" s="837">
        <f t="shared" si="212"/>
        <v>0</v>
      </c>
      <c r="H697" s="841">
        <f t="shared" si="213"/>
        <v>0</v>
      </c>
      <c r="I697" s="1895">
        <f t="shared" si="214"/>
        <v>0</v>
      </c>
      <c r="J697" s="2380">
        <f t="shared" si="215"/>
        <v>0</v>
      </c>
      <c r="K697" s="868">
        <f t="shared" si="216"/>
        <v>0</v>
      </c>
      <c r="L697" s="841">
        <f t="shared" si="217"/>
        <v>0</v>
      </c>
      <c r="M697" s="1895">
        <f t="shared" si="218"/>
        <v>0</v>
      </c>
    </row>
    <row r="698" spans="1:13" x14ac:dyDescent="0.25">
      <c r="A698" s="2420">
        <v>65</v>
      </c>
      <c r="B698" s="840">
        <f t="shared" ref="B698:B729" si="219">IF(AND($C230="Roth",OR($B230="C",$B230="FC")),$D230,0)</f>
        <v>0</v>
      </c>
      <c r="C698" s="837">
        <f t="shared" ref="C698:C729" si="220">IF(AND($C230="Roth",OR($B230="C",$B230="FC")),$G230,0)</f>
        <v>0</v>
      </c>
      <c r="D698" s="840">
        <f t="shared" ref="D698:D729" si="221">IF(AND($C230="Roth",OR($B230="W",$B230="FW")),$D230,0)</f>
        <v>0</v>
      </c>
      <c r="E698" s="868">
        <f t="shared" ref="E698:E729" si="222">IF(AND($C230="Roth",OR($B230="W",$B230="FW")),$G230,0)</f>
        <v>0</v>
      </c>
      <c r="F698" s="841">
        <f t="shared" ref="F698:F729" si="223">IF(AND($I230="Roth",OR($H230="C",$H230="FC")),$J230,0)</f>
        <v>0</v>
      </c>
      <c r="G698" s="837">
        <f t="shared" ref="G698:G729" si="224">IF(AND($I230="Roth",OR($H230="C",$H230="FC")),$M230,0)</f>
        <v>0</v>
      </c>
      <c r="H698" s="841">
        <f t="shared" ref="H698:H729" si="225">IF(AND($I230="Roth",OR($H230="W",$H230="FW")),$J230,0)</f>
        <v>0</v>
      </c>
      <c r="I698" s="1895">
        <f t="shared" ref="I698:I729" si="226">IF(AND($I230="Roth",OR($H230="W",$H230="FW")),$M230,0)</f>
        <v>0</v>
      </c>
      <c r="J698" s="2380">
        <f t="shared" ref="J698:J729" si="227">IF(AND($C230="inher-5Yr",OR($B230="W",$B230="FW")),$D230,0)</f>
        <v>0</v>
      </c>
      <c r="K698" s="868">
        <f t="shared" ref="K698:K729" si="228">IF(AND($C230="inher-5Yr",OR($B230="W",$B230="FW")),$G230,0)</f>
        <v>0</v>
      </c>
      <c r="L698" s="841">
        <f t="shared" ref="L698:L729" si="229">IF(AND($I230="inher-5Yr",OR($H230="W",$H230="FW")),$J230,0)</f>
        <v>0</v>
      </c>
      <c r="M698" s="1895">
        <f t="shared" ref="M698:M729" si="230">IF(AND($I230="inher-5Yr",OR($H230="W",$H230="FW")),$M230,0)</f>
        <v>0</v>
      </c>
    </row>
    <row r="699" spans="1:13" x14ac:dyDescent="0.25">
      <c r="A699" s="2420">
        <v>66</v>
      </c>
      <c r="B699" s="840">
        <f t="shared" si="219"/>
        <v>0</v>
      </c>
      <c r="C699" s="837">
        <f t="shared" si="220"/>
        <v>0</v>
      </c>
      <c r="D699" s="840">
        <f t="shared" si="221"/>
        <v>0</v>
      </c>
      <c r="E699" s="868">
        <f t="shared" si="222"/>
        <v>0</v>
      </c>
      <c r="F699" s="841">
        <f t="shared" si="223"/>
        <v>0</v>
      </c>
      <c r="G699" s="837">
        <f t="shared" si="224"/>
        <v>0</v>
      </c>
      <c r="H699" s="841">
        <f t="shared" si="225"/>
        <v>0</v>
      </c>
      <c r="I699" s="1895">
        <f t="shared" si="226"/>
        <v>0</v>
      </c>
      <c r="J699" s="2380">
        <f t="shared" si="227"/>
        <v>0</v>
      </c>
      <c r="K699" s="868">
        <f t="shared" si="228"/>
        <v>0</v>
      </c>
      <c r="L699" s="841">
        <f t="shared" si="229"/>
        <v>0</v>
      </c>
      <c r="M699" s="1895">
        <f t="shared" si="230"/>
        <v>0</v>
      </c>
    </row>
    <row r="700" spans="1:13" x14ac:dyDescent="0.25">
      <c r="A700" s="2420">
        <v>67</v>
      </c>
      <c r="B700" s="840">
        <f t="shared" si="219"/>
        <v>0</v>
      </c>
      <c r="C700" s="837">
        <f t="shared" si="220"/>
        <v>0</v>
      </c>
      <c r="D700" s="840">
        <f t="shared" si="221"/>
        <v>0</v>
      </c>
      <c r="E700" s="868">
        <f t="shared" si="222"/>
        <v>0</v>
      </c>
      <c r="F700" s="841">
        <f t="shared" si="223"/>
        <v>0</v>
      </c>
      <c r="G700" s="837">
        <f t="shared" si="224"/>
        <v>0</v>
      </c>
      <c r="H700" s="841">
        <f t="shared" si="225"/>
        <v>0</v>
      </c>
      <c r="I700" s="1895">
        <f t="shared" si="226"/>
        <v>0</v>
      </c>
      <c r="J700" s="2380">
        <f t="shared" si="227"/>
        <v>0</v>
      </c>
      <c r="K700" s="868">
        <f t="shared" si="228"/>
        <v>0</v>
      </c>
      <c r="L700" s="841">
        <f t="shared" si="229"/>
        <v>0</v>
      </c>
      <c r="M700" s="1895">
        <f t="shared" si="230"/>
        <v>0</v>
      </c>
    </row>
    <row r="701" spans="1:13" x14ac:dyDescent="0.25">
      <c r="A701" s="2420">
        <v>68</v>
      </c>
      <c r="B701" s="840">
        <f t="shared" si="219"/>
        <v>0</v>
      </c>
      <c r="C701" s="837">
        <f t="shared" si="220"/>
        <v>0</v>
      </c>
      <c r="D701" s="840">
        <f t="shared" si="221"/>
        <v>0</v>
      </c>
      <c r="E701" s="868">
        <f t="shared" si="222"/>
        <v>0</v>
      </c>
      <c r="F701" s="841">
        <f t="shared" si="223"/>
        <v>0</v>
      </c>
      <c r="G701" s="837">
        <f t="shared" si="224"/>
        <v>0</v>
      </c>
      <c r="H701" s="841">
        <f t="shared" si="225"/>
        <v>0</v>
      </c>
      <c r="I701" s="1895">
        <f t="shared" si="226"/>
        <v>0</v>
      </c>
      <c r="J701" s="2380">
        <f t="shared" si="227"/>
        <v>0</v>
      </c>
      <c r="K701" s="868">
        <f t="shared" si="228"/>
        <v>0</v>
      </c>
      <c r="L701" s="841">
        <f t="shared" si="229"/>
        <v>0</v>
      </c>
      <c r="M701" s="1895">
        <f t="shared" si="230"/>
        <v>0</v>
      </c>
    </row>
    <row r="702" spans="1:13" x14ac:dyDescent="0.25">
      <c r="A702" s="2420">
        <v>69</v>
      </c>
      <c r="B702" s="840">
        <f t="shared" si="219"/>
        <v>0</v>
      </c>
      <c r="C702" s="837">
        <f t="shared" si="220"/>
        <v>0</v>
      </c>
      <c r="D702" s="840">
        <f t="shared" si="221"/>
        <v>0</v>
      </c>
      <c r="E702" s="868">
        <f t="shared" si="222"/>
        <v>0</v>
      </c>
      <c r="F702" s="841">
        <f t="shared" si="223"/>
        <v>0</v>
      </c>
      <c r="G702" s="837">
        <f t="shared" si="224"/>
        <v>0</v>
      </c>
      <c r="H702" s="841">
        <f t="shared" si="225"/>
        <v>0</v>
      </c>
      <c r="I702" s="1895">
        <f t="shared" si="226"/>
        <v>0</v>
      </c>
      <c r="J702" s="2380">
        <f t="shared" si="227"/>
        <v>0</v>
      </c>
      <c r="K702" s="868">
        <f t="shared" si="228"/>
        <v>0</v>
      </c>
      <c r="L702" s="841">
        <f t="shared" si="229"/>
        <v>0</v>
      </c>
      <c r="M702" s="1895">
        <f t="shared" si="230"/>
        <v>0</v>
      </c>
    </row>
    <row r="703" spans="1:13" x14ac:dyDescent="0.25">
      <c r="A703" s="2420">
        <v>70</v>
      </c>
      <c r="B703" s="840">
        <f t="shared" si="219"/>
        <v>0</v>
      </c>
      <c r="C703" s="837">
        <f t="shared" si="220"/>
        <v>0</v>
      </c>
      <c r="D703" s="840">
        <f t="shared" si="221"/>
        <v>0</v>
      </c>
      <c r="E703" s="868">
        <f t="shared" si="222"/>
        <v>0</v>
      </c>
      <c r="F703" s="841">
        <f t="shared" si="223"/>
        <v>0</v>
      </c>
      <c r="G703" s="837">
        <f t="shared" si="224"/>
        <v>0</v>
      </c>
      <c r="H703" s="841">
        <f t="shared" si="225"/>
        <v>0</v>
      </c>
      <c r="I703" s="1895">
        <f t="shared" si="226"/>
        <v>0</v>
      </c>
      <c r="J703" s="2380">
        <f t="shared" si="227"/>
        <v>0</v>
      </c>
      <c r="K703" s="868">
        <f t="shared" si="228"/>
        <v>0</v>
      </c>
      <c r="L703" s="841">
        <f t="shared" si="229"/>
        <v>0</v>
      </c>
      <c r="M703" s="1895">
        <f t="shared" si="230"/>
        <v>0</v>
      </c>
    </row>
    <row r="704" spans="1:13" x14ac:dyDescent="0.25">
      <c r="A704" s="2420">
        <v>71</v>
      </c>
      <c r="B704" s="840">
        <f t="shared" si="219"/>
        <v>0</v>
      </c>
      <c r="C704" s="837">
        <f t="shared" si="220"/>
        <v>0</v>
      </c>
      <c r="D704" s="840">
        <f t="shared" si="221"/>
        <v>0</v>
      </c>
      <c r="E704" s="868">
        <f t="shared" si="222"/>
        <v>0</v>
      </c>
      <c r="F704" s="841">
        <f t="shared" si="223"/>
        <v>0</v>
      </c>
      <c r="G704" s="837">
        <f t="shared" si="224"/>
        <v>0</v>
      </c>
      <c r="H704" s="841">
        <f t="shared" si="225"/>
        <v>0</v>
      </c>
      <c r="I704" s="1895">
        <f t="shared" si="226"/>
        <v>0</v>
      </c>
      <c r="J704" s="2380">
        <f t="shared" si="227"/>
        <v>0</v>
      </c>
      <c r="K704" s="868">
        <f t="shared" si="228"/>
        <v>0</v>
      </c>
      <c r="L704" s="841">
        <f t="shared" si="229"/>
        <v>0</v>
      </c>
      <c r="M704" s="1895">
        <f t="shared" si="230"/>
        <v>0</v>
      </c>
    </row>
    <row r="705" spans="1:13" x14ac:dyDescent="0.25">
      <c r="A705" s="2420">
        <v>72</v>
      </c>
      <c r="B705" s="840">
        <f t="shared" si="219"/>
        <v>0</v>
      </c>
      <c r="C705" s="837">
        <f t="shared" si="220"/>
        <v>0</v>
      </c>
      <c r="D705" s="840">
        <f t="shared" si="221"/>
        <v>0</v>
      </c>
      <c r="E705" s="868">
        <f t="shared" si="222"/>
        <v>0</v>
      </c>
      <c r="F705" s="841">
        <f t="shared" si="223"/>
        <v>0</v>
      </c>
      <c r="G705" s="837">
        <f t="shared" si="224"/>
        <v>0</v>
      </c>
      <c r="H705" s="841">
        <f t="shared" si="225"/>
        <v>0</v>
      </c>
      <c r="I705" s="1895">
        <f t="shared" si="226"/>
        <v>0</v>
      </c>
      <c r="J705" s="2380">
        <f t="shared" si="227"/>
        <v>0</v>
      </c>
      <c r="K705" s="868">
        <f t="shared" si="228"/>
        <v>0</v>
      </c>
      <c r="L705" s="841">
        <f t="shared" si="229"/>
        <v>0</v>
      </c>
      <c r="M705" s="1895">
        <f t="shared" si="230"/>
        <v>0</v>
      </c>
    </row>
    <row r="706" spans="1:13" x14ac:dyDescent="0.25">
      <c r="A706" s="2420">
        <v>73</v>
      </c>
      <c r="B706" s="840">
        <f t="shared" si="219"/>
        <v>0</v>
      </c>
      <c r="C706" s="837">
        <f t="shared" si="220"/>
        <v>0</v>
      </c>
      <c r="D706" s="840">
        <f t="shared" si="221"/>
        <v>0</v>
      </c>
      <c r="E706" s="868">
        <f t="shared" si="222"/>
        <v>0</v>
      </c>
      <c r="F706" s="841">
        <f t="shared" si="223"/>
        <v>0</v>
      </c>
      <c r="G706" s="837">
        <f t="shared" si="224"/>
        <v>0</v>
      </c>
      <c r="H706" s="841">
        <f t="shared" si="225"/>
        <v>0</v>
      </c>
      <c r="I706" s="1895">
        <f t="shared" si="226"/>
        <v>0</v>
      </c>
      <c r="J706" s="2380">
        <f t="shared" si="227"/>
        <v>0</v>
      </c>
      <c r="K706" s="868">
        <f t="shared" si="228"/>
        <v>0</v>
      </c>
      <c r="L706" s="841">
        <f t="shared" si="229"/>
        <v>0</v>
      </c>
      <c r="M706" s="1895">
        <f t="shared" si="230"/>
        <v>0</v>
      </c>
    </row>
    <row r="707" spans="1:13" x14ac:dyDescent="0.25">
      <c r="A707" s="2420">
        <v>74</v>
      </c>
      <c r="B707" s="840">
        <f t="shared" si="219"/>
        <v>0</v>
      </c>
      <c r="C707" s="837">
        <f t="shared" si="220"/>
        <v>0</v>
      </c>
      <c r="D707" s="840">
        <f t="shared" si="221"/>
        <v>0</v>
      </c>
      <c r="E707" s="868">
        <f t="shared" si="222"/>
        <v>0</v>
      </c>
      <c r="F707" s="841">
        <f t="shared" si="223"/>
        <v>0</v>
      </c>
      <c r="G707" s="837">
        <f t="shared" si="224"/>
        <v>0</v>
      </c>
      <c r="H707" s="841">
        <f t="shared" si="225"/>
        <v>0</v>
      </c>
      <c r="I707" s="1895">
        <f t="shared" si="226"/>
        <v>0</v>
      </c>
      <c r="J707" s="2380">
        <f t="shared" si="227"/>
        <v>0</v>
      </c>
      <c r="K707" s="868">
        <f t="shared" si="228"/>
        <v>0</v>
      </c>
      <c r="L707" s="841">
        <f t="shared" si="229"/>
        <v>0</v>
      </c>
      <c r="M707" s="1895">
        <f t="shared" si="230"/>
        <v>0</v>
      </c>
    </row>
    <row r="708" spans="1:13" x14ac:dyDescent="0.25">
      <c r="A708" s="2420">
        <v>75</v>
      </c>
      <c r="B708" s="840">
        <f t="shared" si="219"/>
        <v>0</v>
      </c>
      <c r="C708" s="837">
        <f t="shared" si="220"/>
        <v>0</v>
      </c>
      <c r="D708" s="840">
        <f t="shared" si="221"/>
        <v>0</v>
      </c>
      <c r="E708" s="868">
        <f t="shared" si="222"/>
        <v>0</v>
      </c>
      <c r="F708" s="841">
        <f t="shared" si="223"/>
        <v>0</v>
      </c>
      <c r="G708" s="837">
        <f t="shared" si="224"/>
        <v>0</v>
      </c>
      <c r="H708" s="841">
        <f t="shared" si="225"/>
        <v>0</v>
      </c>
      <c r="I708" s="1895">
        <f t="shared" si="226"/>
        <v>0</v>
      </c>
      <c r="J708" s="2380">
        <f t="shared" si="227"/>
        <v>0</v>
      </c>
      <c r="K708" s="868">
        <f t="shared" si="228"/>
        <v>0</v>
      </c>
      <c r="L708" s="841">
        <f t="shared" si="229"/>
        <v>0</v>
      </c>
      <c r="M708" s="1895">
        <f t="shared" si="230"/>
        <v>0</v>
      </c>
    </row>
    <row r="709" spans="1:13" x14ac:dyDescent="0.25">
      <c r="A709" s="2420">
        <v>76</v>
      </c>
      <c r="B709" s="840">
        <f t="shared" si="219"/>
        <v>0</v>
      </c>
      <c r="C709" s="837">
        <f t="shared" si="220"/>
        <v>0</v>
      </c>
      <c r="D709" s="840">
        <f t="shared" si="221"/>
        <v>0</v>
      </c>
      <c r="E709" s="868">
        <f t="shared" si="222"/>
        <v>0</v>
      </c>
      <c r="F709" s="841">
        <f t="shared" si="223"/>
        <v>0</v>
      </c>
      <c r="G709" s="837">
        <f t="shared" si="224"/>
        <v>0</v>
      </c>
      <c r="H709" s="841">
        <f t="shared" si="225"/>
        <v>0</v>
      </c>
      <c r="I709" s="1895">
        <f t="shared" si="226"/>
        <v>0</v>
      </c>
      <c r="J709" s="2380">
        <f t="shared" si="227"/>
        <v>0</v>
      </c>
      <c r="K709" s="868">
        <f t="shared" si="228"/>
        <v>0</v>
      </c>
      <c r="L709" s="841">
        <f t="shared" si="229"/>
        <v>0</v>
      </c>
      <c r="M709" s="1895">
        <f t="shared" si="230"/>
        <v>0</v>
      </c>
    </row>
    <row r="710" spans="1:13" x14ac:dyDescent="0.25">
      <c r="A710" s="2420">
        <v>77</v>
      </c>
      <c r="B710" s="840">
        <f t="shared" si="219"/>
        <v>0</v>
      </c>
      <c r="C710" s="837">
        <f t="shared" si="220"/>
        <v>0</v>
      </c>
      <c r="D710" s="840">
        <f t="shared" si="221"/>
        <v>0</v>
      </c>
      <c r="E710" s="868">
        <f t="shared" si="222"/>
        <v>0</v>
      </c>
      <c r="F710" s="841">
        <f t="shared" si="223"/>
        <v>0</v>
      </c>
      <c r="G710" s="837">
        <f t="shared" si="224"/>
        <v>0</v>
      </c>
      <c r="H710" s="841">
        <f t="shared" si="225"/>
        <v>0</v>
      </c>
      <c r="I710" s="1895">
        <f t="shared" si="226"/>
        <v>0</v>
      </c>
      <c r="J710" s="2380">
        <f t="shared" si="227"/>
        <v>0</v>
      </c>
      <c r="K710" s="868">
        <f t="shared" si="228"/>
        <v>0</v>
      </c>
      <c r="L710" s="841">
        <f t="shared" si="229"/>
        <v>0</v>
      </c>
      <c r="M710" s="1895">
        <f t="shared" si="230"/>
        <v>0</v>
      </c>
    </row>
    <row r="711" spans="1:13" x14ac:dyDescent="0.25">
      <c r="A711" s="2420">
        <v>78</v>
      </c>
      <c r="B711" s="840">
        <f t="shared" si="219"/>
        <v>0</v>
      </c>
      <c r="C711" s="837">
        <f t="shared" si="220"/>
        <v>0</v>
      </c>
      <c r="D711" s="840">
        <f t="shared" si="221"/>
        <v>0</v>
      </c>
      <c r="E711" s="868">
        <f t="shared" si="222"/>
        <v>0</v>
      </c>
      <c r="F711" s="841">
        <f t="shared" si="223"/>
        <v>0</v>
      </c>
      <c r="G711" s="837">
        <f t="shared" si="224"/>
        <v>0</v>
      </c>
      <c r="H711" s="841">
        <f t="shared" si="225"/>
        <v>0</v>
      </c>
      <c r="I711" s="1895">
        <f t="shared" si="226"/>
        <v>0</v>
      </c>
      <c r="J711" s="2380">
        <f t="shared" si="227"/>
        <v>0</v>
      </c>
      <c r="K711" s="868">
        <f t="shared" si="228"/>
        <v>0</v>
      </c>
      <c r="L711" s="841">
        <f t="shared" si="229"/>
        <v>0</v>
      </c>
      <c r="M711" s="1895">
        <f t="shared" si="230"/>
        <v>0</v>
      </c>
    </row>
    <row r="712" spans="1:13" x14ac:dyDescent="0.25">
      <c r="A712" s="2420">
        <v>79</v>
      </c>
      <c r="B712" s="840">
        <f t="shared" si="219"/>
        <v>0</v>
      </c>
      <c r="C712" s="837">
        <f t="shared" si="220"/>
        <v>0</v>
      </c>
      <c r="D712" s="840">
        <f t="shared" si="221"/>
        <v>0</v>
      </c>
      <c r="E712" s="868">
        <f t="shared" si="222"/>
        <v>0</v>
      </c>
      <c r="F712" s="841">
        <f t="shared" si="223"/>
        <v>0</v>
      </c>
      <c r="G712" s="837">
        <f t="shared" si="224"/>
        <v>0</v>
      </c>
      <c r="H712" s="841">
        <f t="shared" si="225"/>
        <v>0</v>
      </c>
      <c r="I712" s="1895">
        <f t="shared" si="226"/>
        <v>0</v>
      </c>
      <c r="J712" s="2380">
        <f t="shared" si="227"/>
        <v>0</v>
      </c>
      <c r="K712" s="868">
        <f t="shared" si="228"/>
        <v>0</v>
      </c>
      <c r="L712" s="841">
        <f t="shared" si="229"/>
        <v>0</v>
      </c>
      <c r="M712" s="1895">
        <f t="shared" si="230"/>
        <v>0</v>
      </c>
    </row>
    <row r="713" spans="1:13" x14ac:dyDescent="0.25">
      <c r="A713" s="2420">
        <v>80</v>
      </c>
      <c r="B713" s="840">
        <f t="shared" si="219"/>
        <v>0</v>
      </c>
      <c r="C713" s="837">
        <f t="shared" si="220"/>
        <v>0</v>
      </c>
      <c r="D713" s="840">
        <f t="shared" si="221"/>
        <v>0</v>
      </c>
      <c r="E713" s="868">
        <f t="shared" si="222"/>
        <v>0</v>
      </c>
      <c r="F713" s="841">
        <f t="shared" si="223"/>
        <v>0</v>
      </c>
      <c r="G713" s="837">
        <f t="shared" si="224"/>
        <v>0</v>
      </c>
      <c r="H713" s="841">
        <f t="shared" si="225"/>
        <v>0</v>
      </c>
      <c r="I713" s="1895">
        <f t="shared" si="226"/>
        <v>0</v>
      </c>
      <c r="J713" s="2380">
        <f t="shared" si="227"/>
        <v>0</v>
      </c>
      <c r="K713" s="868">
        <f t="shared" si="228"/>
        <v>0</v>
      </c>
      <c r="L713" s="841">
        <f t="shared" si="229"/>
        <v>0</v>
      </c>
      <c r="M713" s="1895">
        <f t="shared" si="230"/>
        <v>0</v>
      </c>
    </row>
    <row r="714" spans="1:13" x14ac:dyDescent="0.25">
      <c r="A714" s="2420">
        <v>81</v>
      </c>
      <c r="B714" s="840">
        <f t="shared" si="219"/>
        <v>0</v>
      </c>
      <c r="C714" s="837">
        <f t="shared" si="220"/>
        <v>0</v>
      </c>
      <c r="D714" s="840">
        <f t="shared" si="221"/>
        <v>0</v>
      </c>
      <c r="E714" s="868">
        <f t="shared" si="222"/>
        <v>0</v>
      </c>
      <c r="F714" s="841">
        <f t="shared" si="223"/>
        <v>0</v>
      </c>
      <c r="G714" s="837">
        <f t="shared" si="224"/>
        <v>0</v>
      </c>
      <c r="H714" s="841">
        <f t="shared" si="225"/>
        <v>0</v>
      </c>
      <c r="I714" s="1895">
        <f t="shared" si="226"/>
        <v>0</v>
      </c>
      <c r="J714" s="2380">
        <f t="shared" si="227"/>
        <v>0</v>
      </c>
      <c r="K714" s="868">
        <f t="shared" si="228"/>
        <v>0</v>
      </c>
      <c r="L714" s="841">
        <f t="shared" si="229"/>
        <v>0</v>
      </c>
      <c r="M714" s="1895">
        <f t="shared" si="230"/>
        <v>0</v>
      </c>
    </row>
    <row r="715" spans="1:13" x14ac:dyDescent="0.25">
      <c r="A715" s="2420">
        <v>82</v>
      </c>
      <c r="B715" s="840">
        <f t="shared" si="219"/>
        <v>0</v>
      </c>
      <c r="C715" s="837">
        <f t="shared" si="220"/>
        <v>0</v>
      </c>
      <c r="D715" s="840">
        <f t="shared" si="221"/>
        <v>0</v>
      </c>
      <c r="E715" s="868">
        <f t="shared" si="222"/>
        <v>0</v>
      </c>
      <c r="F715" s="841">
        <f t="shared" si="223"/>
        <v>0</v>
      </c>
      <c r="G715" s="837">
        <f t="shared" si="224"/>
        <v>0</v>
      </c>
      <c r="H715" s="841">
        <f t="shared" si="225"/>
        <v>0</v>
      </c>
      <c r="I715" s="1895">
        <f t="shared" si="226"/>
        <v>0</v>
      </c>
      <c r="J715" s="2380">
        <f t="shared" si="227"/>
        <v>0</v>
      </c>
      <c r="K715" s="868">
        <f t="shared" si="228"/>
        <v>0</v>
      </c>
      <c r="L715" s="841">
        <f t="shared" si="229"/>
        <v>0</v>
      </c>
      <c r="M715" s="1895">
        <f t="shared" si="230"/>
        <v>0</v>
      </c>
    </row>
    <row r="716" spans="1:13" x14ac:dyDescent="0.25">
      <c r="A716" s="2420">
        <v>83</v>
      </c>
      <c r="B716" s="840">
        <f t="shared" si="219"/>
        <v>0</v>
      </c>
      <c r="C716" s="837">
        <f t="shared" si="220"/>
        <v>0</v>
      </c>
      <c r="D716" s="840">
        <f t="shared" si="221"/>
        <v>0</v>
      </c>
      <c r="E716" s="868">
        <f t="shared" si="222"/>
        <v>0</v>
      </c>
      <c r="F716" s="841">
        <f t="shared" si="223"/>
        <v>0</v>
      </c>
      <c r="G716" s="837">
        <f t="shared" si="224"/>
        <v>0</v>
      </c>
      <c r="H716" s="841">
        <f t="shared" si="225"/>
        <v>0</v>
      </c>
      <c r="I716" s="1895">
        <f t="shared" si="226"/>
        <v>0</v>
      </c>
      <c r="J716" s="2380">
        <f t="shared" si="227"/>
        <v>0</v>
      </c>
      <c r="K716" s="868">
        <f t="shared" si="228"/>
        <v>0</v>
      </c>
      <c r="L716" s="841">
        <f t="shared" si="229"/>
        <v>0</v>
      </c>
      <c r="M716" s="1895">
        <f t="shared" si="230"/>
        <v>0</v>
      </c>
    </row>
    <row r="717" spans="1:13" x14ac:dyDescent="0.25">
      <c r="A717" s="2420">
        <v>84</v>
      </c>
      <c r="B717" s="840">
        <f t="shared" si="219"/>
        <v>0</v>
      </c>
      <c r="C717" s="837">
        <f t="shared" si="220"/>
        <v>0</v>
      </c>
      <c r="D717" s="840">
        <f t="shared" si="221"/>
        <v>0</v>
      </c>
      <c r="E717" s="868">
        <f t="shared" si="222"/>
        <v>0</v>
      </c>
      <c r="F717" s="841">
        <f t="shared" si="223"/>
        <v>0</v>
      </c>
      <c r="G717" s="837">
        <f t="shared" si="224"/>
        <v>0</v>
      </c>
      <c r="H717" s="841">
        <f t="shared" si="225"/>
        <v>0</v>
      </c>
      <c r="I717" s="1895">
        <f t="shared" si="226"/>
        <v>0</v>
      </c>
      <c r="J717" s="2380">
        <f t="shared" si="227"/>
        <v>0</v>
      </c>
      <c r="K717" s="868">
        <f t="shared" si="228"/>
        <v>0</v>
      </c>
      <c r="L717" s="841">
        <f t="shared" si="229"/>
        <v>0</v>
      </c>
      <c r="M717" s="1895">
        <f t="shared" si="230"/>
        <v>0</v>
      </c>
    </row>
    <row r="718" spans="1:13" x14ac:dyDescent="0.25">
      <c r="A718" s="2420">
        <v>85</v>
      </c>
      <c r="B718" s="840">
        <f t="shared" si="219"/>
        <v>0</v>
      </c>
      <c r="C718" s="837">
        <f t="shared" si="220"/>
        <v>0</v>
      </c>
      <c r="D718" s="840">
        <f t="shared" si="221"/>
        <v>0</v>
      </c>
      <c r="E718" s="868">
        <f t="shared" si="222"/>
        <v>0</v>
      </c>
      <c r="F718" s="841">
        <f t="shared" si="223"/>
        <v>0</v>
      </c>
      <c r="G718" s="837">
        <f t="shared" si="224"/>
        <v>0</v>
      </c>
      <c r="H718" s="841">
        <f t="shared" si="225"/>
        <v>0</v>
      </c>
      <c r="I718" s="1895">
        <f t="shared" si="226"/>
        <v>0</v>
      </c>
      <c r="J718" s="2380">
        <f t="shared" si="227"/>
        <v>0</v>
      </c>
      <c r="K718" s="868">
        <f t="shared" si="228"/>
        <v>0</v>
      </c>
      <c r="L718" s="841">
        <f t="shared" si="229"/>
        <v>0</v>
      </c>
      <c r="M718" s="1895">
        <f t="shared" si="230"/>
        <v>0</v>
      </c>
    </row>
    <row r="719" spans="1:13" x14ac:dyDescent="0.25">
      <c r="A719" s="2420">
        <v>86</v>
      </c>
      <c r="B719" s="840">
        <f t="shared" si="219"/>
        <v>0</v>
      </c>
      <c r="C719" s="837">
        <f t="shared" si="220"/>
        <v>0</v>
      </c>
      <c r="D719" s="840">
        <f t="shared" si="221"/>
        <v>0</v>
      </c>
      <c r="E719" s="868">
        <f t="shared" si="222"/>
        <v>0</v>
      </c>
      <c r="F719" s="841">
        <f t="shared" si="223"/>
        <v>0</v>
      </c>
      <c r="G719" s="837">
        <f t="shared" si="224"/>
        <v>0</v>
      </c>
      <c r="H719" s="841">
        <f t="shared" si="225"/>
        <v>0</v>
      </c>
      <c r="I719" s="1895">
        <f t="shared" si="226"/>
        <v>0</v>
      </c>
      <c r="J719" s="2380">
        <f t="shared" si="227"/>
        <v>0</v>
      </c>
      <c r="K719" s="868">
        <f t="shared" si="228"/>
        <v>0</v>
      </c>
      <c r="L719" s="841">
        <f t="shared" si="229"/>
        <v>0</v>
      </c>
      <c r="M719" s="1895">
        <f t="shared" si="230"/>
        <v>0</v>
      </c>
    </row>
    <row r="720" spans="1:13" x14ac:dyDescent="0.25">
      <c r="A720" s="2420">
        <v>87</v>
      </c>
      <c r="B720" s="840">
        <f t="shared" si="219"/>
        <v>0</v>
      </c>
      <c r="C720" s="837">
        <f t="shared" si="220"/>
        <v>0</v>
      </c>
      <c r="D720" s="840">
        <f t="shared" si="221"/>
        <v>0</v>
      </c>
      <c r="E720" s="868">
        <f t="shared" si="222"/>
        <v>0</v>
      </c>
      <c r="F720" s="841">
        <f t="shared" si="223"/>
        <v>0</v>
      </c>
      <c r="G720" s="837">
        <f t="shared" si="224"/>
        <v>0</v>
      </c>
      <c r="H720" s="841">
        <f t="shared" si="225"/>
        <v>0</v>
      </c>
      <c r="I720" s="1895">
        <f t="shared" si="226"/>
        <v>0</v>
      </c>
      <c r="J720" s="2380">
        <f t="shared" si="227"/>
        <v>0</v>
      </c>
      <c r="K720" s="868">
        <f t="shared" si="228"/>
        <v>0</v>
      </c>
      <c r="L720" s="841">
        <f t="shared" si="229"/>
        <v>0</v>
      </c>
      <c r="M720" s="1895">
        <f t="shared" si="230"/>
        <v>0</v>
      </c>
    </row>
    <row r="721" spans="1:13" x14ac:dyDescent="0.25">
      <c r="A721" s="2420">
        <v>88</v>
      </c>
      <c r="B721" s="840">
        <f t="shared" si="219"/>
        <v>0</v>
      </c>
      <c r="C721" s="837">
        <f t="shared" si="220"/>
        <v>0</v>
      </c>
      <c r="D721" s="840">
        <f t="shared" si="221"/>
        <v>0</v>
      </c>
      <c r="E721" s="868">
        <f t="shared" si="222"/>
        <v>0</v>
      </c>
      <c r="F721" s="841">
        <f t="shared" si="223"/>
        <v>0</v>
      </c>
      <c r="G721" s="837">
        <f t="shared" si="224"/>
        <v>0</v>
      </c>
      <c r="H721" s="841">
        <f t="shared" si="225"/>
        <v>0</v>
      </c>
      <c r="I721" s="1895">
        <f t="shared" si="226"/>
        <v>0</v>
      </c>
      <c r="J721" s="2380">
        <f t="shared" si="227"/>
        <v>0</v>
      </c>
      <c r="K721" s="868">
        <f t="shared" si="228"/>
        <v>0</v>
      </c>
      <c r="L721" s="841">
        <f t="shared" si="229"/>
        <v>0</v>
      </c>
      <c r="M721" s="1895">
        <f t="shared" si="230"/>
        <v>0</v>
      </c>
    </row>
    <row r="722" spans="1:13" x14ac:dyDescent="0.25">
      <c r="A722" s="2420">
        <v>89</v>
      </c>
      <c r="B722" s="840">
        <f t="shared" si="219"/>
        <v>0</v>
      </c>
      <c r="C722" s="837">
        <f t="shared" si="220"/>
        <v>0</v>
      </c>
      <c r="D722" s="840">
        <f t="shared" si="221"/>
        <v>0</v>
      </c>
      <c r="E722" s="868">
        <f t="shared" si="222"/>
        <v>0</v>
      </c>
      <c r="F722" s="841">
        <f t="shared" si="223"/>
        <v>0</v>
      </c>
      <c r="G722" s="837">
        <f t="shared" si="224"/>
        <v>0</v>
      </c>
      <c r="H722" s="841">
        <f t="shared" si="225"/>
        <v>0</v>
      </c>
      <c r="I722" s="1895">
        <f t="shared" si="226"/>
        <v>0</v>
      </c>
      <c r="J722" s="2380">
        <f t="shared" si="227"/>
        <v>0</v>
      </c>
      <c r="K722" s="868">
        <f t="shared" si="228"/>
        <v>0</v>
      </c>
      <c r="L722" s="841">
        <f t="shared" si="229"/>
        <v>0</v>
      </c>
      <c r="M722" s="1895">
        <f t="shared" si="230"/>
        <v>0</v>
      </c>
    </row>
    <row r="723" spans="1:13" x14ac:dyDescent="0.25">
      <c r="A723" s="2420">
        <v>90</v>
      </c>
      <c r="B723" s="840">
        <f t="shared" si="219"/>
        <v>0</v>
      </c>
      <c r="C723" s="837">
        <f t="shared" si="220"/>
        <v>0</v>
      </c>
      <c r="D723" s="840">
        <f t="shared" si="221"/>
        <v>0</v>
      </c>
      <c r="E723" s="868">
        <f t="shared" si="222"/>
        <v>0</v>
      </c>
      <c r="F723" s="841">
        <f t="shared" si="223"/>
        <v>0</v>
      </c>
      <c r="G723" s="837">
        <f t="shared" si="224"/>
        <v>0</v>
      </c>
      <c r="H723" s="841">
        <f t="shared" si="225"/>
        <v>0</v>
      </c>
      <c r="I723" s="1895">
        <f t="shared" si="226"/>
        <v>0</v>
      </c>
      <c r="J723" s="2380">
        <f t="shared" si="227"/>
        <v>0</v>
      </c>
      <c r="K723" s="868">
        <f t="shared" si="228"/>
        <v>0</v>
      </c>
      <c r="L723" s="841">
        <f t="shared" si="229"/>
        <v>0</v>
      </c>
      <c r="M723" s="1895">
        <f t="shared" si="230"/>
        <v>0</v>
      </c>
    </row>
    <row r="724" spans="1:13" x14ac:dyDescent="0.25">
      <c r="A724" s="2420">
        <v>91</v>
      </c>
      <c r="B724" s="840">
        <f t="shared" si="219"/>
        <v>0</v>
      </c>
      <c r="C724" s="837">
        <f t="shared" si="220"/>
        <v>0</v>
      </c>
      <c r="D724" s="840">
        <f t="shared" si="221"/>
        <v>0</v>
      </c>
      <c r="E724" s="868">
        <f t="shared" si="222"/>
        <v>0</v>
      </c>
      <c r="F724" s="841">
        <f t="shared" si="223"/>
        <v>0</v>
      </c>
      <c r="G724" s="837">
        <f t="shared" si="224"/>
        <v>0</v>
      </c>
      <c r="H724" s="841">
        <f t="shared" si="225"/>
        <v>0</v>
      </c>
      <c r="I724" s="1895">
        <f t="shared" si="226"/>
        <v>0</v>
      </c>
      <c r="J724" s="2380">
        <f t="shared" si="227"/>
        <v>0</v>
      </c>
      <c r="K724" s="868">
        <f t="shared" si="228"/>
        <v>0</v>
      </c>
      <c r="L724" s="841">
        <f t="shared" si="229"/>
        <v>0</v>
      </c>
      <c r="M724" s="1895">
        <f t="shared" si="230"/>
        <v>0</v>
      </c>
    </row>
    <row r="725" spans="1:13" x14ac:dyDescent="0.25">
      <c r="A725" s="2420">
        <v>92</v>
      </c>
      <c r="B725" s="840">
        <f t="shared" si="219"/>
        <v>0</v>
      </c>
      <c r="C725" s="837">
        <f t="shared" si="220"/>
        <v>0</v>
      </c>
      <c r="D725" s="840">
        <f t="shared" si="221"/>
        <v>0</v>
      </c>
      <c r="E725" s="868">
        <f t="shared" si="222"/>
        <v>0</v>
      </c>
      <c r="F725" s="841">
        <f t="shared" si="223"/>
        <v>0</v>
      </c>
      <c r="G725" s="837">
        <f t="shared" si="224"/>
        <v>0</v>
      </c>
      <c r="H725" s="841">
        <f t="shared" si="225"/>
        <v>0</v>
      </c>
      <c r="I725" s="1895">
        <f t="shared" si="226"/>
        <v>0</v>
      </c>
      <c r="J725" s="2380">
        <f t="shared" si="227"/>
        <v>0</v>
      </c>
      <c r="K725" s="868">
        <f t="shared" si="228"/>
        <v>0</v>
      </c>
      <c r="L725" s="841">
        <f t="shared" si="229"/>
        <v>0</v>
      </c>
      <c r="M725" s="1895">
        <f t="shared" si="230"/>
        <v>0</v>
      </c>
    </row>
    <row r="726" spans="1:13" x14ac:dyDescent="0.25">
      <c r="A726" s="2420">
        <v>93</v>
      </c>
      <c r="B726" s="840">
        <f t="shared" si="219"/>
        <v>0</v>
      </c>
      <c r="C726" s="837">
        <f t="shared" si="220"/>
        <v>0</v>
      </c>
      <c r="D726" s="840">
        <f t="shared" si="221"/>
        <v>0</v>
      </c>
      <c r="E726" s="868">
        <f t="shared" si="222"/>
        <v>0</v>
      </c>
      <c r="F726" s="841">
        <f t="shared" si="223"/>
        <v>0</v>
      </c>
      <c r="G726" s="837">
        <f t="shared" si="224"/>
        <v>0</v>
      </c>
      <c r="H726" s="841">
        <f t="shared" si="225"/>
        <v>0</v>
      </c>
      <c r="I726" s="1895">
        <f t="shared" si="226"/>
        <v>0</v>
      </c>
      <c r="J726" s="2380">
        <f t="shared" si="227"/>
        <v>0</v>
      </c>
      <c r="K726" s="868">
        <f t="shared" si="228"/>
        <v>0</v>
      </c>
      <c r="L726" s="841">
        <f t="shared" si="229"/>
        <v>0</v>
      </c>
      <c r="M726" s="1895">
        <f t="shared" si="230"/>
        <v>0</v>
      </c>
    </row>
    <row r="727" spans="1:13" x14ac:dyDescent="0.25">
      <c r="A727" s="2420">
        <v>94</v>
      </c>
      <c r="B727" s="840">
        <f t="shared" si="219"/>
        <v>0</v>
      </c>
      <c r="C727" s="837">
        <f t="shared" si="220"/>
        <v>0</v>
      </c>
      <c r="D727" s="840">
        <f t="shared" si="221"/>
        <v>0</v>
      </c>
      <c r="E727" s="868">
        <f t="shared" si="222"/>
        <v>0</v>
      </c>
      <c r="F727" s="841">
        <f t="shared" si="223"/>
        <v>0</v>
      </c>
      <c r="G727" s="837">
        <f t="shared" si="224"/>
        <v>0</v>
      </c>
      <c r="H727" s="841">
        <f t="shared" si="225"/>
        <v>0</v>
      </c>
      <c r="I727" s="1895">
        <f t="shared" si="226"/>
        <v>0</v>
      </c>
      <c r="J727" s="2380">
        <f t="shared" si="227"/>
        <v>0</v>
      </c>
      <c r="K727" s="868">
        <f t="shared" si="228"/>
        <v>0</v>
      </c>
      <c r="L727" s="841">
        <f t="shared" si="229"/>
        <v>0</v>
      </c>
      <c r="M727" s="1895">
        <f t="shared" si="230"/>
        <v>0</v>
      </c>
    </row>
    <row r="728" spans="1:13" x14ac:dyDescent="0.25">
      <c r="A728" s="2420">
        <v>95</v>
      </c>
      <c r="B728" s="840">
        <f t="shared" si="219"/>
        <v>0</v>
      </c>
      <c r="C728" s="837">
        <f t="shared" si="220"/>
        <v>0</v>
      </c>
      <c r="D728" s="840">
        <f t="shared" si="221"/>
        <v>0</v>
      </c>
      <c r="E728" s="868">
        <f t="shared" si="222"/>
        <v>0</v>
      </c>
      <c r="F728" s="841">
        <f t="shared" si="223"/>
        <v>0</v>
      </c>
      <c r="G728" s="837">
        <f t="shared" si="224"/>
        <v>0</v>
      </c>
      <c r="H728" s="841">
        <f t="shared" si="225"/>
        <v>0</v>
      </c>
      <c r="I728" s="1895">
        <f t="shared" si="226"/>
        <v>0</v>
      </c>
      <c r="J728" s="2380">
        <f t="shared" si="227"/>
        <v>0</v>
      </c>
      <c r="K728" s="868">
        <f t="shared" si="228"/>
        <v>0</v>
      </c>
      <c r="L728" s="841">
        <f t="shared" si="229"/>
        <v>0</v>
      </c>
      <c r="M728" s="1895">
        <f t="shared" si="230"/>
        <v>0</v>
      </c>
    </row>
    <row r="729" spans="1:13" x14ac:dyDescent="0.25">
      <c r="A729" s="2420">
        <v>96</v>
      </c>
      <c r="B729" s="840">
        <f t="shared" si="219"/>
        <v>0</v>
      </c>
      <c r="C729" s="837">
        <f t="shared" si="220"/>
        <v>0</v>
      </c>
      <c r="D729" s="840">
        <f t="shared" si="221"/>
        <v>0</v>
      </c>
      <c r="E729" s="868">
        <f t="shared" si="222"/>
        <v>0</v>
      </c>
      <c r="F729" s="841">
        <f t="shared" si="223"/>
        <v>0</v>
      </c>
      <c r="G729" s="837">
        <f t="shared" si="224"/>
        <v>0</v>
      </c>
      <c r="H729" s="841">
        <f t="shared" si="225"/>
        <v>0</v>
      </c>
      <c r="I729" s="1895">
        <f t="shared" si="226"/>
        <v>0</v>
      </c>
      <c r="J729" s="2380">
        <f t="shared" si="227"/>
        <v>0</v>
      </c>
      <c r="K729" s="868">
        <f t="shared" si="228"/>
        <v>0</v>
      </c>
      <c r="L729" s="841">
        <f t="shared" si="229"/>
        <v>0</v>
      </c>
      <c r="M729" s="1895">
        <f t="shared" si="230"/>
        <v>0</v>
      </c>
    </row>
    <row r="730" spans="1:13" x14ac:dyDescent="0.25">
      <c r="A730" s="2420">
        <v>97</v>
      </c>
      <c r="B730" s="840">
        <f t="shared" ref="B730:B736" si="231">IF(AND($C262="Roth",OR($B262="C",$B262="FC")),$D262,0)</f>
        <v>0</v>
      </c>
      <c r="C730" s="837">
        <f t="shared" ref="C730:C736" si="232">IF(AND($C262="Roth",OR($B262="C",$B262="FC")),$G262,0)</f>
        <v>0</v>
      </c>
      <c r="D730" s="840">
        <f t="shared" ref="D730:D736" si="233">IF(AND($C262="Roth",OR($B262="W",$B262="FW")),$D262,0)</f>
        <v>0</v>
      </c>
      <c r="E730" s="868">
        <f t="shared" ref="E730:E736" si="234">IF(AND($C262="Roth",OR($B262="W",$B262="FW")),$G262,0)</f>
        <v>0</v>
      </c>
      <c r="F730" s="841">
        <f t="shared" ref="F730:F736" si="235">IF(AND($I262="Roth",OR($H262="C",$H262="FC")),$J262,0)</f>
        <v>0</v>
      </c>
      <c r="G730" s="837">
        <f t="shared" ref="G730:G736" si="236">IF(AND($I262="Roth",OR($H262="C",$H262="FC")),$M262,0)</f>
        <v>0</v>
      </c>
      <c r="H730" s="841">
        <f t="shared" ref="H730:H736" si="237">IF(AND($I262="Roth",OR($H262="W",$H262="FW")),$J262,0)</f>
        <v>0</v>
      </c>
      <c r="I730" s="1895">
        <f t="shared" ref="I730:I736" si="238">IF(AND($I262="Roth",OR($H262="W",$H262="FW")),$M262,0)</f>
        <v>0</v>
      </c>
      <c r="J730" s="2380">
        <f t="shared" ref="J730:J736" si="239">IF(AND($C262="inher-5Yr",OR($B262="W",$B262="FW")),$D262,0)</f>
        <v>0</v>
      </c>
      <c r="K730" s="868">
        <f t="shared" ref="K730:K736" si="240">IF(AND($C262="inher-5Yr",OR($B262="W",$B262="FW")),$G262,0)</f>
        <v>0</v>
      </c>
      <c r="L730" s="841">
        <f t="shared" ref="L730:L736" si="241">IF(AND($I262="inher-5Yr",OR($H262="W",$H262="FW")),$J262,0)</f>
        <v>0</v>
      </c>
      <c r="M730" s="1895">
        <f t="shared" ref="M730:M736" si="242">IF(AND($I262="inher-5Yr",OR($H262="W",$H262="FW")),$M262,0)</f>
        <v>0</v>
      </c>
    </row>
    <row r="731" spans="1:13" x14ac:dyDescent="0.25">
      <c r="A731" s="2420">
        <v>98</v>
      </c>
      <c r="B731" s="840">
        <f t="shared" si="231"/>
        <v>0</v>
      </c>
      <c r="C731" s="837">
        <f t="shared" si="232"/>
        <v>0</v>
      </c>
      <c r="D731" s="840">
        <f t="shared" si="233"/>
        <v>0</v>
      </c>
      <c r="E731" s="868">
        <f t="shared" si="234"/>
        <v>0</v>
      </c>
      <c r="F731" s="841">
        <f t="shared" si="235"/>
        <v>0</v>
      </c>
      <c r="G731" s="837">
        <f t="shared" si="236"/>
        <v>0</v>
      </c>
      <c r="H731" s="841">
        <f t="shared" si="237"/>
        <v>0</v>
      </c>
      <c r="I731" s="1895">
        <f t="shared" si="238"/>
        <v>0</v>
      </c>
      <c r="J731" s="2380">
        <f t="shared" si="239"/>
        <v>0</v>
      </c>
      <c r="K731" s="868">
        <f t="shared" si="240"/>
        <v>0</v>
      </c>
      <c r="L731" s="841">
        <f t="shared" si="241"/>
        <v>0</v>
      </c>
      <c r="M731" s="1895">
        <f t="shared" si="242"/>
        <v>0</v>
      </c>
    </row>
    <row r="732" spans="1:13" x14ac:dyDescent="0.25">
      <c r="A732" s="2420">
        <v>99</v>
      </c>
      <c r="B732" s="840">
        <f t="shared" si="231"/>
        <v>0</v>
      </c>
      <c r="C732" s="837">
        <f t="shared" si="232"/>
        <v>0</v>
      </c>
      <c r="D732" s="840">
        <f t="shared" si="233"/>
        <v>0</v>
      </c>
      <c r="E732" s="868">
        <f t="shared" si="234"/>
        <v>0</v>
      </c>
      <c r="F732" s="841">
        <f t="shared" si="235"/>
        <v>0</v>
      </c>
      <c r="G732" s="837">
        <f t="shared" si="236"/>
        <v>0</v>
      </c>
      <c r="H732" s="841">
        <f t="shared" si="237"/>
        <v>0</v>
      </c>
      <c r="I732" s="1895">
        <f t="shared" si="238"/>
        <v>0</v>
      </c>
      <c r="J732" s="2380">
        <f t="shared" si="239"/>
        <v>0</v>
      </c>
      <c r="K732" s="868">
        <f t="shared" si="240"/>
        <v>0</v>
      </c>
      <c r="L732" s="841">
        <f t="shared" si="241"/>
        <v>0</v>
      </c>
      <c r="M732" s="1895">
        <f t="shared" si="242"/>
        <v>0</v>
      </c>
    </row>
    <row r="733" spans="1:13" x14ac:dyDescent="0.25">
      <c r="A733" s="2420">
        <v>100</v>
      </c>
      <c r="B733" s="840">
        <f t="shared" si="231"/>
        <v>0</v>
      </c>
      <c r="C733" s="837">
        <f t="shared" si="232"/>
        <v>0</v>
      </c>
      <c r="D733" s="840">
        <f t="shared" si="233"/>
        <v>0</v>
      </c>
      <c r="E733" s="868">
        <f t="shared" si="234"/>
        <v>0</v>
      </c>
      <c r="F733" s="841">
        <f t="shared" si="235"/>
        <v>0</v>
      </c>
      <c r="G733" s="837">
        <f t="shared" si="236"/>
        <v>0</v>
      </c>
      <c r="H733" s="841">
        <f t="shared" si="237"/>
        <v>0</v>
      </c>
      <c r="I733" s="1895">
        <f t="shared" si="238"/>
        <v>0</v>
      </c>
      <c r="J733" s="2380">
        <f t="shared" si="239"/>
        <v>0</v>
      </c>
      <c r="K733" s="868">
        <f t="shared" si="240"/>
        <v>0</v>
      </c>
      <c r="L733" s="841">
        <f t="shared" si="241"/>
        <v>0</v>
      </c>
      <c r="M733" s="1895">
        <f t="shared" si="242"/>
        <v>0</v>
      </c>
    </row>
    <row r="734" spans="1:13" x14ac:dyDescent="0.25">
      <c r="A734" s="2420">
        <v>101</v>
      </c>
      <c r="B734" s="840">
        <f t="shared" si="231"/>
        <v>0</v>
      </c>
      <c r="C734" s="837">
        <f t="shared" si="232"/>
        <v>0</v>
      </c>
      <c r="D734" s="840">
        <f t="shared" si="233"/>
        <v>0</v>
      </c>
      <c r="E734" s="868">
        <f t="shared" si="234"/>
        <v>0</v>
      </c>
      <c r="F734" s="841">
        <f t="shared" si="235"/>
        <v>0</v>
      </c>
      <c r="G734" s="837">
        <f t="shared" si="236"/>
        <v>0</v>
      </c>
      <c r="H734" s="841">
        <f t="shared" si="237"/>
        <v>0</v>
      </c>
      <c r="I734" s="1895">
        <f t="shared" si="238"/>
        <v>0</v>
      </c>
      <c r="J734" s="2380">
        <f t="shared" si="239"/>
        <v>0</v>
      </c>
      <c r="K734" s="868">
        <f t="shared" si="240"/>
        <v>0</v>
      </c>
      <c r="L734" s="841">
        <f t="shared" si="241"/>
        <v>0</v>
      </c>
      <c r="M734" s="1895">
        <f t="shared" si="242"/>
        <v>0</v>
      </c>
    </row>
    <row r="735" spans="1:13" x14ac:dyDescent="0.25">
      <c r="A735" s="2420">
        <v>102</v>
      </c>
      <c r="B735" s="840">
        <f t="shared" si="231"/>
        <v>0</v>
      </c>
      <c r="C735" s="837">
        <f t="shared" si="232"/>
        <v>0</v>
      </c>
      <c r="D735" s="840">
        <f t="shared" si="233"/>
        <v>0</v>
      </c>
      <c r="E735" s="868">
        <f t="shared" si="234"/>
        <v>0</v>
      </c>
      <c r="F735" s="841">
        <f t="shared" si="235"/>
        <v>0</v>
      </c>
      <c r="G735" s="837">
        <f t="shared" si="236"/>
        <v>0</v>
      </c>
      <c r="H735" s="841">
        <f t="shared" si="237"/>
        <v>0</v>
      </c>
      <c r="I735" s="1895">
        <f t="shared" si="238"/>
        <v>0</v>
      </c>
      <c r="J735" s="2380">
        <f t="shared" si="239"/>
        <v>0</v>
      </c>
      <c r="K735" s="868">
        <f t="shared" si="240"/>
        <v>0</v>
      </c>
      <c r="L735" s="841">
        <f t="shared" si="241"/>
        <v>0</v>
      </c>
      <c r="M735" s="1895">
        <f t="shared" si="242"/>
        <v>0</v>
      </c>
    </row>
    <row r="736" spans="1:13" ht="15.75" thickBot="1" x14ac:dyDescent="0.3">
      <c r="A736" s="2421">
        <v>103</v>
      </c>
      <c r="B736" s="1884">
        <f t="shared" si="231"/>
        <v>0</v>
      </c>
      <c r="C736" s="1885">
        <f t="shared" si="232"/>
        <v>0</v>
      </c>
      <c r="D736" s="1884">
        <f t="shared" si="233"/>
        <v>0</v>
      </c>
      <c r="E736" s="1896">
        <f t="shared" si="234"/>
        <v>0</v>
      </c>
      <c r="F736" s="1886">
        <f t="shared" si="235"/>
        <v>0</v>
      </c>
      <c r="G736" s="1885">
        <f t="shared" si="236"/>
        <v>0</v>
      </c>
      <c r="H736" s="1886">
        <f t="shared" si="237"/>
        <v>0</v>
      </c>
      <c r="I736" s="1887">
        <f t="shared" si="238"/>
        <v>0</v>
      </c>
      <c r="J736" s="2381">
        <f t="shared" si="239"/>
        <v>0</v>
      </c>
      <c r="K736" s="1896">
        <f t="shared" si="240"/>
        <v>0</v>
      </c>
      <c r="L736" s="1886">
        <f t="shared" si="241"/>
        <v>0</v>
      </c>
      <c r="M736" s="1887">
        <f t="shared" si="242"/>
        <v>0</v>
      </c>
    </row>
    <row r="737" spans="1:14" ht="15.75" thickTop="1" x14ac:dyDescent="0.25">
      <c r="A737" s="2013"/>
      <c r="B737" s="1341"/>
      <c r="C737" s="1341"/>
      <c r="D737" s="1341"/>
      <c r="E737" s="1341"/>
      <c r="F737" s="1341"/>
      <c r="G737" s="1341"/>
      <c r="H737" s="1341"/>
      <c r="I737" s="1341"/>
      <c r="J737" s="1341"/>
      <c r="K737" s="1341"/>
      <c r="L737" s="1341"/>
      <c r="M737" s="1342"/>
    </row>
    <row r="738" spans="1:14" ht="19.5" thickBot="1" x14ac:dyDescent="0.35">
      <c r="A738" s="2469"/>
      <c r="B738" s="1992"/>
      <c r="C738" s="1992"/>
      <c r="D738" s="1992"/>
      <c r="E738" s="1992"/>
      <c r="F738" s="1992"/>
      <c r="G738" s="1757"/>
      <c r="H738" s="1757"/>
      <c r="I738" s="1757"/>
      <c r="J738" s="1757"/>
      <c r="K738" s="1757"/>
      <c r="L738" s="1757"/>
      <c r="M738" s="1855"/>
    </row>
    <row r="739" spans="1:14" ht="19.5" thickTop="1" x14ac:dyDescent="0.3">
      <c r="A739" s="2394"/>
      <c r="B739" s="2238" t="s">
        <v>1992</v>
      </c>
      <c r="C739" s="1982"/>
      <c r="D739" s="1341"/>
      <c r="E739" s="1341"/>
      <c r="F739" s="1623" t="s">
        <v>2036</v>
      </c>
      <c r="G739" s="1341"/>
      <c r="H739" s="1341"/>
      <c r="I739" s="1341"/>
      <c r="J739" s="1341"/>
      <c r="K739" s="1341"/>
      <c r="L739" s="1341"/>
      <c r="M739" s="1342"/>
      <c r="N739" s="6"/>
    </row>
    <row r="740" spans="1:14" ht="19.5" thickBot="1" x14ac:dyDescent="0.35">
      <c r="A740" s="2409"/>
      <c r="B740" s="2416" t="s">
        <v>1989</v>
      </c>
      <c r="C740" s="1314"/>
      <c r="D740" s="1314"/>
      <c r="E740" s="1314"/>
      <c r="F740" s="2416"/>
      <c r="G740" s="1314"/>
      <c r="H740" s="1314"/>
      <c r="I740" s="1314"/>
      <c r="J740" s="1314"/>
      <c r="K740" s="1314"/>
      <c r="L740" s="1314"/>
      <c r="M740" s="1315"/>
    </row>
    <row r="741" spans="1:14" ht="74.25" thickTop="1" thickBot="1" x14ac:dyDescent="0.3">
      <c r="A741" s="2418" t="s">
        <v>218</v>
      </c>
      <c r="B741" s="2391" t="s">
        <v>1988</v>
      </c>
      <c r="C741" s="2385" t="s">
        <v>1934</v>
      </c>
      <c r="D741" s="2383" t="s">
        <v>1935</v>
      </c>
      <c r="E741" s="2386" t="s">
        <v>1936</v>
      </c>
      <c r="F741" s="2392" t="s">
        <v>1937</v>
      </c>
      <c r="G741" s="2384" t="s">
        <v>1938</v>
      </c>
      <c r="H741" s="2383" t="s">
        <v>1939</v>
      </c>
      <c r="I741" s="2385" t="s">
        <v>1940</v>
      </c>
      <c r="J741" s="2383" t="s">
        <v>1941</v>
      </c>
      <c r="K741" s="2384" t="s">
        <v>1942</v>
      </c>
      <c r="L741" s="2383" t="s">
        <v>1943</v>
      </c>
      <c r="M741" s="2386" t="s">
        <v>1944</v>
      </c>
    </row>
    <row r="742" spans="1:14" ht="15.75" thickTop="1" x14ac:dyDescent="0.25">
      <c r="A742" s="2419">
        <v>1</v>
      </c>
      <c r="B742" s="2382">
        <f t="shared" ref="B742:B773" si="243">IF(AND($C166="inher-Life",OR($B166="W",$B166="FW")),$D166,0)</f>
        <v>0</v>
      </c>
      <c r="C742" s="1892">
        <f t="shared" ref="C742:C773" si="244">IF(AND($C166="inher-Life",OR($B166="W",$B166="FW")),$G166,0)</f>
        <v>0</v>
      </c>
      <c r="D742" s="836">
        <f t="shared" ref="D742:D773" si="245">IF(AND($I166="inher-Life",OR($H166="W",$H166="FW")),$J166,0)</f>
        <v>0</v>
      </c>
      <c r="E742" s="1894">
        <f t="shared" ref="E742:E773" si="246">IF(AND($I166="inher-Life",OR($H166="W",$H166="FW")),$M166,0)</f>
        <v>0</v>
      </c>
      <c r="F742" s="2382">
        <f t="shared" ref="F742:F773" si="247">IF(AND($C166="401(k)-Roth",OR($B166="C",$B166="FC")),$D166,0)</f>
        <v>0</v>
      </c>
      <c r="G742" s="1892">
        <f t="shared" ref="G742:G773" si="248">IF(AND($C166="401(k)-Roth",OR($B166="C",$B166="FC")),$G166,0)</f>
        <v>0</v>
      </c>
      <c r="H742" s="1893">
        <f t="shared" ref="H742:H773" si="249">IF(AND($C166="401(k)-Roth",OR($B166="W",$B166="FW")),$D166,0)</f>
        <v>0</v>
      </c>
      <c r="I742" s="1583">
        <f t="shared" ref="I742:I773" si="250">IF(AND($C166="401(k)-Roth",OR($B166="W",$B166="FW")),$G166,0)</f>
        <v>0</v>
      </c>
      <c r="J742" s="836">
        <f t="shared" ref="J742:J773" si="251">IF(AND($I166="401(k)-Roth",OR($H166="C",$H166="FC")),$J166,0)</f>
        <v>0</v>
      </c>
      <c r="K742" s="1892">
        <f t="shared" ref="K742:K773" si="252">IF(AND($I166="401(k)-Roth",OR($H166="C",$H166="FC")),$M166,0)</f>
        <v>0</v>
      </c>
      <c r="L742" s="836">
        <f t="shared" ref="L742:L773" si="253">IF(AND($I166="401(k)-Roth",OR($H166="W",$H166="FW")),$J166,0)</f>
        <v>0</v>
      </c>
      <c r="M742" s="1894">
        <f t="shared" ref="M742:M773" si="254">IF(AND($I166="401(k)-Roth",OR($H166="W",$H166="FW")),$M166,0)</f>
        <v>0</v>
      </c>
    </row>
    <row r="743" spans="1:14" x14ac:dyDescent="0.25">
      <c r="A743" s="2420">
        <v>2</v>
      </c>
      <c r="B743" s="2380">
        <f t="shared" si="243"/>
        <v>0</v>
      </c>
      <c r="C743" s="837">
        <f t="shared" si="244"/>
        <v>0</v>
      </c>
      <c r="D743" s="841">
        <f t="shared" si="245"/>
        <v>0</v>
      </c>
      <c r="E743" s="1895">
        <f t="shared" si="246"/>
        <v>0</v>
      </c>
      <c r="F743" s="2380">
        <f t="shared" si="247"/>
        <v>0</v>
      </c>
      <c r="G743" s="837">
        <f t="shared" si="248"/>
        <v>0</v>
      </c>
      <c r="H743" s="840">
        <f t="shared" si="249"/>
        <v>0</v>
      </c>
      <c r="I743" s="868">
        <f t="shared" si="250"/>
        <v>0</v>
      </c>
      <c r="J743" s="841">
        <f t="shared" si="251"/>
        <v>0</v>
      </c>
      <c r="K743" s="837">
        <f t="shared" si="252"/>
        <v>0</v>
      </c>
      <c r="L743" s="841">
        <f t="shared" si="253"/>
        <v>0</v>
      </c>
      <c r="M743" s="1895">
        <f t="shared" si="254"/>
        <v>0</v>
      </c>
    </row>
    <row r="744" spans="1:14" x14ac:dyDescent="0.25">
      <c r="A744" s="2420">
        <v>3</v>
      </c>
      <c r="B744" s="2380">
        <f t="shared" si="243"/>
        <v>0</v>
      </c>
      <c r="C744" s="837">
        <f t="shared" si="244"/>
        <v>0</v>
      </c>
      <c r="D744" s="841">
        <f t="shared" si="245"/>
        <v>0</v>
      </c>
      <c r="E744" s="1895">
        <f t="shared" si="246"/>
        <v>0</v>
      </c>
      <c r="F744" s="2380">
        <f t="shared" si="247"/>
        <v>0</v>
      </c>
      <c r="G744" s="837">
        <f t="shared" si="248"/>
        <v>0</v>
      </c>
      <c r="H744" s="840">
        <f t="shared" si="249"/>
        <v>0</v>
      </c>
      <c r="I744" s="868">
        <f t="shared" si="250"/>
        <v>0</v>
      </c>
      <c r="J744" s="841">
        <f t="shared" si="251"/>
        <v>0</v>
      </c>
      <c r="K744" s="837">
        <f t="shared" si="252"/>
        <v>0</v>
      </c>
      <c r="L744" s="841">
        <f t="shared" si="253"/>
        <v>0</v>
      </c>
      <c r="M744" s="1895">
        <f t="shared" si="254"/>
        <v>0</v>
      </c>
    </row>
    <row r="745" spans="1:14" x14ac:dyDescent="0.25">
      <c r="A745" s="2420">
        <v>4</v>
      </c>
      <c r="B745" s="2380">
        <f t="shared" si="243"/>
        <v>0</v>
      </c>
      <c r="C745" s="837">
        <f t="shared" si="244"/>
        <v>0</v>
      </c>
      <c r="D745" s="841">
        <f t="shared" si="245"/>
        <v>0</v>
      </c>
      <c r="E745" s="1895">
        <f t="shared" si="246"/>
        <v>0</v>
      </c>
      <c r="F745" s="2380">
        <f t="shared" si="247"/>
        <v>0</v>
      </c>
      <c r="G745" s="837">
        <f t="shared" si="248"/>
        <v>0</v>
      </c>
      <c r="H745" s="840">
        <f t="shared" si="249"/>
        <v>0</v>
      </c>
      <c r="I745" s="868">
        <f t="shared" si="250"/>
        <v>0</v>
      </c>
      <c r="J745" s="841">
        <f t="shared" si="251"/>
        <v>0</v>
      </c>
      <c r="K745" s="837">
        <f t="shared" si="252"/>
        <v>0</v>
      </c>
      <c r="L745" s="841">
        <f t="shared" si="253"/>
        <v>0</v>
      </c>
      <c r="M745" s="1895">
        <f t="shared" si="254"/>
        <v>0</v>
      </c>
    </row>
    <row r="746" spans="1:14" x14ac:dyDescent="0.25">
      <c r="A746" s="2420">
        <v>5</v>
      </c>
      <c r="B746" s="2380">
        <f t="shared" si="243"/>
        <v>0</v>
      </c>
      <c r="C746" s="837">
        <f t="shared" si="244"/>
        <v>0</v>
      </c>
      <c r="D746" s="841">
        <f t="shared" si="245"/>
        <v>0</v>
      </c>
      <c r="E746" s="1895">
        <f t="shared" si="246"/>
        <v>0</v>
      </c>
      <c r="F746" s="2380">
        <f t="shared" si="247"/>
        <v>0</v>
      </c>
      <c r="G746" s="837">
        <f t="shared" si="248"/>
        <v>0</v>
      </c>
      <c r="H746" s="840">
        <f t="shared" si="249"/>
        <v>0</v>
      </c>
      <c r="I746" s="868">
        <f t="shared" si="250"/>
        <v>0</v>
      </c>
      <c r="J746" s="841">
        <f t="shared" si="251"/>
        <v>0</v>
      </c>
      <c r="K746" s="837">
        <f t="shared" si="252"/>
        <v>0</v>
      </c>
      <c r="L746" s="841">
        <f t="shared" si="253"/>
        <v>0</v>
      </c>
      <c r="M746" s="1895">
        <f t="shared" si="254"/>
        <v>0</v>
      </c>
    </row>
    <row r="747" spans="1:14" x14ac:dyDescent="0.25">
      <c r="A747" s="2420">
        <v>6</v>
      </c>
      <c r="B747" s="2380">
        <f t="shared" si="243"/>
        <v>0</v>
      </c>
      <c r="C747" s="837">
        <f t="shared" si="244"/>
        <v>0</v>
      </c>
      <c r="D747" s="841">
        <f t="shared" si="245"/>
        <v>0</v>
      </c>
      <c r="E747" s="1895">
        <f t="shared" si="246"/>
        <v>0</v>
      </c>
      <c r="F747" s="2380">
        <f t="shared" si="247"/>
        <v>0</v>
      </c>
      <c r="G747" s="837">
        <f t="shared" si="248"/>
        <v>0</v>
      </c>
      <c r="H747" s="840">
        <f t="shared" si="249"/>
        <v>0</v>
      </c>
      <c r="I747" s="868">
        <f t="shared" si="250"/>
        <v>0</v>
      </c>
      <c r="J747" s="841">
        <f t="shared" si="251"/>
        <v>0</v>
      </c>
      <c r="K747" s="837">
        <f t="shared" si="252"/>
        <v>0</v>
      </c>
      <c r="L747" s="841">
        <f t="shared" si="253"/>
        <v>0</v>
      </c>
      <c r="M747" s="1895">
        <f t="shared" si="254"/>
        <v>0</v>
      </c>
    </row>
    <row r="748" spans="1:14" s="861" customFormat="1" ht="12" x14ac:dyDescent="0.2">
      <c r="A748" s="2420">
        <v>7</v>
      </c>
      <c r="B748" s="2380">
        <f t="shared" si="243"/>
        <v>0</v>
      </c>
      <c r="C748" s="837">
        <f t="shared" si="244"/>
        <v>0</v>
      </c>
      <c r="D748" s="841">
        <f t="shared" si="245"/>
        <v>0</v>
      </c>
      <c r="E748" s="1895">
        <f t="shared" si="246"/>
        <v>0</v>
      </c>
      <c r="F748" s="2380">
        <f t="shared" si="247"/>
        <v>0</v>
      </c>
      <c r="G748" s="837">
        <f t="shared" si="248"/>
        <v>0</v>
      </c>
      <c r="H748" s="840">
        <f t="shared" si="249"/>
        <v>0</v>
      </c>
      <c r="I748" s="868">
        <f t="shared" si="250"/>
        <v>0</v>
      </c>
      <c r="J748" s="841">
        <f t="shared" si="251"/>
        <v>0</v>
      </c>
      <c r="K748" s="837">
        <f t="shared" si="252"/>
        <v>0</v>
      </c>
      <c r="L748" s="841">
        <f t="shared" si="253"/>
        <v>0</v>
      </c>
      <c r="M748" s="1895">
        <f t="shared" si="254"/>
        <v>0</v>
      </c>
    </row>
    <row r="749" spans="1:14" s="861" customFormat="1" ht="12" x14ac:dyDescent="0.2">
      <c r="A749" s="2420">
        <v>8</v>
      </c>
      <c r="B749" s="2380">
        <f t="shared" si="243"/>
        <v>0</v>
      </c>
      <c r="C749" s="837">
        <f t="shared" si="244"/>
        <v>0</v>
      </c>
      <c r="D749" s="841">
        <f t="shared" si="245"/>
        <v>0</v>
      </c>
      <c r="E749" s="1895">
        <f t="shared" si="246"/>
        <v>0</v>
      </c>
      <c r="F749" s="2380">
        <f t="shared" si="247"/>
        <v>0</v>
      </c>
      <c r="G749" s="837">
        <f t="shared" si="248"/>
        <v>0</v>
      </c>
      <c r="H749" s="840">
        <f t="shared" si="249"/>
        <v>0</v>
      </c>
      <c r="I749" s="868">
        <f t="shared" si="250"/>
        <v>0</v>
      </c>
      <c r="J749" s="841">
        <f t="shared" si="251"/>
        <v>0</v>
      </c>
      <c r="K749" s="837">
        <f t="shared" si="252"/>
        <v>0</v>
      </c>
      <c r="L749" s="841">
        <f t="shared" si="253"/>
        <v>0</v>
      </c>
      <c r="M749" s="1895">
        <f t="shared" si="254"/>
        <v>0</v>
      </c>
    </row>
    <row r="750" spans="1:14" s="861" customFormat="1" ht="12" x14ac:dyDescent="0.2">
      <c r="A750" s="2420">
        <v>9</v>
      </c>
      <c r="B750" s="2380">
        <f t="shared" si="243"/>
        <v>0</v>
      </c>
      <c r="C750" s="837">
        <f t="shared" si="244"/>
        <v>0</v>
      </c>
      <c r="D750" s="841">
        <f t="shared" si="245"/>
        <v>0</v>
      </c>
      <c r="E750" s="1895">
        <f t="shared" si="246"/>
        <v>0</v>
      </c>
      <c r="F750" s="2380">
        <f t="shared" si="247"/>
        <v>0</v>
      </c>
      <c r="G750" s="837">
        <f t="shared" si="248"/>
        <v>0</v>
      </c>
      <c r="H750" s="840">
        <f t="shared" si="249"/>
        <v>0</v>
      </c>
      <c r="I750" s="868">
        <f t="shared" si="250"/>
        <v>0</v>
      </c>
      <c r="J750" s="841">
        <f t="shared" si="251"/>
        <v>0</v>
      </c>
      <c r="K750" s="837">
        <f t="shared" si="252"/>
        <v>0</v>
      </c>
      <c r="L750" s="841">
        <f t="shared" si="253"/>
        <v>0</v>
      </c>
      <c r="M750" s="1895">
        <f t="shared" si="254"/>
        <v>0</v>
      </c>
    </row>
    <row r="751" spans="1:14" x14ac:dyDescent="0.25">
      <c r="A751" s="2420">
        <v>10</v>
      </c>
      <c r="B751" s="2380">
        <f t="shared" si="243"/>
        <v>0</v>
      </c>
      <c r="C751" s="837">
        <f t="shared" si="244"/>
        <v>0</v>
      </c>
      <c r="D751" s="841">
        <f t="shared" si="245"/>
        <v>0</v>
      </c>
      <c r="E751" s="1895">
        <f t="shared" si="246"/>
        <v>0</v>
      </c>
      <c r="F751" s="2380">
        <f t="shared" si="247"/>
        <v>0</v>
      </c>
      <c r="G751" s="837">
        <f t="shared" si="248"/>
        <v>0</v>
      </c>
      <c r="H751" s="840">
        <f t="shared" si="249"/>
        <v>0</v>
      </c>
      <c r="I751" s="868">
        <f t="shared" si="250"/>
        <v>0</v>
      </c>
      <c r="J751" s="841">
        <f t="shared" si="251"/>
        <v>0</v>
      </c>
      <c r="K751" s="837">
        <f t="shared" si="252"/>
        <v>0</v>
      </c>
      <c r="L751" s="841">
        <f t="shared" si="253"/>
        <v>0</v>
      </c>
      <c r="M751" s="1895">
        <f t="shared" si="254"/>
        <v>0</v>
      </c>
    </row>
    <row r="752" spans="1:14" x14ac:dyDescent="0.25">
      <c r="A752" s="2420">
        <v>11</v>
      </c>
      <c r="B752" s="2380">
        <f t="shared" si="243"/>
        <v>0</v>
      </c>
      <c r="C752" s="837">
        <f t="shared" si="244"/>
        <v>0</v>
      </c>
      <c r="D752" s="841">
        <f t="shared" si="245"/>
        <v>0</v>
      </c>
      <c r="E752" s="1895">
        <f t="shared" si="246"/>
        <v>0</v>
      </c>
      <c r="F752" s="2380">
        <f t="shared" si="247"/>
        <v>0</v>
      </c>
      <c r="G752" s="837">
        <f t="shared" si="248"/>
        <v>0</v>
      </c>
      <c r="H752" s="840">
        <f t="shared" si="249"/>
        <v>0</v>
      </c>
      <c r="I752" s="868">
        <f t="shared" si="250"/>
        <v>0</v>
      </c>
      <c r="J752" s="841">
        <f t="shared" si="251"/>
        <v>0</v>
      </c>
      <c r="K752" s="837">
        <f t="shared" si="252"/>
        <v>0</v>
      </c>
      <c r="L752" s="841">
        <f t="shared" si="253"/>
        <v>0</v>
      </c>
      <c r="M752" s="1895">
        <f t="shared" si="254"/>
        <v>0</v>
      </c>
    </row>
    <row r="753" spans="1:13" x14ac:dyDescent="0.25">
      <c r="A753" s="2420">
        <v>12</v>
      </c>
      <c r="B753" s="2380">
        <f t="shared" si="243"/>
        <v>0</v>
      </c>
      <c r="C753" s="837">
        <f t="shared" si="244"/>
        <v>0</v>
      </c>
      <c r="D753" s="841">
        <f t="shared" si="245"/>
        <v>0</v>
      </c>
      <c r="E753" s="1895">
        <f t="shared" si="246"/>
        <v>0</v>
      </c>
      <c r="F753" s="2380">
        <f t="shared" si="247"/>
        <v>0</v>
      </c>
      <c r="G753" s="837">
        <f t="shared" si="248"/>
        <v>0</v>
      </c>
      <c r="H753" s="840">
        <f t="shared" si="249"/>
        <v>0</v>
      </c>
      <c r="I753" s="868">
        <f t="shared" si="250"/>
        <v>0</v>
      </c>
      <c r="J753" s="841">
        <f t="shared" si="251"/>
        <v>0</v>
      </c>
      <c r="K753" s="837">
        <f t="shared" si="252"/>
        <v>0</v>
      </c>
      <c r="L753" s="841">
        <f t="shared" si="253"/>
        <v>0</v>
      </c>
      <c r="M753" s="1895">
        <f t="shared" si="254"/>
        <v>0</v>
      </c>
    </row>
    <row r="754" spans="1:13" x14ac:dyDescent="0.25">
      <c r="A754" s="2420">
        <v>13</v>
      </c>
      <c r="B754" s="2380">
        <f t="shared" si="243"/>
        <v>0</v>
      </c>
      <c r="C754" s="837">
        <f t="shared" si="244"/>
        <v>0</v>
      </c>
      <c r="D754" s="841">
        <f t="shared" si="245"/>
        <v>0</v>
      </c>
      <c r="E754" s="1895">
        <f t="shared" si="246"/>
        <v>0</v>
      </c>
      <c r="F754" s="2380">
        <f t="shared" si="247"/>
        <v>0</v>
      </c>
      <c r="G754" s="837">
        <f t="shared" si="248"/>
        <v>0</v>
      </c>
      <c r="H754" s="840">
        <f t="shared" si="249"/>
        <v>0</v>
      </c>
      <c r="I754" s="868">
        <f t="shared" si="250"/>
        <v>0</v>
      </c>
      <c r="J754" s="841">
        <f t="shared" si="251"/>
        <v>0</v>
      </c>
      <c r="K754" s="837">
        <f t="shared" si="252"/>
        <v>0</v>
      </c>
      <c r="L754" s="841">
        <f t="shared" si="253"/>
        <v>0</v>
      </c>
      <c r="M754" s="1895">
        <f t="shared" si="254"/>
        <v>0</v>
      </c>
    </row>
    <row r="755" spans="1:13" x14ac:dyDescent="0.25">
      <c r="A755" s="2420">
        <v>14</v>
      </c>
      <c r="B755" s="2380">
        <f t="shared" si="243"/>
        <v>0</v>
      </c>
      <c r="C755" s="837">
        <f t="shared" si="244"/>
        <v>0</v>
      </c>
      <c r="D755" s="841">
        <f t="shared" si="245"/>
        <v>0</v>
      </c>
      <c r="E755" s="1895">
        <f t="shared" si="246"/>
        <v>0</v>
      </c>
      <c r="F755" s="2380">
        <f t="shared" si="247"/>
        <v>0</v>
      </c>
      <c r="G755" s="837">
        <f t="shared" si="248"/>
        <v>0</v>
      </c>
      <c r="H755" s="840">
        <f t="shared" si="249"/>
        <v>0</v>
      </c>
      <c r="I755" s="868">
        <f t="shared" si="250"/>
        <v>0</v>
      </c>
      <c r="J755" s="841">
        <f t="shared" si="251"/>
        <v>0</v>
      </c>
      <c r="K755" s="837">
        <f t="shared" si="252"/>
        <v>0</v>
      </c>
      <c r="L755" s="841">
        <f t="shared" si="253"/>
        <v>0</v>
      </c>
      <c r="M755" s="1895">
        <f t="shared" si="254"/>
        <v>0</v>
      </c>
    </row>
    <row r="756" spans="1:13" x14ac:dyDescent="0.25">
      <c r="A756" s="2420">
        <v>15</v>
      </c>
      <c r="B756" s="2380">
        <f t="shared" si="243"/>
        <v>0</v>
      </c>
      <c r="C756" s="837">
        <f t="shared" si="244"/>
        <v>0</v>
      </c>
      <c r="D756" s="841">
        <f t="shared" si="245"/>
        <v>0</v>
      </c>
      <c r="E756" s="1895">
        <f t="shared" si="246"/>
        <v>0</v>
      </c>
      <c r="F756" s="2380">
        <f t="shared" si="247"/>
        <v>0</v>
      </c>
      <c r="G756" s="837">
        <f t="shared" si="248"/>
        <v>0</v>
      </c>
      <c r="H756" s="840">
        <f t="shared" si="249"/>
        <v>0</v>
      </c>
      <c r="I756" s="868">
        <f t="shared" si="250"/>
        <v>0</v>
      </c>
      <c r="J756" s="841">
        <f t="shared" si="251"/>
        <v>0</v>
      </c>
      <c r="K756" s="837">
        <f t="shared" si="252"/>
        <v>0</v>
      </c>
      <c r="L756" s="841">
        <f t="shared" si="253"/>
        <v>0</v>
      </c>
      <c r="M756" s="1895">
        <f t="shared" si="254"/>
        <v>0</v>
      </c>
    </row>
    <row r="757" spans="1:13" x14ac:dyDescent="0.25">
      <c r="A757" s="2420">
        <v>16</v>
      </c>
      <c r="B757" s="2380">
        <f t="shared" si="243"/>
        <v>0</v>
      </c>
      <c r="C757" s="837">
        <f t="shared" si="244"/>
        <v>0</v>
      </c>
      <c r="D757" s="841">
        <f t="shared" si="245"/>
        <v>0</v>
      </c>
      <c r="E757" s="1895">
        <f t="shared" si="246"/>
        <v>0</v>
      </c>
      <c r="F757" s="2380">
        <f t="shared" si="247"/>
        <v>0</v>
      </c>
      <c r="G757" s="837">
        <f t="shared" si="248"/>
        <v>0</v>
      </c>
      <c r="H757" s="840">
        <f t="shared" si="249"/>
        <v>0</v>
      </c>
      <c r="I757" s="868">
        <f t="shared" si="250"/>
        <v>0</v>
      </c>
      <c r="J757" s="841">
        <f t="shared" si="251"/>
        <v>0</v>
      </c>
      <c r="K757" s="837">
        <f t="shared" si="252"/>
        <v>0</v>
      </c>
      <c r="L757" s="841">
        <f t="shared" si="253"/>
        <v>0</v>
      </c>
      <c r="M757" s="1895">
        <f t="shared" si="254"/>
        <v>0</v>
      </c>
    </row>
    <row r="758" spans="1:13" x14ac:dyDescent="0.25">
      <c r="A758" s="2420">
        <v>17</v>
      </c>
      <c r="B758" s="2380">
        <f t="shared" si="243"/>
        <v>0</v>
      </c>
      <c r="C758" s="837">
        <f t="shared" si="244"/>
        <v>0</v>
      </c>
      <c r="D758" s="841">
        <f t="shared" si="245"/>
        <v>0</v>
      </c>
      <c r="E758" s="1895">
        <f t="shared" si="246"/>
        <v>0</v>
      </c>
      <c r="F758" s="2380">
        <f t="shared" si="247"/>
        <v>0</v>
      </c>
      <c r="G758" s="837">
        <f t="shared" si="248"/>
        <v>0</v>
      </c>
      <c r="H758" s="840">
        <f t="shared" si="249"/>
        <v>0</v>
      </c>
      <c r="I758" s="868">
        <f t="shared" si="250"/>
        <v>0</v>
      </c>
      <c r="J758" s="841">
        <f t="shared" si="251"/>
        <v>0</v>
      </c>
      <c r="K758" s="837">
        <f t="shared" si="252"/>
        <v>0</v>
      </c>
      <c r="L758" s="841">
        <f t="shared" si="253"/>
        <v>0</v>
      </c>
      <c r="M758" s="1895">
        <f t="shared" si="254"/>
        <v>0</v>
      </c>
    </row>
    <row r="759" spans="1:13" x14ac:dyDescent="0.25">
      <c r="A759" s="2420">
        <v>18</v>
      </c>
      <c r="B759" s="2380">
        <f t="shared" si="243"/>
        <v>0</v>
      </c>
      <c r="C759" s="837">
        <f t="shared" si="244"/>
        <v>0</v>
      </c>
      <c r="D759" s="841">
        <f t="shared" si="245"/>
        <v>0</v>
      </c>
      <c r="E759" s="1895">
        <f t="shared" si="246"/>
        <v>0</v>
      </c>
      <c r="F759" s="2380">
        <f t="shared" si="247"/>
        <v>0</v>
      </c>
      <c r="G759" s="837">
        <f t="shared" si="248"/>
        <v>0</v>
      </c>
      <c r="H759" s="840">
        <f t="shared" si="249"/>
        <v>0</v>
      </c>
      <c r="I759" s="868">
        <f t="shared" si="250"/>
        <v>0</v>
      </c>
      <c r="J759" s="841">
        <f t="shared" si="251"/>
        <v>0</v>
      </c>
      <c r="K759" s="837">
        <f t="shared" si="252"/>
        <v>0</v>
      </c>
      <c r="L759" s="841">
        <f t="shared" si="253"/>
        <v>0</v>
      </c>
      <c r="M759" s="1895">
        <f t="shared" si="254"/>
        <v>0</v>
      </c>
    </row>
    <row r="760" spans="1:13" x14ac:dyDescent="0.25">
      <c r="A760" s="2420">
        <v>19</v>
      </c>
      <c r="B760" s="2380">
        <f t="shared" si="243"/>
        <v>0</v>
      </c>
      <c r="C760" s="837">
        <f t="shared" si="244"/>
        <v>0</v>
      </c>
      <c r="D760" s="841">
        <f t="shared" si="245"/>
        <v>0</v>
      </c>
      <c r="E760" s="1895">
        <f t="shared" si="246"/>
        <v>0</v>
      </c>
      <c r="F760" s="2380">
        <f t="shared" si="247"/>
        <v>0</v>
      </c>
      <c r="G760" s="837">
        <f t="shared" si="248"/>
        <v>0</v>
      </c>
      <c r="H760" s="840">
        <f t="shared" si="249"/>
        <v>0</v>
      </c>
      <c r="I760" s="868">
        <f t="shared" si="250"/>
        <v>0</v>
      </c>
      <c r="J760" s="841">
        <f t="shared" si="251"/>
        <v>0</v>
      </c>
      <c r="K760" s="837">
        <f t="shared" si="252"/>
        <v>0</v>
      </c>
      <c r="L760" s="841">
        <f t="shared" si="253"/>
        <v>0</v>
      </c>
      <c r="M760" s="1895">
        <f t="shared" si="254"/>
        <v>0</v>
      </c>
    </row>
    <row r="761" spans="1:13" x14ac:dyDescent="0.25">
      <c r="A761" s="2420">
        <v>20</v>
      </c>
      <c r="B761" s="2380">
        <f t="shared" si="243"/>
        <v>0</v>
      </c>
      <c r="C761" s="837">
        <f t="shared" si="244"/>
        <v>0</v>
      </c>
      <c r="D761" s="841">
        <f t="shared" si="245"/>
        <v>0</v>
      </c>
      <c r="E761" s="1895">
        <f t="shared" si="246"/>
        <v>0</v>
      </c>
      <c r="F761" s="2380">
        <f t="shared" si="247"/>
        <v>0</v>
      </c>
      <c r="G761" s="837">
        <f t="shared" si="248"/>
        <v>0</v>
      </c>
      <c r="H761" s="840">
        <f t="shared" si="249"/>
        <v>0</v>
      </c>
      <c r="I761" s="868">
        <f t="shared" si="250"/>
        <v>0</v>
      </c>
      <c r="J761" s="841">
        <f t="shared" si="251"/>
        <v>0</v>
      </c>
      <c r="K761" s="837">
        <f t="shared" si="252"/>
        <v>0</v>
      </c>
      <c r="L761" s="841">
        <f t="shared" si="253"/>
        <v>0</v>
      </c>
      <c r="M761" s="1895">
        <f t="shared" si="254"/>
        <v>0</v>
      </c>
    </row>
    <row r="762" spans="1:13" x14ac:dyDescent="0.25">
      <c r="A762" s="2420">
        <v>21</v>
      </c>
      <c r="B762" s="2380">
        <f t="shared" si="243"/>
        <v>0</v>
      </c>
      <c r="C762" s="837">
        <f t="shared" si="244"/>
        <v>0</v>
      </c>
      <c r="D762" s="841">
        <f t="shared" si="245"/>
        <v>0</v>
      </c>
      <c r="E762" s="1895">
        <f t="shared" si="246"/>
        <v>0</v>
      </c>
      <c r="F762" s="2380">
        <f t="shared" si="247"/>
        <v>0</v>
      </c>
      <c r="G762" s="837">
        <f t="shared" si="248"/>
        <v>0</v>
      </c>
      <c r="H762" s="840">
        <f t="shared" si="249"/>
        <v>0</v>
      </c>
      <c r="I762" s="868">
        <f t="shared" si="250"/>
        <v>0</v>
      </c>
      <c r="J762" s="841">
        <f t="shared" si="251"/>
        <v>0</v>
      </c>
      <c r="K762" s="837">
        <f t="shared" si="252"/>
        <v>0</v>
      </c>
      <c r="L762" s="841">
        <f t="shared" si="253"/>
        <v>0</v>
      </c>
      <c r="M762" s="1895">
        <f t="shared" si="254"/>
        <v>0</v>
      </c>
    </row>
    <row r="763" spans="1:13" x14ac:dyDescent="0.25">
      <c r="A763" s="2420">
        <v>22</v>
      </c>
      <c r="B763" s="2380">
        <f t="shared" si="243"/>
        <v>0</v>
      </c>
      <c r="C763" s="837">
        <f t="shared" si="244"/>
        <v>0</v>
      </c>
      <c r="D763" s="841">
        <f t="shared" si="245"/>
        <v>0</v>
      </c>
      <c r="E763" s="1895">
        <f t="shared" si="246"/>
        <v>0</v>
      </c>
      <c r="F763" s="2380">
        <f t="shared" si="247"/>
        <v>0</v>
      </c>
      <c r="G763" s="837">
        <f t="shared" si="248"/>
        <v>0</v>
      </c>
      <c r="H763" s="840">
        <f t="shared" si="249"/>
        <v>0</v>
      </c>
      <c r="I763" s="868">
        <f t="shared" si="250"/>
        <v>0</v>
      </c>
      <c r="J763" s="841">
        <f t="shared" si="251"/>
        <v>0</v>
      </c>
      <c r="K763" s="837">
        <f t="shared" si="252"/>
        <v>0</v>
      </c>
      <c r="L763" s="841">
        <f t="shared" si="253"/>
        <v>0</v>
      </c>
      <c r="M763" s="1895">
        <f t="shared" si="254"/>
        <v>0</v>
      </c>
    </row>
    <row r="764" spans="1:13" x14ac:dyDescent="0.25">
      <c r="A764" s="2420">
        <v>23</v>
      </c>
      <c r="B764" s="2380">
        <f t="shared" si="243"/>
        <v>0</v>
      </c>
      <c r="C764" s="837">
        <f t="shared" si="244"/>
        <v>0</v>
      </c>
      <c r="D764" s="841">
        <f t="shared" si="245"/>
        <v>0</v>
      </c>
      <c r="E764" s="1895">
        <f t="shared" si="246"/>
        <v>0</v>
      </c>
      <c r="F764" s="2380">
        <f t="shared" si="247"/>
        <v>0</v>
      </c>
      <c r="G764" s="837">
        <f t="shared" si="248"/>
        <v>0</v>
      </c>
      <c r="H764" s="840">
        <f t="shared" si="249"/>
        <v>0</v>
      </c>
      <c r="I764" s="868">
        <f t="shared" si="250"/>
        <v>0</v>
      </c>
      <c r="J764" s="841">
        <f t="shared" si="251"/>
        <v>0</v>
      </c>
      <c r="K764" s="837">
        <f t="shared" si="252"/>
        <v>0</v>
      </c>
      <c r="L764" s="841">
        <f t="shared" si="253"/>
        <v>0</v>
      </c>
      <c r="M764" s="1895">
        <f t="shared" si="254"/>
        <v>0</v>
      </c>
    </row>
    <row r="765" spans="1:13" x14ac:dyDescent="0.25">
      <c r="A765" s="2420">
        <v>24</v>
      </c>
      <c r="B765" s="2380">
        <f t="shared" si="243"/>
        <v>0</v>
      </c>
      <c r="C765" s="837">
        <f t="shared" si="244"/>
        <v>0</v>
      </c>
      <c r="D765" s="841">
        <f t="shared" si="245"/>
        <v>0</v>
      </c>
      <c r="E765" s="1895">
        <f t="shared" si="246"/>
        <v>0</v>
      </c>
      <c r="F765" s="2380">
        <f t="shared" si="247"/>
        <v>0</v>
      </c>
      <c r="G765" s="837">
        <f t="shared" si="248"/>
        <v>0</v>
      </c>
      <c r="H765" s="840">
        <f t="shared" si="249"/>
        <v>0</v>
      </c>
      <c r="I765" s="868">
        <f t="shared" si="250"/>
        <v>0</v>
      </c>
      <c r="J765" s="841">
        <f t="shared" si="251"/>
        <v>0</v>
      </c>
      <c r="K765" s="837">
        <f t="shared" si="252"/>
        <v>0</v>
      </c>
      <c r="L765" s="841">
        <f t="shared" si="253"/>
        <v>0</v>
      </c>
      <c r="M765" s="1895">
        <f t="shared" si="254"/>
        <v>0</v>
      </c>
    </row>
    <row r="766" spans="1:13" x14ac:dyDescent="0.25">
      <c r="A766" s="2420">
        <v>25</v>
      </c>
      <c r="B766" s="2380">
        <f t="shared" si="243"/>
        <v>0</v>
      </c>
      <c r="C766" s="837">
        <f t="shared" si="244"/>
        <v>0</v>
      </c>
      <c r="D766" s="841">
        <f t="shared" si="245"/>
        <v>0</v>
      </c>
      <c r="E766" s="1895">
        <f t="shared" si="246"/>
        <v>0</v>
      </c>
      <c r="F766" s="2380">
        <f t="shared" si="247"/>
        <v>0</v>
      </c>
      <c r="G766" s="837">
        <f t="shared" si="248"/>
        <v>0</v>
      </c>
      <c r="H766" s="840">
        <f t="shared" si="249"/>
        <v>0</v>
      </c>
      <c r="I766" s="868">
        <f t="shared" si="250"/>
        <v>0</v>
      </c>
      <c r="J766" s="841">
        <f t="shared" si="251"/>
        <v>0</v>
      </c>
      <c r="K766" s="837">
        <f t="shared" si="252"/>
        <v>0</v>
      </c>
      <c r="L766" s="841">
        <f t="shared" si="253"/>
        <v>0</v>
      </c>
      <c r="M766" s="1895">
        <f t="shared" si="254"/>
        <v>0</v>
      </c>
    </row>
    <row r="767" spans="1:13" x14ac:dyDescent="0.25">
      <c r="A767" s="2420">
        <v>26</v>
      </c>
      <c r="B767" s="2380">
        <f t="shared" si="243"/>
        <v>0</v>
      </c>
      <c r="C767" s="837">
        <f t="shared" si="244"/>
        <v>0</v>
      </c>
      <c r="D767" s="841">
        <f t="shared" si="245"/>
        <v>0</v>
      </c>
      <c r="E767" s="1895">
        <f t="shared" si="246"/>
        <v>0</v>
      </c>
      <c r="F767" s="2380">
        <f t="shared" si="247"/>
        <v>0</v>
      </c>
      <c r="G767" s="837">
        <f t="shared" si="248"/>
        <v>0</v>
      </c>
      <c r="H767" s="840">
        <f t="shared" si="249"/>
        <v>0</v>
      </c>
      <c r="I767" s="868">
        <f t="shared" si="250"/>
        <v>0</v>
      </c>
      <c r="J767" s="841">
        <f t="shared" si="251"/>
        <v>0</v>
      </c>
      <c r="K767" s="837">
        <f t="shared" si="252"/>
        <v>0</v>
      </c>
      <c r="L767" s="841">
        <f t="shared" si="253"/>
        <v>0</v>
      </c>
      <c r="M767" s="1895">
        <f t="shared" si="254"/>
        <v>0</v>
      </c>
    </row>
    <row r="768" spans="1:13" x14ac:dyDescent="0.25">
      <c r="A768" s="2420">
        <v>27</v>
      </c>
      <c r="B768" s="2380">
        <f t="shared" si="243"/>
        <v>0</v>
      </c>
      <c r="C768" s="837">
        <f t="shared" si="244"/>
        <v>0</v>
      </c>
      <c r="D768" s="841">
        <f t="shared" si="245"/>
        <v>0</v>
      </c>
      <c r="E768" s="1895">
        <f t="shared" si="246"/>
        <v>0</v>
      </c>
      <c r="F768" s="2380">
        <f t="shared" si="247"/>
        <v>0</v>
      </c>
      <c r="G768" s="837">
        <f t="shared" si="248"/>
        <v>0</v>
      </c>
      <c r="H768" s="840">
        <f t="shared" si="249"/>
        <v>0</v>
      </c>
      <c r="I768" s="868">
        <f t="shared" si="250"/>
        <v>0</v>
      </c>
      <c r="J768" s="841">
        <f t="shared" si="251"/>
        <v>0</v>
      </c>
      <c r="K768" s="837">
        <f t="shared" si="252"/>
        <v>0</v>
      </c>
      <c r="L768" s="841">
        <f t="shared" si="253"/>
        <v>0</v>
      </c>
      <c r="M768" s="1895">
        <f t="shared" si="254"/>
        <v>0</v>
      </c>
    </row>
    <row r="769" spans="1:13" x14ac:dyDescent="0.25">
      <c r="A769" s="2420">
        <v>28</v>
      </c>
      <c r="B769" s="2380">
        <f t="shared" si="243"/>
        <v>0</v>
      </c>
      <c r="C769" s="837">
        <f t="shared" si="244"/>
        <v>0</v>
      </c>
      <c r="D769" s="841">
        <f t="shared" si="245"/>
        <v>0</v>
      </c>
      <c r="E769" s="1895">
        <f t="shared" si="246"/>
        <v>0</v>
      </c>
      <c r="F769" s="2380">
        <f t="shared" si="247"/>
        <v>0</v>
      </c>
      <c r="G769" s="837">
        <f t="shared" si="248"/>
        <v>0</v>
      </c>
      <c r="H769" s="840">
        <f t="shared" si="249"/>
        <v>0</v>
      </c>
      <c r="I769" s="868">
        <f t="shared" si="250"/>
        <v>0</v>
      </c>
      <c r="J769" s="841">
        <f t="shared" si="251"/>
        <v>0</v>
      </c>
      <c r="K769" s="837">
        <f t="shared" si="252"/>
        <v>0</v>
      </c>
      <c r="L769" s="841">
        <f t="shared" si="253"/>
        <v>0</v>
      </c>
      <c r="M769" s="1895">
        <f t="shared" si="254"/>
        <v>0</v>
      </c>
    </row>
    <row r="770" spans="1:13" x14ac:dyDescent="0.25">
      <c r="A770" s="2420">
        <v>29</v>
      </c>
      <c r="B770" s="2380">
        <f t="shared" si="243"/>
        <v>0</v>
      </c>
      <c r="C770" s="837">
        <f t="shared" si="244"/>
        <v>0</v>
      </c>
      <c r="D770" s="841">
        <f t="shared" si="245"/>
        <v>0</v>
      </c>
      <c r="E770" s="1895">
        <f t="shared" si="246"/>
        <v>0</v>
      </c>
      <c r="F770" s="2380">
        <f t="shared" si="247"/>
        <v>0</v>
      </c>
      <c r="G770" s="837">
        <f t="shared" si="248"/>
        <v>0</v>
      </c>
      <c r="H770" s="840">
        <f t="shared" si="249"/>
        <v>0</v>
      </c>
      <c r="I770" s="868">
        <f t="shared" si="250"/>
        <v>0</v>
      </c>
      <c r="J770" s="841">
        <f t="shared" si="251"/>
        <v>0</v>
      </c>
      <c r="K770" s="837">
        <f t="shared" si="252"/>
        <v>0</v>
      </c>
      <c r="L770" s="841">
        <f t="shared" si="253"/>
        <v>0</v>
      </c>
      <c r="M770" s="1895">
        <f t="shared" si="254"/>
        <v>0</v>
      </c>
    </row>
    <row r="771" spans="1:13" x14ac:dyDescent="0.25">
      <c r="A771" s="2420">
        <v>30</v>
      </c>
      <c r="B771" s="2380">
        <f t="shared" si="243"/>
        <v>0</v>
      </c>
      <c r="C771" s="837">
        <f t="shared" si="244"/>
        <v>0</v>
      </c>
      <c r="D771" s="841">
        <f t="shared" si="245"/>
        <v>0</v>
      </c>
      <c r="E771" s="1895">
        <f t="shared" si="246"/>
        <v>0</v>
      </c>
      <c r="F771" s="2380">
        <f t="shared" si="247"/>
        <v>0</v>
      </c>
      <c r="G771" s="837">
        <f t="shared" si="248"/>
        <v>0</v>
      </c>
      <c r="H771" s="840">
        <f t="shared" si="249"/>
        <v>0</v>
      </c>
      <c r="I771" s="868">
        <f t="shared" si="250"/>
        <v>0</v>
      </c>
      <c r="J771" s="841">
        <f t="shared" si="251"/>
        <v>0</v>
      </c>
      <c r="K771" s="837">
        <f t="shared" si="252"/>
        <v>0</v>
      </c>
      <c r="L771" s="841">
        <f t="shared" si="253"/>
        <v>0</v>
      </c>
      <c r="M771" s="1895">
        <f t="shared" si="254"/>
        <v>0</v>
      </c>
    </row>
    <row r="772" spans="1:13" x14ac:dyDescent="0.25">
      <c r="A772" s="2420">
        <v>31</v>
      </c>
      <c r="B772" s="2380">
        <f t="shared" si="243"/>
        <v>0</v>
      </c>
      <c r="C772" s="837">
        <f t="shared" si="244"/>
        <v>0</v>
      </c>
      <c r="D772" s="841">
        <f t="shared" si="245"/>
        <v>0</v>
      </c>
      <c r="E772" s="1895">
        <f t="shared" si="246"/>
        <v>0</v>
      </c>
      <c r="F772" s="2380">
        <f t="shared" si="247"/>
        <v>0</v>
      </c>
      <c r="G772" s="837">
        <f t="shared" si="248"/>
        <v>0</v>
      </c>
      <c r="H772" s="840">
        <f t="shared" si="249"/>
        <v>0</v>
      </c>
      <c r="I772" s="868">
        <f t="shared" si="250"/>
        <v>0</v>
      </c>
      <c r="J772" s="841">
        <f t="shared" si="251"/>
        <v>0</v>
      </c>
      <c r="K772" s="837">
        <f t="shared" si="252"/>
        <v>0</v>
      </c>
      <c r="L772" s="841">
        <f t="shared" si="253"/>
        <v>0</v>
      </c>
      <c r="M772" s="1895">
        <f t="shared" si="254"/>
        <v>0</v>
      </c>
    </row>
    <row r="773" spans="1:13" x14ac:dyDescent="0.25">
      <c r="A773" s="2420">
        <v>32</v>
      </c>
      <c r="B773" s="2380">
        <f t="shared" si="243"/>
        <v>0</v>
      </c>
      <c r="C773" s="837">
        <f t="shared" si="244"/>
        <v>0</v>
      </c>
      <c r="D773" s="841">
        <f t="shared" si="245"/>
        <v>0</v>
      </c>
      <c r="E773" s="1895">
        <f t="shared" si="246"/>
        <v>0</v>
      </c>
      <c r="F773" s="2380">
        <f t="shared" si="247"/>
        <v>0</v>
      </c>
      <c r="G773" s="837">
        <f t="shared" si="248"/>
        <v>0</v>
      </c>
      <c r="H773" s="840">
        <f t="shared" si="249"/>
        <v>0</v>
      </c>
      <c r="I773" s="868">
        <f t="shared" si="250"/>
        <v>0</v>
      </c>
      <c r="J773" s="841">
        <f t="shared" si="251"/>
        <v>0</v>
      </c>
      <c r="K773" s="837">
        <f t="shared" si="252"/>
        <v>0</v>
      </c>
      <c r="L773" s="841">
        <f t="shared" si="253"/>
        <v>0</v>
      </c>
      <c r="M773" s="1895">
        <f t="shared" si="254"/>
        <v>0</v>
      </c>
    </row>
    <row r="774" spans="1:13" x14ac:dyDescent="0.25">
      <c r="A774" s="2420">
        <v>33</v>
      </c>
      <c r="B774" s="2380">
        <f t="shared" ref="B774:B805" si="255">IF(AND($C198="inher-Life",OR($B198="W",$B198="FW")),$D198,0)</f>
        <v>0</v>
      </c>
      <c r="C774" s="837">
        <f t="shared" ref="C774:C805" si="256">IF(AND($C198="inher-Life",OR($B198="W",$B198="FW")),$G198,0)</f>
        <v>0</v>
      </c>
      <c r="D774" s="841">
        <f t="shared" ref="D774:D805" si="257">IF(AND($I198="inher-Life",OR($H198="W",$H198="FW")),$J198,0)</f>
        <v>0</v>
      </c>
      <c r="E774" s="1895">
        <f t="shared" ref="E774:E805" si="258">IF(AND($I198="inher-Life",OR($H198="W",$H198="FW")),$M198,0)</f>
        <v>0</v>
      </c>
      <c r="F774" s="2380">
        <f t="shared" ref="F774:F805" si="259">IF(AND($C198="401(k)-Roth",OR($B198="C",$B198="FC")),$D198,0)</f>
        <v>0</v>
      </c>
      <c r="G774" s="837">
        <f t="shared" ref="G774:G805" si="260">IF(AND($C198="401(k)-Roth",OR($B198="C",$B198="FC")),$G198,0)</f>
        <v>0</v>
      </c>
      <c r="H774" s="840">
        <f t="shared" ref="H774:H805" si="261">IF(AND($C198="401(k)-Roth",OR($B198="W",$B198="FW")),$D198,0)</f>
        <v>0</v>
      </c>
      <c r="I774" s="868">
        <f t="shared" ref="I774:I805" si="262">IF(AND($C198="401(k)-Roth",OR($B198="W",$B198="FW")),$G198,0)</f>
        <v>0</v>
      </c>
      <c r="J774" s="841">
        <f t="shared" ref="J774:J805" si="263">IF(AND($I198="401(k)-Roth",OR($H198="C",$H198="FC")),$J198,0)</f>
        <v>0</v>
      </c>
      <c r="K774" s="837">
        <f t="shared" ref="K774:K805" si="264">IF(AND($I198="401(k)-Roth",OR($H198="C",$H198="FC")),$M198,0)</f>
        <v>0</v>
      </c>
      <c r="L774" s="841">
        <f t="shared" ref="L774:L805" si="265">IF(AND($I198="401(k)-Roth",OR($H198="W",$H198="FW")),$J198,0)</f>
        <v>0</v>
      </c>
      <c r="M774" s="1895">
        <f t="shared" ref="M774:M805" si="266">IF(AND($I198="401(k)-Roth",OR($H198="W",$H198="FW")),$M198,0)</f>
        <v>0</v>
      </c>
    </row>
    <row r="775" spans="1:13" x14ac:dyDescent="0.25">
      <c r="A775" s="2420">
        <v>34</v>
      </c>
      <c r="B775" s="2380">
        <f t="shared" si="255"/>
        <v>0</v>
      </c>
      <c r="C775" s="837">
        <f t="shared" si="256"/>
        <v>0</v>
      </c>
      <c r="D775" s="841">
        <f t="shared" si="257"/>
        <v>0</v>
      </c>
      <c r="E775" s="1895">
        <f t="shared" si="258"/>
        <v>0</v>
      </c>
      <c r="F775" s="2380">
        <f t="shared" si="259"/>
        <v>0</v>
      </c>
      <c r="G775" s="837">
        <f t="shared" si="260"/>
        <v>0</v>
      </c>
      <c r="H775" s="840">
        <f t="shared" si="261"/>
        <v>0</v>
      </c>
      <c r="I775" s="868">
        <f t="shared" si="262"/>
        <v>0</v>
      </c>
      <c r="J775" s="841">
        <f t="shared" si="263"/>
        <v>0</v>
      </c>
      <c r="K775" s="837">
        <f t="shared" si="264"/>
        <v>0</v>
      </c>
      <c r="L775" s="841">
        <f t="shared" si="265"/>
        <v>0</v>
      </c>
      <c r="M775" s="1895">
        <f t="shared" si="266"/>
        <v>0</v>
      </c>
    </row>
    <row r="776" spans="1:13" x14ac:dyDescent="0.25">
      <c r="A776" s="2420">
        <v>35</v>
      </c>
      <c r="B776" s="2380">
        <f t="shared" si="255"/>
        <v>0</v>
      </c>
      <c r="C776" s="837">
        <f t="shared" si="256"/>
        <v>0</v>
      </c>
      <c r="D776" s="841">
        <f t="shared" si="257"/>
        <v>0</v>
      </c>
      <c r="E776" s="1895">
        <f t="shared" si="258"/>
        <v>0</v>
      </c>
      <c r="F776" s="2380">
        <f t="shared" si="259"/>
        <v>0</v>
      </c>
      <c r="G776" s="837">
        <f t="shared" si="260"/>
        <v>0</v>
      </c>
      <c r="H776" s="840">
        <f t="shared" si="261"/>
        <v>0</v>
      </c>
      <c r="I776" s="868">
        <f t="shared" si="262"/>
        <v>0</v>
      </c>
      <c r="J776" s="841">
        <f t="shared" si="263"/>
        <v>0</v>
      </c>
      <c r="K776" s="837">
        <f t="shared" si="264"/>
        <v>0</v>
      </c>
      <c r="L776" s="841">
        <f t="shared" si="265"/>
        <v>0</v>
      </c>
      <c r="M776" s="1895">
        <f t="shared" si="266"/>
        <v>0</v>
      </c>
    </row>
    <row r="777" spans="1:13" x14ac:dyDescent="0.25">
      <c r="A777" s="2420">
        <v>36</v>
      </c>
      <c r="B777" s="2380">
        <f t="shared" si="255"/>
        <v>0</v>
      </c>
      <c r="C777" s="837">
        <f t="shared" si="256"/>
        <v>0</v>
      </c>
      <c r="D777" s="841">
        <f t="shared" si="257"/>
        <v>0</v>
      </c>
      <c r="E777" s="1895">
        <f t="shared" si="258"/>
        <v>0</v>
      </c>
      <c r="F777" s="2380">
        <f t="shared" si="259"/>
        <v>0</v>
      </c>
      <c r="G777" s="837">
        <f t="shared" si="260"/>
        <v>0</v>
      </c>
      <c r="H777" s="840">
        <f t="shared" si="261"/>
        <v>0</v>
      </c>
      <c r="I777" s="868">
        <f t="shared" si="262"/>
        <v>0</v>
      </c>
      <c r="J777" s="841">
        <f t="shared" si="263"/>
        <v>0</v>
      </c>
      <c r="K777" s="837">
        <f t="shared" si="264"/>
        <v>0</v>
      </c>
      <c r="L777" s="841">
        <f t="shared" si="265"/>
        <v>0</v>
      </c>
      <c r="M777" s="1895">
        <f t="shared" si="266"/>
        <v>0</v>
      </c>
    </row>
    <row r="778" spans="1:13" x14ac:dyDescent="0.25">
      <c r="A778" s="2420">
        <v>37</v>
      </c>
      <c r="B778" s="2380">
        <f t="shared" si="255"/>
        <v>0</v>
      </c>
      <c r="C778" s="837">
        <f t="shared" si="256"/>
        <v>0</v>
      </c>
      <c r="D778" s="841">
        <f t="shared" si="257"/>
        <v>0</v>
      </c>
      <c r="E778" s="1895">
        <f t="shared" si="258"/>
        <v>0</v>
      </c>
      <c r="F778" s="2380">
        <f t="shared" si="259"/>
        <v>0</v>
      </c>
      <c r="G778" s="837">
        <f t="shared" si="260"/>
        <v>0</v>
      </c>
      <c r="H778" s="840">
        <f t="shared" si="261"/>
        <v>0</v>
      </c>
      <c r="I778" s="868">
        <f t="shared" si="262"/>
        <v>0</v>
      </c>
      <c r="J778" s="841">
        <f t="shared" si="263"/>
        <v>0</v>
      </c>
      <c r="K778" s="837">
        <f t="shared" si="264"/>
        <v>0</v>
      </c>
      <c r="L778" s="841">
        <f t="shared" si="265"/>
        <v>0</v>
      </c>
      <c r="M778" s="1895">
        <f t="shared" si="266"/>
        <v>0</v>
      </c>
    </row>
    <row r="779" spans="1:13" x14ac:dyDescent="0.25">
      <c r="A779" s="2420">
        <v>38</v>
      </c>
      <c r="B779" s="2380">
        <f t="shared" si="255"/>
        <v>0</v>
      </c>
      <c r="C779" s="837">
        <f t="shared" si="256"/>
        <v>0</v>
      </c>
      <c r="D779" s="841">
        <f t="shared" si="257"/>
        <v>0</v>
      </c>
      <c r="E779" s="1895">
        <f t="shared" si="258"/>
        <v>0</v>
      </c>
      <c r="F779" s="2380">
        <f t="shared" si="259"/>
        <v>0</v>
      </c>
      <c r="G779" s="837">
        <f t="shared" si="260"/>
        <v>0</v>
      </c>
      <c r="H779" s="840">
        <f t="shared" si="261"/>
        <v>0</v>
      </c>
      <c r="I779" s="868">
        <f t="shared" si="262"/>
        <v>0</v>
      </c>
      <c r="J779" s="841">
        <f t="shared" si="263"/>
        <v>0</v>
      </c>
      <c r="K779" s="837">
        <f t="shared" si="264"/>
        <v>0</v>
      </c>
      <c r="L779" s="841">
        <f t="shared" si="265"/>
        <v>0</v>
      </c>
      <c r="M779" s="1895">
        <f t="shared" si="266"/>
        <v>0</v>
      </c>
    </row>
    <row r="780" spans="1:13" x14ac:dyDescent="0.25">
      <c r="A780" s="2420">
        <v>39</v>
      </c>
      <c r="B780" s="2380">
        <f t="shared" si="255"/>
        <v>0</v>
      </c>
      <c r="C780" s="837">
        <f t="shared" si="256"/>
        <v>0</v>
      </c>
      <c r="D780" s="841">
        <f t="shared" si="257"/>
        <v>0</v>
      </c>
      <c r="E780" s="1895">
        <f t="shared" si="258"/>
        <v>0</v>
      </c>
      <c r="F780" s="2380">
        <f t="shared" si="259"/>
        <v>0</v>
      </c>
      <c r="G780" s="837">
        <f t="shared" si="260"/>
        <v>0</v>
      </c>
      <c r="H780" s="840">
        <f t="shared" si="261"/>
        <v>0</v>
      </c>
      <c r="I780" s="868">
        <f t="shared" si="262"/>
        <v>0</v>
      </c>
      <c r="J780" s="841">
        <f t="shared" si="263"/>
        <v>0</v>
      </c>
      <c r="K780" s="837">
        <f t="shared" si="264"/>
        <v>0</v>
      </c>
      <c r="L780" s="841">
        <f t="shared" si="265"/>
        <v>0</v>
      </c>
      <c r="M780" s="1895">
        <f t="shared" si="266"/>
        <v>0</v>
      </c>
    </row>
    <row r="781" spans="1:13" x14ac:dyDescent="0.25">
      <c r="A781" s="2420">
        <v>40</v>
      </c>
      <c r="B781" s="2380">
        <f t="shared" si="255"/>
        <v>0</v>
      </c>
      <c r="C781" s="837">
        <f t="shared" si="256"/>
        <v>0</v>
      </c>
      <c r="D781" s="841">
        <f t="shared" si="257"/>
        <v>0</v>
      </c>
      <c r="E781" s="1895">
        <f t="shared" si="258"/>
        <v>0</v>
      </c>
      <c r="F781" s="2380">
        <f t="shared" si="259"/>
        <v>0</v>
      </c>
      <c r="G781" s="837">
        <f t="shared" si="260"/>
        <v>0</v>
      </c>
      <c r="H781" s="840">
        <f t="shared" si="261"/>
        <v>0</v>
      </c>
      <c r="I781" s="868">
        <f t="shared" si="262"/>
        <v>0</v>
      </c>
      <c r="J781" s="841">
        <f t="shared" si="263"/>
        <v>0</v>
      </c>
      <c r="K781" s="837">
        <f t="shared" si="264"/>
        <v>0</v>
      </c>
      <c r="L781" s="841">
        <f t="shared" si="265"/>
        <v>0</v>
      </c>
      <c r="M781" s="1895">
        <f t="shared" si="266"/>
        <v>0</v>
      </c>
    </row>
    <row r="782" spans="1:13" x14ac:dyDescent="0.25">
      <c r="A782" s="2420">
        <v>41</v>
      </c>
      <c r="B782" s="2380">
        <f t="shared" si="255"/>
        <v>0</v>
      </c>
      <c r="C782" s="837">
        <f t="shared" si="256"/>
        <v>0</v>
      </c>
      <c r="D782" s="841">
        <f t="shared" si="257"/>
        <v>0</v>
      </c>
      <c r="E782" s="1895">
        <f t="shared" si="258"/>
        <v>0</v>
      </c>
      <c r="F782" s="2380">
        <f t="shared" si="259"/>
        <v>0</v>
      </c>
      <c r="G782" s="837">
        <f t="shared" si="260"/>
        <v>0</v>
      </c>
      <c r="H782" s="840">
        <f t="shared" si="261"/>
        <v>0</v>
      </c>
      <c r="I782" s="868">
        <f t="shared" si="262"/>
        <v>0</v>
      </c>
      <c r="J782" s="841">
        <f t="shared" si="263"/>
        <v>0</v>
      </c>
      <c r="K782" s="837">
        <f t="shared" si="264"/>
        <v>0</v>
      </c>
      <c r="L782" s="841">
        <f t="shared" si="265"/>
        <v>0</v>
      </c>
      <c r="M782" s="1895">
        <f t="shared" si="266"/>
        <v>0</v>
      </c>
    </row>
    <row r="783" spans="1:13" x14ac:dyDescent="0.25">
      <c r="A783" s="2420">
        <v>42</v>
      </c>
      <c r="B783" s="2380">
        <f t="shared" si="255"/>
        <v>0</v>
      </c>
      <c r="C783" s="837">
        <f t="shared" si="256"/>
        <v>0</v>
      </c>
      <c r="D783" s="841">
        <f t="shared" si="257"/>
        <v>0</v>
      </c>
      <c r="E783" s="1895">
        <f t="shared" si="258"/>
        <v>0</v>
      </c>
      <c r="F783" s="2380">
        <f t="shared" si="259"/>
        <v>0</v>
      </c>
      <c r="G783" s="837">
        <f t="shared" si="260"/>
        <v>0</v>
      </c>
      <c r="H783" s="840">
        <f t="shared" si="261"/>
        <v>0</v>
      </c>
      <c r="I783" s="868">
        <f t="shared" si="262"/>
        <v>0</v>
      </c>
      <c r="J783" s="841">
        <f t="shared" si="263"/>
        <v>0</v>
      </c>
      <c r="K783" s="837">
        <f t="shared" si="264"/>
        <v>0</v>
      </c>
      <c r="L783" s="841">
        <f t="shared" si="265"/>
        <v>0</v>
      </c>
      <c r="M783" s="1895">
        <f t="shared" si="266"/>
        <v>0</v>
      </c>
    </row>
    <row r="784" spans="1:13" x14ac:dyDescent="0.25">
      <c r="A784" s="2420">
        <v>43</v>
      </c>
      <c r="B784" s="2380">
        <f t="shared" si="255"/>
        <v>0</v>
      </c>
      <c r="C784" s="837">
        <f t="shared" si="256"/>
        <v>0</v>
      </c>
      <c r="D784" s="841">
        <f t="shared" si="257"/>
        <v>0</v>
      </c>
      <c r="E784" s="1895">
        <f t="shared" si="258"/>
        <v>0</v>
      </c>
      <c r="F784" s="2380">
        <f t="shared" si="259"/>
        <v>0</v>
      </c>
      <c r="G784" s="837">
        <f t="shared" si="260"/>
        <v>0</v>
      </c>
      <c r="H784" s="840">
        <f t="shared" si="261"/>
        <v>0</v>
      </c>
      <c r="I784" s="868">
        <f t="shared" si="262"/>
        <v>0</v>
      </c>
      <c r="J784" s="841">
        <f t="shared" si="263"/>
        <v>0</v>
      </c>
      <c r="K784" s="837">
        <f t="shared" si="264"/>
        <v>0</v>
      </c>
      <c r="L784" s="841">
        <f t="shared" si="265"/>
        <v>0</v>
      </c>
      <c r="M784" s="1895">
        <f t="shared" si="266"/>
        <v>0</v>
      </c>
    </row>
    <row r="785" spans="1:13" x14ac:dyDescent="0.25">
      <c r="A785" s="2420">
        <v>44</v>
      </c>
      <c r="B785" s="2380">
        <f t="shared" si="255"/>
        <v>0</v>
      </c>
      <c r="C785" s="837">
        <f t="shared" si="256"/>
        <v>0</v>
      </c>
      <c r="D785" s="841">
        <f t="shared" si="257"/>
        <v>0</v>
      </c>
      <c r="E785" s="1895">
        <f t="shared" si="258"/>
        <v>0</v>
      </c>
      <c r="F785" s="2380">
        <f t="shared" si="259"/>
        <v>0</v>
      </c>
      <c r="G785" s="837">
        <f t="shared" si="260"/>
        <v>0</v>
      </c>
      <c r="H785" s="840">
        <f t="shared" si="261"/>
        <v>0</v>
      </c>
      <c r="I785" s="868">
        <f t="shared" si="262"/>
        <v>0</v>
      </c>
      <c r="J785" s="841">
        <f t="shared" si="263"/>
        <v>0</v>
      </c>
      <c r="K785" s="837">
        <f t="shared" si="264"/>
        <v>0</v>
      </c>
      <c r="L785" s="841">
        <f t="shared" si="265"/>
        <v>0</v>
      </c>
      <c r="M785" s="1895">
        <f t="shared" si="266"/>
        <v>0</v>
      </c>
    </row>
    <row r="786" spans="1:13" x14ac:dyDescent="0.25">
      <c r="A786" s="2420">
        <v>45</v>
      </c>
      <c r="B786" s="2380">
        <f t="shared" si="255"/>
        <v>0</v>
      </c>
      <c r="C786" s="837">
        <f t="shared" si="256"/>
        <v>0</v>
      </c>
      <c r="D786" s="841">
        <f t="shared" si="257"/>
        <v>0</v>
      </c>
      <c r="E786" s="1895">
        <f t="shared" si="258"/>
        <v>0</v>
      </c>
      <c r="F786" s="2380">
        <f t="shared" si="259"/>
        <v>0</v>
      </c>
      <c r="G786" s="837">
        <f t="shared" si="260"/>
        <v>0</v>
      </c>
      <c r="H786" s="840">
        <f t="shared" si="261"/>
        <v>0</v>
      </c>
      <c r="I786" s="868">
        <f t="shared" si="262"/>
        <v>0</v>
      </c>
      <c r="J786" s="841">
        <f t="shared" si="263"/>
        <v>0</v>
      </c>
      <c r="K786" s="837">
        <f t="shared" si="264"/>
        <v>0</v>
      </c>
      <c r="L786" s="841">
        <f t="shared" si="265"/>
        <v>0</v>
      </c>
      <c r="M786" s="1895">
        <f t="shared" si="266"/>
        <v>0</v>
      </c>
    </row>
    <row r="787" spans="1:13" x14ac:dyDescent="0.25">
      <c r="A787" s="2420">
        <v>46</v>
      </c>
      <c r="B787" s="2380">
        <f t="shared" si="255"/>
        <v>0</v>
      </c>
      <c r="C787" s="837">
        <f t="shared" si="256"/>
        <v>0</v>
      </c>
      <c r="D787" s="841">
        <f t="shared" si="257"/>
        <v>0</v>
      </c>
      <c r="E787" s="1895">
        <f t="shared" si="258"/>
        <v>0</v>
      </c>
      <c r="F787" s="2380">
        <f t="shared" si="259"/>
        <v>0</v>
      </c>
      <c r="G787" s="837">
        <f t="shared" si="260"/>
        <v>0</v>
      </c>
      <c r="H787" s="840">
        <f t="shared" si="261"/>
        <v>0</v>
      </c>
      <c r="I787" s="868">
        <f t="shared" si="262"/>
        <v>0</v>
      </c>
      <c r="J787" s="841">
        <f t="shared" si="263"/>
        <v>0</v>
      </c>
      <c r="K787" s="837">
        <f t="shared" si="264"/>
        <v>0</v>
      </c>
      <c r="L787" s="841">
        <f t="shared" si="265"/>
        <v>0</v>
      </c>
      <c r="M787" s="1895">
        <f t="shared" si="266"/>
        <v>0</v>
      </c>
    </row>
    <row r="788" spans="1:13" x14ac:dyDescent="0.25">
      <c r="A788" s="2420">
        <v>47</v>
      </c>
      <c r="B788" s="2380">
        <f t="shared" si="255"/>
        <v>0</v>
      </c>
      <c r="C788" s="837">
        <f t="shared" si="256"/>
        <v>0</v>
      </c>
      <c r="D788" s="841">
        <f t="shared" si="257"/>
        <v>0</v>
      </c>
      <c r="E788" s="1895">
        <f t="shared" si="258"/>
        <v>0</v>
      </c>
      <c r="F788" s="2380">
        <f t="shared" si="259"/>
        <v>0</v>
      </c>
      <c r="G788" s="837">
        <f t="shared" si="260"/>
        <v>0</v>
      </c>
      <c r="H788" s="840">
        <f t="shared" si="261"/>
        <v>0</v>
      </c>
      <c r="I788" s="868">
        <f t="shared" si="262"/>
        <v>0</v>
      </c>
      <c r="J788" s="841">
        <f t="shared" si="263"/>
        <v>0</v>
      </c>
      <c r="K788" s="837">
        <f t="shared" si="264"/>
        <v>0</v>
      </c>
      <c r="L788" s="841">
        <f t="shared" si="265"/>
        <v>0</v>
      </c>
      <c r="M788" s="1895">
        <f t="shared" si="266"/>
        <v>0</v>
      </c>
    </row>
    <row r="789" spans="1:13" x14ac:dyDescent="0.25">
      <c r="A789" s="2420">
        <v>48</v>
      </c>
      <c r="B789" s="2380">
        <f t="shared" si="255"/>
        <v>0</v>
      </c>
      <c r="C789" s="837">
        <f t="shared" si="256"/>
        <v>0</v>
      </c>
      <c r="D789" s="841">
        <f t="shared" si="257"/>
        <v>0</v>
      </c>
      <c r="E789" s="1895">
        <f t="shared" si="258"/>
        <v>0</v>
      </c>
      <c r="F789" s="2380">
        <f t="shared" si="259"/>
        <v>0</v>
      </c>
      <c r="G789" s="837">
        <f t="shared" si="260"/>
        <v>0</v>
      </c>
      <c r="H789" s="840">
        <f t="shared" si="261"/>
        <v>0</v>
      </c>
      <c r="I789" s="868">
        <f t="shared" si="262"/>
        <v>0</v>
      </c>
      <c r="J789" s="841">
        <f t="shared" si="263"/>
        <v>0</v>
      </c>
      <c r="K789" s="837">
        <f t="shared" si="264"/>
        <v>0</v>
      </c>
      <c r="L789" s="841">
        <f t="shared" si="265"/>
        <v>0</v>
      </c>
      <c r="M789" s="1895">
        <f t="shared" si="266"/>
        <v>0</v>
      </c>
    </row>
    <row r="790" spans="1:13" x14ac:dyDescent="0.25">
      <c r="A790" s="2420">
        <v>49</v>
      </c>
      <c r="B790" s="2380">
        <f t="shared" si="255"/>
        <v>0</v>
      </c>
      <c r="C790" s="837">
        <f t="shared" si="256"/>
        <v>0</v>
      </c>
      <c r="D790" s="841">
        <f t="shared" si="257"/>
        <v>0</v>
      </c>
      <c r="E790" s="1895">
        <f t="shared" si="258"/>
        <v>0</v>
      </c>
      <c r="F790" s="2380">
        <f t="shared" si="259"/>
        <v>0</v>
      </c>
      <c r="G790" s="837">
        <f t="shared" si="260"/>
        <v>0</v>
      </c>
      <c r="H790" s="840">
        <f t="shared" si="261"/>
        <v>0</v>
      </c>
      <c r="I790" s="868">
        <f t="shared" si="262"/>
        <v>0</v>
      </c>
      <c r="J790" s="841">
        <f t="shared" si="263"/>
        <v>0</v>
      </c>
      <c r="K790" s="837">
        <f t="shared" si="264"/>
        <v>0</v>
      </c>
      <c r="L790" s="841">
        <f t="shared" si="265"/>
        <v>0</v>
      </c>
      <c r="M790" s="1895">
        <f t="shared" si="266"/>
        <v>0</v>
      </c>
    </row>
    <row r="791" spans="1:13" x14ac:dyDescent="0.25">
      <c r="A791" s="2420">
        <v>50</v>
      </c>
      <c r="B791" s="2380">
        <f t="shared" si="255"/>
        <v>0</v>
      </c>
      <c r="C791" s="837">
        <f t="shared" si="256"/>
        <v>0</v>
      </c>
      <c r="D791" s="841">
        <f t="shared" si="257"/>
        <v>0</v>
      </c>
      <c r="E791" s="1895">
        <f t="shared" si="258"/>
        <v>0</v>
      </c>
      <c r="F791" s="2380">
        <f t="shared" si="259"/>
        <v>0</v>
      </c>
      <c r="G791" s="837">
        <f t="shared" si="260"/>
        <v>0</v>
      </c>
      <c r="H791" s="840">
        <f t="shared" si="261"/>
        <v>0</v>
      </c>
      <c r="I791" s="868">
        <f t="shared" si="262"/>
        <v>0</v>
      </c>
      <c r="J791" s="841">
        <f t="shared" si="263"/>
        <v>0</v>
      </c>
      <c r="K791" s="837">
        <f t="shared" si="264"/>
        <v>0</v>
      </c>
      <c r="L791" s="841">
        <f t="shared" si="265"/>
        <v>0</v>
      </c>
      <c r="M791" s="1895">
        <f t="shared" si="266"/>
        <v>0</v>
      </c>
    </row>
    <row r="792" spans="1:13" x14ac:dyDescent="0.25">
      <c r="A792" s="2420">
        <v>51</v>
      </c>
      <c r="B792" s="2380">
        <f t="shared" si="255"/>
        <v>0</v>
      </c>
      <c r="C792" s="837">
        <f t="shared" si="256"/>
        <v>0</v>
      </c>
      <c r="D792" s="841">
        <f t="shared" si="257"/>
        <v>0</v>
      </c>
      <c r="E792" s="1895">
        <f t="shared" si="258"/>
        <v>0</v>
      </c>
      <c r="F792" s="2380">
        <f t="shared" si="259"/>
        <v>0</v>
      </c>
      <c r="G792" s="837">
        <f t="shared" si="260"/>
        <v>0</v>
      </c>
      <c r="H792" s="840">
        <f t="shared" si="261"/>
        <v>0</v>
      </c>
      <c r="I792" s="868">
        <f t="shared" si="262"/>
        <v>0</v>
      </c>
      <c r="J792" s="841">
        <f t="shared" si="263"/>
        <v>0</v>
      </c>
      <c r="K792" s="837">
        <f t="shared" si="264"/>
        <v>0</v>
      </c>
      <c r="L792" s="841">
        <f t="shared" si="265"/>
        <v>0</v>
      </c>
      <c r="M792" s="1895">
        <f t="shared" si="266"/>
        <v>0</v>
      </c>
    </row>
    <row r="793" spans="1:13" x14ac:dyDescent="0.25">
      <c r="A793" s="2420">
        <v>52</v>
      </c>
      <c r="B793" s="2380">
        <f t="shared" si="255"/>
        <v>0</v>
      </c>
      <c r="C793" s="837">
        <f t="shared" si="256"/>
        <v>0</v>
      </c>
      <c r="D793" s="841">
        <f t="shared" si="257"/>
        <v>0</v>
      </c>
      <c r="E793" s="1895">
        <f t="shared" si="258"/>
        <v>0</v>
      </c>
      <c r="F793" s="2380">
        <f t="shared" si="259"/>
        <v>0</v>
      </c>
      <c r="G793" s="837">
        <f t="shared" si="260"/>
        <v>0</v>
      </c>
      <c r="H793" s="840">
        <f t="shared" si="261"/>
        <v>0</v>
      </c>
      <c r="I793" s="868">
        <f t="shared" si="262"/>
        <v>0</v>
      </c>
      <c r="J793" s="841">
        <f t="shared" si="263"/>
        <v>0</v>
      </c>
      <c r="K793" s="837">
        <f t="shared" si="264"/>
        <v>0</v>
      </c>
      <c r="L793" s="841">
        <f t="shared" si="265"/>
        <v>0</v>
      </c>
      <c r="M793" s="1895">
        <f t="shared" si="266"/>
        <v>0</v>
      </c>
    </row>
    <row r="794" spans="1:13" x14ac:dyDescent="0.25">
      <c r="A794" s="2420">
        <v>53</v>
      </c>
      <c r="B794" s="2380">
        <f t="shared" si="255"/>
        <v>0</v>
      </c>
      <c r="C794" s="837">
        <f t="shared" si="256"/>
        <v>0</v>
      </c>
      <c r="D794" s="841">
        <f t="shared" si="257"/>
        <v>0</v>
      </c>
      <c r="E794" s="1895">
        <f t="shared" si="258"/>
        <v>0</v>
      </c>
      <c r="F794" s="2380">
        <f t="shared" si="259"/>
        <v>0</v>
      </c>
      <c r="G794" s="837">
        <f t="shared" si="260"/>
        <v>0</v>
      </c>
      <c r="H794" s="840">
        <f t="shared" si="261"/>
        <v>0</v>
      </c>
      <c r="I794" s="868">
        <f t="shared" si="262"/>
        <v>0</v>
      </c>
      <c r="J794" s="841">
        <f t="shared" si="263"/>
        <v>0</v>
      </c>
      <c r="K794" s="837">
        <f t="shared" si="264"/>
        <v>0</v>
      </c>
      <c r="L794" s="841">
        <f t="shared" si="265"/>
        <v>0</v>
      </c>
      <c r="M794" s="1895">
        <f t="shared" si="266"/>
        <v>0</v>
      </c>
    </row>
    <row r="795" spans="1:13" x14ac:dyDescent="0.25">
      <c r="A795" s="2420">
        <v>54</v>
      </c>
      <c r="B795" s="2380">
        <f t="shared" si="255"/>
        <v>0</v>
      </c>
      <c r="C795" s="837">
        <f t="shared" si="256"/>
        <v>0</v>
      </c>
      <c r="D795" s="841">
        <f t="shared" si="257"/>
        <v>0</v>
      </c>
      <c r="E795" s="1895">
        <f t="shared" si="258"/>
        <v>0</v>
      </c>
      <c r="F795" s="2380">
        <f t="shared" si="259"/>
        <v>0</v>
      </c>
      <c r="G795" s="837">
        <f t="shared" si="260"/>
        <v>0</v>
      </c>
      <c r="H795" s="840">
        <f t="shared" si="261"/>
        <v>0</v>
      </c>
      <c r="I795" s="868">
        <f t="shared" si="262"/>
        <v>0</v>
      </c>
      <c r="J795" s="841">
        <f t="shared" si="263"/>
        <v>0</v>
      </c>
      <c r="K795" s="837">
        <f t="shared" si="264"/>
        <v>0</v>
      </c>
      <c r="L795" s="841">
        <f t="shared" si="265"/>
        <v>0</v>
      </c>
      <c r="M795" s="1895">
        <f t="shared" si="266"/>
        <v>0</v>
      </c>
    </row>
    <row r="796" spans="1:13" x14ac:dyDescent="0.25">
      <c r="A796" s="2420">
        <v>55</v>
      </c>
      <c r="B796" s="2380">
        <f t="shared" si="255"/>
        <v>0</v>
      </c>
      <c r="C796" s="837">
        <f t="shared" si="256"/>
        <v>0</v>
      </c>
      <c r="D796" s="841">
        <f t="shared" si="257"/>
        <v>0</v>
      </c>
      <c r="E796" s="1895">
        <f t="shared" si="258"/>
        <v>0</v>
      </c>
      <c r="F796" s="2380">
        <f t="shared" si="259"/>
        <v>0</v>
      </c>
      <c r="G796" s="837">
        <f t="shared" si="260"/>
        <v>0</v>
      </c>
      <c r="H796" s="840">
        <f t="shared" si="261"/>
        <v>0</v>
      </c>
      <c r="I796" s="868">
        <f t="shared" si="262"/>
        <v>0</v>
      </c>
      <c r="J796" s="841">
        <f t="shared" si="263"/>
        <v>0</v>
      </c>
      <c r="K796" s="837">
        <f t="shared" si="264"/>
        <v>0</v>
      </c>
      <c r="L796" s="841">
        <f t="shared" si="265"/>
        <v>0</v>
      </c>
      <c r="M796" s="1895">
        <f t="shared" si="266"/>
        <v>0</v>
      </c>
    </row>
    <row r="797" spans="1:13" x14ac:dyDescent="0.25">
      <c r="A797" s="2420">
        <v>56</v>
      </c>
      <c r="B797" s="2380">
        <f t="shared" si="255"/>
        <v>0</v>
      </c>
      <c r="C797" s="837">
        <f t="shared" si="256"/>
        <v>0</v>
      </c>
      <c r="D797" s="841">
        <f t="shared" si="257"/>
        <v>0</v>
      </c>
      <c r="E797" s="1895">
        <f t="shared" si="258"/>
        <v>0</v>
      </c>
      <c r="F797" s="2380">
        <f t="shared" si="259"/>
        <v>0</v>
      </c>
      <c r="G797" s="837">
        <f t="shared" si="260"/>
        <v>0</v>
      </c>
      <c r="H797" s="840">
        <f t="shared" si="261"/>
        <v>0</v>
      </c>
      <c r="I797" s="868">
        <f t="shared" si="262"/>
        <v>0</v>
      </c>
      <c r="J797" s="841">
        <f t="shared" si="263"/>
        <v>0</v>
      </c>
      <c r="K797" s="837">
        <f t="shared" si="264"/>
        <v>0</v>
      </c>
      <c r="L797" s="841">
        <f t="shared" si="265"/>
        <v>0</v>
      </c>
      <c r="M797" s="1895">
        <f t="shared" si="266"/>
        <v>0</v>
      </c>
    </row>
    <row r="798" spans="1:13" x14ac:dyDescent="0.25">
      <c r="A798" s="2420">
        <v>57</v>
      </c>
      <c r="B798" s="2380">
        <f t="shared" si="255"/>
        <v>0</v>
      </c>
      <c r="C798" s="837">
        <f t="shared" si="256"/>
        <v>0</v>
      </c>
      <c r="D798" s="841">
        <f t="shared" si="257"/>
        <v>0</v>
      </c>
      <c r="E798" s="1895">
        <f t="shared" si="258"/>
        <v>0</v>
      </c>
      <c r="F798" s="2380">
        <f t="shared" si="259"/>
        <v>0</v>
      </c>
      <c r="G798" s="837">
        <f t="shared" si="260"/>
        <v>0</v>
      </c>
      <c r="H798" s="840">
        <f t="shared" si="261"/>
        <v>0</v>
      </c>
      <c r="I798" s="868">
        <f t="shared" si="262"/>
        <v>0</v>
      </c>
      <c r="J798" s="841">
        <f t="shared" si="263"/>
        <v>0</v>
      </c>
      <c r="K798" s="837">
        <f t="shared" si="264"/>
        <v>0</v>
      </c>
      <c r="L798" s="841">
        <f t="shared" si="265"/>
        <v>0</v>
      </c>
      <c r="M798" s="1895">
        <f t="shared" si="266"/>
        <v>0</v>
      </c>
    </row>
    <row r="799" spans="1:13" x14ac:dyDescent="0.25">
      <c r="A799" s="2420">
        <v>58</v>
      </c>
      <c r="B799" s="2380">
        <f t="shared" si="255"/>
        <v>0</v>
      </c>
      <c r="C799" s="837">
        <f t="shared" si="256"/>
        <v>0</v>
      </c>
      <c r="D799" s="841">
        <f t="shared" si="257"/>
        <v>0</v>
      </c>
      <c r="E799" s="1895">
        <f t="shared" si="258"/>
        <v>0</v>
      </c>
      <c r="F799" s="2380">
        <f t="shared" si="259"/>
        <v>0</v>
      </c>
      <c r="G799" s="837">
        <f t="shared" si="260"/>
        <v>0</v>
      </c>
      <c r="H799" s="840">
        <f t="shared" si="261"/>
        <v>0</v>
      </c>
      <c r="I799" s="868">
        <f t="shared" si="262"/>
        <v>0</v>
      </c>
      <c r="J799" s="841">
        <f t="shared" si="263"/>
        <v>0</v>
      </c>
      <c r="K799" s="837">
        <f t="shared" si="264"/>
        <v>0</v>
      </c>
      <c r="L799" s="841">
        <f t="shared" si="265"/>
        <v>0</v>
      </c>
      <c r="M799" s="1895">
        <f t="shared" si="266"/>
        <v>0</v>
      </c>
    </row>
    <row r="800" spans="1:13" x14ac:dyDescent="0.25">
      <c r="A800" s="2420">
        <v>59</v>
      </c>
      <c r="B800" s="2380">
        <f t="shared" si="255"/>
        <v>0</v>
      </c>
      <c r="C800" s="837">
        <f t="shared" si="256"/>
        <v>0</v>
      </c>
      <c r="D800" s="841">
        <f t="shared" si="257"/>
        <v>0</v>
      </c>
      <c r="E800" s="1895">
        <f t="shared" si="258"/>
        <v>0</v>
      </c>
      <c r="F800" s="2380">
        <f t="shared" si="259"/>
        <v>0</v>
      </c>
      <c r="G800" s="837">
        <f t="shared" si="260"/>
        <v>0</v>
      </c>
      <c r="H800" s="840">
        <f t="shared" si="261"/>
        <v>0</v>
      </c>
      <c r="I800" s="868">
        <f t="shared" si="262"/>
        <v>0</v>
      </c>
      <c r="J800" s="841">
        <f t="shared" si="263"/>
        <v>0</v>
      </c>
      <c r="K800" s="837">
        <f t="shared" si="264"/>
        <v>0</v>
      </c>
      <c r="L800" s="841">
        <f t="shared" si="265"/>
        <v>0</v>
      </c>
      <c r="M800" s="1895">
        <f t="shared" si="266"/>
        <v>0</v>
      </c>
    </row>
    <row r="801" spans="1:13" x14ac:dyDescent="0.25">
      <c r="A801" s="2420">
        <v>60</v>
      </c>
      <c r="B801" s="2380">
        <f t="shared" si="255"/>
        <v>0</v>
      </c>
      <c r="C801" s="837">
        <f t="shared" si="256"/>
        <v>0</v>
      </c>
      <c r="D801" s="841">
        <f t="shared" si="257"/>
        <v>0</v>
      </c>
      <c r="E801" s="1895">
        <f t="shared" si="258"/>
        <v>0</v>
      </c>
      <c r="F801" s="2380">
        <f t="shared" si="259"/>
        <v>0</v>
      </c>
      <c r="G801" s="837">
        <f t="shared" si="260"/>
        <v>0</v>
      </c>
      <c r="H801" s="840">
        <f t="shared" si="261"/>
        <v>0</v>
      </c>
      <c r="I801" s="868">
        <f t="shared" si="262"/>
        <v>0</v>
      </c>
      <c r="J801" s="841">
        <f t="shared" si="263"/>
        <v>0</v>
      </c>
      <c r="K801" s="837">
        <f t="shared" si="264"/>
        <v>0</v>
      </c>
      <c r="L801" s="841">
        <f t="shared" si="265"/>
        <v>0</v>
      </c>
      <c r="M801" s="1895">
        <f t="shared" si="266"/>
        <v>0</v>
      </c>
    </row>
    <row r="802" spans="1:13" x14ac:dyDescent="0.25">
      <c r="A802" s="2420">
        <v>61</v>
      </c>
      <c r="B802" s="2380">
        <f t="shared" si="255"/>
        <v>0</v>
      </c>
      <c r="C802" s="837">
        <f t="shared" si="256"/>
        <v>0</v>
      </c>
      <c r="D802" s="841">
        <f t="shared" si="257"/>
        <v>0</v>
      </c>
      <c r="E802" s="1895">
        <f t="shared" si="258"/>
        <v>0</v>
      </c>
      <c r="F802" s="2380">
        <f t="shared" si="259"/>
        <v>0</v>
      </c>
      <c r="G802" s="837">
        <f t="shared" si="260"/>
        <v>0</v>
      </c>
      <c r="H802" s="840">
        <f t="shared" si="261"/>
        <v>0</v>
      </c>
      <c r="I802" s="868">
        <f t="shared" si="262"/>
        <v>0</v>
      </c>
      <c r="J802" s="841">
        <f t="shared" si="263"/>
        <v>0</v>
      </c>
      <c r="K802" s="837">
        <f t="shared" si="264"/>
        <v>0</v>
      </c>
      <c r="L802" s="841">
        <f t="shared" si="265"/>
        <v>0</v>
      </c>
      <c r="M802" s="1895">
        <f t="shared" si="266"/>
        <v>0</v>
      </c>
    </row>
    <row r="803" spans="1:13" x14ac:dyDescent="0.25">
      <c r="A803" s="2420">
        <v>62</v>
      </c>
      <c r="B803" s="2380">
        <f t="shared" si="255"/>
        <v>0</v>
      </c>
      <c r="C803" s="837">
        <f t="shared" si="256"/>
        <v>0</v>
      </c>
      <c r="D803" s="841">
        <f t="shared" si="257"/>
        <v>0</v>
      </c>
      <c r="E803" s="1895">
        <f t="shared" si="258"/>
        <v>0</v>
      </c>
      <c r="F803" s="2380">
        <f t="shared" si="259"/>
        <v>0</v>
      </c>
      <c r="G803" s="837">
        <f t="shared" si="260"/>
        <v>0</v>
      </c>
      <c r="H803" s="840">
        <f t="shared" si="261"/>
        <v>0</v>
      </c>
      <c r="I803" s="868">
        <f t="shared" si="262"/>
        <v>0</v>
      </c>
      <c r="J803" s="841">
        <f t="shared" si="263"/>
        <v>0</v>
      </c>
      <c r="K803" s="837">
        <f t="shared" si="264"/>
        <v>0</v>
      </c>
      <c r="L803" s="841">
        <f t="shared" si="265"/>
        <v>0</v>
      </c>
      <c r="M803" s="1895">
        <f t="shared" si="266"/>
        <v>0</v>
      </c>
    </row>
    <row r="804" spans="1:13" x14ac:dyDescent="0.25">
      <c r="A804" s="2420">
        <v>63</v>
      </c>
      <c r="B804" s="2380">
        <f t="shared" si="255"/>
        <v>0</v>
      </c>
      <c r="C804" s="837">
        <f t="shared" si="256"/>
        <v>0</v>
      </c>
      <c r="D804" s="841">
        <f t="shared" si="257"/>
        <v>0</v>
      </c>
      <c r="E804" s="1895">
        <f t="shared" si="258"/>
        <v>0</v>
      </c>
      <c r="F804" s="2380">
        <f t="shared" si="259"/>
        <v>0</v>
      </c>
      <c r="G804" s="837">
        <f t="shared" si="260"/>
        <v>0</v>
      </c>
      <c r="H804" s="840">
        <f t="shared" si="261"/>
        <v>0</v>
      </c>
      <c r="I804" s="868">
        <f t="shared" si="262"/>
        <v>0</v>
      </c>
      <c r="J804" s="841">
        <f t="shared" si="263"/>
        <v>0</v>
      </c>
      <c r="K804" s="837">
        <f t="shared" si="264"/>
        <v>0</v>
      </c>
      <c r="L804" s="841">
        <f t="shared" si="265"/>
        <v>0</v>
      </c>
      <c r="M804" s="1895">
        <f t="shared" si="266"/>
        <v>0</v>
      </c>
    </row>
    <row r="805" spans="1:13" x14ac:dyDescent="0.25">
      <c r="A805" s="2420">
        <v>64</v>
      </c>
      <c r="B805" s="2380">
        <f t="shared" si="255"/>
        <v>0</v>
      </c>
      <c r="C805" s="837">
        <f t="shared" si="256"/>
        <v>0</v>
      </c>
      <c r="D805" s="841">
        <f t="shared" si="257"/>
        <v>0</v>
      </c>
      <c r="E805" s="1895">
        <f t="shared" si="258"/>
        <v>0</v>
      </c>
      <c r="F805" s="2380">
        <f t="shared" si="259"/>
        <v>0</v>
      </c>
      <c r="G805" s="837">
        <f t="shared" si="260"/>
        <v>0</v>
      </c>
      <c r="H805" s="840">
        <f t="shared" si="261"/>
        <v>0</v>
      </c>
      <c r="I805" s="868">
        <f t="shared" si="262"/>
        <v>0</v>
      </c>
      <c r="J805" s="841">
        <f t="shared" si="263"/>
        <v>0</v>
      </c>
      <c r="K805" s="837">
        <f t="shared" si="264"/>
        <v>0</v>
      </c>
      <c r="L805" s="841">
        <f t="shared" si="265"/>
        <v>0</v>
      </c>
      <c r="M805" s="1895">
        <f t="shared" si="266"/>
        <v>0</v>
      </c>
    </row>
    <row r="806" spans="1:13" x14ac:dyDescent="0.25">
      <c r="A806" s="2420">
        <v>65</v>
      </c>
      <c r="B806" s="2380">
        <f t="shared" ref="B806:B837" si="267">IF(AND($C230="inher-Life",OR($B230="W",$B230="FW")),$D230,0)</f>
        <v>0</v>
      </c>
      <c r="C806" s="837">
        <f t="shared" ref="C806:C837" si="268">IF(AND($C230="inher-Life",OR($B230="W",$B230="FW")),$G230,0)</f>
        <v>0</v>
      </c>
      <c r="D806" s="841">
        <f t="shared" ref="D806:D837" si="269">IF(AND($I230="inher-Life",OR($H230="W",$H230="FW")),$J230,0)</f>
        <v>0</v>
      </c>
      <c r="E806" s="1895">
        <f t="shared" ref="E806:E837" si="270">IF(AND($I230="inher-Life",OR($H230="W",$H230="FW")),$M230,0)</f>
        <v>0</v>
      </c>
      <c r="F806" s="2380">
        <f t="shared" ref="F806:F837" si="271">IF(AND($C230="401(k)-Roth",OR($B230="C",$B230="FC")),$D230,0)</f>
        <v>0</v>
      </c>
      <c r="G806" s="837">
        <f t="shared" ref="G806:G837" si="272">IF(AND($C230="401(k)-Roth",OR($B230="C",$B230="FC")),$G230,0)</f>
        <v>0</v>
      </c>
      <c r="H806" s="840">
        <f t="shared" ref="H806:H837" si="273">IF(AND($C230="401(k)-Roth",OR($B230="W",$B230="FW")),$D230,0)</f>
        <v>0</v>
      </c>
      <c r="I806" s="868">
        <f t="shared" ref="I806:I837" si="274">IF(AND($C230="401(k)-Roth",OR($B230="W",$B230="FW")),$G230,0)</f>
        <v>0</v>
      </c>
      <c r="J806" s="841">
        <f t="shared" ref="J806:J837" si="275">IF(AND($I230="401(k)-Roth",OR($H230="C",$H230="FC")),$J230,0)</f>
        <v>0</v>
      </c>
      <c r="K806" s="837">
        <f t="shared" ref="K806:K837" si="276">IF(AND($I230="401(k)-Roth",OR($H230="C",$H230="FC")),$M230,0)</f>
        <v>0</v>
      </c>
      <c r="L806" s="841">
        <f t="shared" ref="L806:L837" si="277">IF(AND($I230="401(k)-Roth",OR($H230="W",$H230="FW")),$J230,0)</f>
        <v>0</v>
      </c>
      <c r="M806" s="1895">
        <f t="shared" ref="M806:M837" si="278">IF(AND($I230="401(k)-Roth",OR($H230="W",$H230="FW")),$M230,0)</f>
        <v>0</v>
      </c>
    </row>
    <row r="807" spans="1:13" x14ac:dyDescent="0.25">
      <c r="A807" s="2420">
        <v>66</v>
      </c>
      <c r="B807" s="2380">
        <f t="shared" si="267"/>
        <v>0</v>
      </c>
      <c r="C807" s="837">
        <f t="shared" si="268"/>
        <v>0</v>
      </c>
      <c r="D807" s="841">
        <f t="shared" si="269"/>
        <v>0</v>
      </c>
      <c r="E807" s="1895">
        <f t="shared" si="270"/>
        <v>0</v>
      </c>
      <c r="F807" s="2380">
        <f t="shared" si="271"/>
        <v>0</v>
      </c>
      <c r="G807" s="837">
        <f t="shared" si="272"/>
        <v>0</v>
      </c>
      <c r="H807" s="840">
        <f t="shared" si="273"/>
        <v>0</v>
      </c>
      <c r="I807" s="868">
        <f t="shared" si="274"/>
        <v>0</v>
      </c>
      <c r="J807" s="841">
        <f t="shared" si="275"/>
        <v>0</v>
      </c>
      <c r="K807" s="837">
        <f t="shared" si="276"/>
        <v>0</v>
      </c>
      <c r="L807" s="841">
        <f t="shared" si="277"/>
        <v>0</v>
      </c>
      <c r="M807" s="1895">
        <f t="shared" si="278"/>
        <v>0</v>
      </c>
    </row>
    <row r="808" spans="1:13" x14ac:dyDescent="0.25">
      <c r="A808" s="2420">
        <v>67</v>
      </c>
      <c r="B808" s="2380">
        <f t="shared" si="267"/>
        <v>0</v>
      </c>
      <c r="C808" s="837">
        <f t="shared" si="268"/>
        <v>0</v>
      </c>
      <c r="D808" s="841">
        <f t="shared" si="269"/>
        <v>0</v>
      </c>
      <c r="E808" s="1895">
        <f t="shared" si="270"/>
        <v>0</v>
      </c>
      <c r="F808" s="2380">
        <f t="shared" si="271"/>
        <v>0</v>
      </c>
      <c r="G808" s="837">
        <f t="shared" si="272"/>
        <v>0</v>
      </c>
      <c r="H808" s="840">
        <f t="shared" si="273"/>
        <v>0</v>
      </c>
      <c r="I808" s="868">
        <f t="shared" si="274"/>
        <v>0</v>
      </c>
      <c r="J808" s="841">
        <f t="shared" si="275"/>
        <v>0</v>
      </c>
      <c r="K808" s="837">
        <f t="shared" si="276"/>
        <v>0</v>
      </c>
      <c r="L808" s="841">
        <f t="shared" si="277"/>
        <v>0</v>
      </c>
      <c r="M808" s="1895">
        <f t="shared" si="278"/>
        <v>0</v>
      </c>
    </row>
    <row r="809" spans="1:13" x14ac:dyDescent="0.25">
      <c r="A809" s="2420">
        <v>68</v>
      </c>
      <c r="B809" s="2380">
        <f t="shared" si="267"/>
        <v>0</v>
      </c>
      <c r="C809" s="837">
        <f t="shared" si="268"/>
        <v>0</v>
      </c>
      <c r="D809" s="841">
        <f t="shared" si="269"/>
        <v>0</v>
      </c>
      <c r="E809" s="1895">
        <f t="shared" si="270"/>
        <v>0</v>
      </c>
      <c r="F809" s="2380">
        <f t="shared" si="271"/>
        <v>0</v>
      </c>
      <c r="G809" s="837">
        <f t="shared" si="272"/>
        <v>0</v>
      </c>
      <c r="H809" s="840">
        <f t="shared" si="273"/>
        <v>0</v>
      </c>
      <c r="I809" s="868">
        <f t="shared" si="274"/>
        <v>0</v>
      </c>
      <c r="J809" s="841">
        <f t="shared" si="275"/>
        <v>0</v>
      </c>
      <c r="K809" s="837">
        <f t="shared" si="276"/>
        <v>0</v>
      </c>
      <c r="L809" s="841">
        <f t="shared" si="277"/>
        <v>0</v>
      </c>
      <c r="M809" s="1895">
        <f t="shared" si="278"/>
        <v>0</v>
      </c>
    </row>
    <row r="810" spans="1:13" x14ac:dyDescent="0.25">
      <c r="A810" s="2420">
        <v>69</v>
      </c>
      <c r="B810" s="2380">
        <f t="shared" si="267"/>
        <v>0</v>
      </c>
      <c r="C810" s="837">
        <f t="shared" si="268"/>
        <v>0</v>
      </c>
      <c r="D810" s="841">
        <f t="shared" si="269"/>
        <v>0</v>
      </c>
      <c r="E810" s="1895">
        <f t="shared" si="270"/>
        <v>0</v>
      </c>
      <c r="F810" s="2380">
        <f t="shared" si="271"/>
        <v>0</v>
      </c>
      <c r="G810" s="837">
        <f t="shared" si="272"/>
        <v>0</v>
      </c>
      <c r="H810" s="840">
        <f t="shared" si="273"/>
        <v>0</v>
      </c>
      <c r="I810" s="868">
        <f t="shared" si="274"/>
        <v>0</v>
      </c>
      <c r="J810" s="841">
        <f t="shared" si="275"/>
        <v>0</v>
      </c>
      <c r="K810" s="837">
        <f t="shared" si="276"/>
        <v>0</v>
      </c>
      <c r="L810" s="841">
        <f t="shared" si="277"/>
        <v>0</v>
      </c>
      <c r="M810" s="1895">
        <f t="shared" si="278"/>
        <v>0</v>
      </c>
    </row>
    <row r="811" spans="1:13" x14ac:dyDescent="0.25">
      <c r="A811" s="2420">
        <v>70</v>
      </c>
      <c r="B811" s="2380">
        <f t="shared" si="267"/>
        <v>0</v>
      </c>
      <c r="C811" s="837">
        <f t="shared" si="268"/>
        <v>0</v>
      </c>
      <c r="D811" s="841">
        <f t="shared" si="269"/>
        <v>0</v>
      </c>
      <c r="E811" s="1895">
        <f t="shared" si="270"/>
        <v>0</v>
      </c>
      <c r="F811" s="2380">
        <f t="shared" si="271"/>
        <v>0</v>
      </c>
      <c r="G811" s="837">
        <f t="shared" si="272"/>
        <v>0</v>
      </c>
      <c r="H811" s="840">
        <f t="shared" si="273"/>
        <v>0</v>
      </c>
      <c r="I811" s="868">
        <f t="shared" si="274"/>
        <v>0</v>
      </c>
      <c r="J811" s="841">
        <f t="shared" si="275"/>
        <v>0</v>
      </c>
      <c r="K811" s="837">
        <f t="shared" si="276"/>
        <v>0</v>
      </c>
      <c r="L811" s="841">
        <f t="shared" si="277"/>
        <v>0</v>
      </c>
      <c r="M811" s="1895">
        <f t="shared" si="278"/>
        <v>0</v>
      </c>
    </row>
    <row r="812" spans="1:13" x14ac:dyDescent="0.25">
      <c r="A812" s="2420">
        <v>71</v>
      </c>
      <c r="B812" s="2380">
        <f t="shared" si="267"/>
        <v>0</v>
      </c>
      <c r="C812" s="837">
        <f t="shared" si="268"/>
        <v>0</v>
      </c>
      <c r="D812" s="841">
        <f t="shared" si="269"/>
        <v>0</v>
      </c>
      <c r="E812" s="1895">
        <f t="shared" si="270"/>
        <v>0</v>
      </c>
      <c r="F812" s="2380">
        <f t="shared" si="271"/>
        <v>0</v>
      </c>
      <c r="G812" s="837">
        <f t="shared" si="272"/>
        <v>0</v>
      </c>
      <c r="H812" s="840">
        <f t="shared" si="273"/>
        <v>0</v>
      </c>
      <c r="I812" s="868">
        <f t="shared" si="274"/>
        <v>0</v>
      </c>
      <c r="J812" s="841">
        <f t="shared" si="275"/>
        <v>0</v>
      </c>
      <c r="K812" s="837">
        <f t="shared" si="276"/>
        <v>0</v>
      </c>
      <c r="L812" s="841">
        <f t="shared" si="277"/>
        <v>0</v>
      </c>
      <c r="M812" s="1895">
        <f t="shared" si="278"/>
        <v>0</v>
      </c>
    </row>
    <row r="813" spans="1:13" x14ac:dyDescent="0.25">
      <c r="A813" s="2420">
        <v>72</v>
      </c>
      <c r="B813" s="2380">
        <f t="shared" si="267"/>
        <v>0</v>
      </c>
      <c r="C813" s="837">
        <f t="shared" si="268"/>
        <v>0</v>
      </c>
      <c r="D813" s="841">
        <f t="shared" si="269"/>
        <v>0</v>
      </c>
      <c r="E813" s="1895">
        <f t="shared" si="270"/>
        <v>0</v>
      </c>
      <c r="F813" s="2380">
        <f t="shared" si="271"/>
        <v>0</v>
      </c>
      <c r="G813" s="837">
        <f t="shared" si="272"/>
        <v>0</v>
      </c>
      <c r="H813" s="840">
        <f t="shared" si="273"/>
        <v>0</v>
      </c>
      <c r="I813" s="868">
        <f t="shared" si="274"/>
        <v>0</v>
      </c>
      <c r="J813" s="841">
        <f t="shared" si="275"/>
        <v>0</v>
      </c>
      <c r="K813" s="837">
        <f t="shared" si="276"/>
        <v>0</v>
      </c>
      <c r="L813" s="841">
        <f t="shared" si="277"/>
        <v>0</v>
      </c>
      <c r="M813" s="1895">
        <f t="shared" si="278"/>
        <v>0</v>
      </c>
    </row>
    <row r="814" spans="1:13" x14ac:dyDescent="0.25">
      <c r="A814" s="2420">
        <v>73</v>
      </c>
      <c r="B814" s="2380">
        <f t="shared" si="267"/>
        <v>0</v>
      </c>
      <c r="C814" s="837">
        <f t="shared" si="268"/>
        <v>0</v>
      </c>
      <c r="D814" s="841">
        <f t="shared" si="269"/>
        <v>0</v>
      </c>
      <c r="E814" s="1895">
        <f t="shared" si="270"/>
        <v>0</v>
      </c>
      <c r="F814" s="2380">
        <f t="shared" si="271"/>
        <v>0</v>
      </c>
      <c r="G814" s="837">
        <f t="shared" si="272"/>
        <v>0</v>
      </c>
      <c r="H814" s="840">
        <f t="shared" si="273"/>
        <v>0</v>
      </c>
      <c r="I814" s="868">
        <f t="shared" si="274"/>
        <v>0</v>
      </c>
      <c r="J814" s="841">
        <f t="shared" si="275"/>
        <v>0</v>
      </c>
      <c r="K814" s="837">
        <f t="shared" si="276"/>
        <v>0</v>
      </c>
      <c r="L814" s="841">
        <f t="shared" si="277"/>
        <v>0</v>
      </c>
      <c r="M814" s="1895">
        <f t="shared" si="278"/>
        <v>0</v>
      </c>
    </row>
    <row r="815" spans="1:13" x14ac:dyDescent="0.25">
      <c r="A815" s="2420">
        <v>74</v>
      </c>
      <c r="B815" s="2380">
        <f t="shared" si="267"/>
        <v>0</v>
      </c>
      <c r="C815" s="837">
        <f t="shared" si="268"/>
        <v>0</v>
      </c>
      <c r="D815" s="841">
        <f t="shared" si="269"/>
        <v>0</v>
      </c>
      <c r="E815" s="1895">
        <f t="shared" si="270"/>
        <v>0</v>
      </c>
      <c r="F815" s="2380">
        <f t="shared" si="271"/>
        <v>0</v>
      </c>
      <c r="G815" s="837">
        <f t="shared" si="272"/>
        <v>0</v>
      </c>
      <c r="H815" s="840">
        <f t="shared" si="273"/>
        <v>0</v>
      </c>
      <c r="I815" s="868">
        <f t="shared" si="274"/>
        <v>0</v>
      </c>
      <c r="J815" s="841">
        <f t="shared" si="275"/>
        <v>0</v>
      </c>
      <c r="K815" s="837">
        <f t="shared" si="276"/>
        <v>0</v>
      </c>
      <c r="L815" s="841">
        <f t="shared" si="277"/>
        <v>0</v>
      </c>
      <c r="M815" s="1895">
        <f t="shared" si="278"/>
        <v>0</v>
      </c>
    </row>
    <row r="816" spans="1:13" x14ac:dyDescent="0.25">
      <c r="A816" s="2420">
        <v>75</v>
      </c>
      <c r="B816" s="2380">
        <f t="shared" si="267"/>
        <v>0</v>
      </c>
      <c r="C816" s="837">
        <f t="shared" si="268"/>
        <v>0</v>
      </c>
      <c r="D816" s="841">
        <f t="shared" si="269"/>
        <v>0</v>
      </c>
      <c r="E816" s="1895">
        <f t="shared" si="270"/>
        <v>0</v>
      </c>
      <c r="F816" s="2380">
        <f t="shared" si="271"/>
        <v>0</v>
      </c>
      <c r="G816" s="837">
        <f t="shared" si="272"/>
        <v>0</v>
      </c>
      <c r="H816" s="840">
        <f t="shared" si="273"/>
        <v>0</v>
      </c>
      <c r="I816" s="868">
        <f t="shared" si="274"/>
        <v>0</v>
      </c>
      <c r="J816" s="841">
        <f t="shared" si="275"/>
        <v>0</v>
      </c>
      <c r="K816" s="837">
        <f t="shared" si="276"/>
        <v>0</v>
      </c>
      <c r="L816" s="841">
        <f t="shared" si="277"/>
        <v>0</v>
      </c>
      <c r="M816" s="1895">
        <f t="shared" si="278"/>
        <v>0</v>
      </c>
    </row>
    <row r="817" spans="1:13" x14ac:dyDescent="0.25">
      <c r="A817" s="2420">
        <v>76</v>
      </c>
      <c r="B817" s="2380">
        <f t="shared" si="267"/>
        <v>0</v>
      </c>
      <c r="C817" s="837">
        <f t="shared" si="268"/>
        <v>0</v>
      </c>
      <c r="D817" s="841">
        <f t="shared" si="269"/>
        <v>0</v>
      </c>
      <c r="E817" s="1895">
        <f t="shared" si="270"/>
        <v>0</v>
      </c>
      <c r="F817" s="2380">
        <f t="shared" si="271"/>
        <v>0</v>
      </c>
      <c r="G817" s="837">
        <f t="shared" si="272"/>
        <v>0</v>
      </c>
      <c r="H817" s="840">
        <f t="shared" si="273"/>
        <v>0</v>
      </c>
      <c r="I817" s="868">
        <f t="shared" si="274"/>
        <v>0</v>
      </c>
      <c r="J817" s="841">
        <f t="shared" si="275"/>
        <v>0</v>
      </c>
      <c r="K817" s="837">
        <f t="shared" si="276"/>
        <v>0</v>
      </c>
      <c r="L817" s="841">
        <f t="shared" si="277"/>
        <v>0</v>
      </c>
      <c r="M817" s="1895">
        <f t="shared" si="278"/>
        <v>0</v>
      </c>
    </row>
    <row r="818" spans="1:13" x14ac:dyDescent="0.25">
      <c r="A818" s="2420">
        <v>77</v>
      </c>
      <c r="B818" s="2380">
        <f t="shared" si="267"/>
        <v>0</v>
      </c>
      <c r="C818" s="837">
        <f t="shared" si="268"/>
        <v>0</v>
      </c>
      <c r="D818" s="841">
        <f t="shared" si="269"/>
        <v>0</v>
      </c>
      <c r="E818" s="1895">
        <f t="shared" si="270"/>
        <v>0</v>
      </c>
      <c r="F818" s="2380">
        <f t="shared" si="271"/>
        <v>0</v>
      </c>
      <c r="G818" s="837">
        <f t="shared" si="272"/>
        <v>0</v>
      </c>
      <c r="H818" s="840">
        <f t="shared" si="273"/>
        <v>0</v>
      </c>
      <c r="I818" s="868">
        <f t="shared" si="274"/>
        <v>0</v>
      </c>
      <c r="J818" s="841">
        <f t="shared" si="275"/>
        <v>0</v>
      </c>
      <c r="K818" s="837">
        <f t="shared" si="276"/>
        <v>0</v>
      </c>
      <c r="L818" s="841">
        <f t="shared" si="277"/>
        <v>0</v>
      </c>
      <c r="M818" s="1895">
        <f t="shared" si="278"/>
        <v>0</v>
      </c>
    </row>
    <row r="819" spans="1:13" x14ac:dyDescent="0.25">
      <c r="A819" s="2420">
        <v>78</v>
      </c>
      <c r="B819" s="2380">
        <f t="shared" si="267"/>
        <v>0</v>
      </c>
      <c r="C819" s="837">
        <f t="shared" si="268"/>
        <v>0</v>
      </c>
      <c r="D819" s="841">
        <f t="shared" si="269"/>
        <v>0</v>
      </c>
      <c r="E819" s="1895">
        <f t="shared" si="270"/>
        <v>0</v>
      </c>
      <c r="F819" s="2380">
        <f t="shared" si="271"/>
        <v>0</v>
      </c>
      <c r="G819" s="837">
        <f t="shared" si="272"/>
        <v>0</v>
      </c>
      <c r="H819" s="840">
        <f t="shared" si="273"/>
        <v>0</v>
      </c>
      <c r="I819" s="868">
        <f t="shared" si="274"/>
        <v>0</v>
      </c>
      <c r="J819" s="841">
        <f t="shared" si="275"/>
        <v>0</v>
      </c>
      <c r="K819" s="837">
        <f t="shared" si="276"/>
        <v>0</v>
      </c>
      <c r="L819" s="841">
        <f t="shared" si="277"/>
        <v>0</v>
      </c>
      <c r="M819" s="1895">
        <f t="shared" si="278"/>
        <v>0</v>
      </c>
    </row>
    <row r="820" spans="1:13" x14ac:dyDescent="0.25">
      <c r="A820" s="2420">
        <v>79</v>
      </c>
      <c r="B820" s="2380">
        <f t="shared" si="267"/>
        <v>0</v>
      </c>
      <c r="C820" s="837">
        <f t="shared" si="268"/>
        <v>0</v>
      </c>
      <c r="D820" s="841">
        <f t="shared" si="269"/>
        <v>0</v>
      </c>
      <c r="E820" s="1895">
        <f t="shared" si="270"/>
        <v>0</v>
      </c>
      <c r="F820" s="2380">
        <f t="shared" si="271"/>
        <v>0</v>
      </c>
      <c r="G820" s="837">
        <f t="shared" si="272"/>
        <v>0</v>
      </c>
      <c r="H820" s="840">
        <f t="shared" si="273"/>
        <v>0</v>
      </c>
      <c r="I820" s="868">
        <f t="shared" si="274"/>
        <v>0</v>
      </c>
      <c r="J820" s="841">
        <f t="shared" si="275"/>
        <v>0</v>
      </c>
      <c r="K820" s="837">
        <f t="shared" si="276"/>
        <v>0</v>
      </c>
      <c r="L820" s="841">
        <f t="shared" si="277"/>
        <v>0</v>
      </c>
      <c r="M820" s="1895">
        <f t="shared" si="278"/>
        <v>0</v>
      </c>
    </row>
    <row r="821" spans="1:13" x14ac:dyDescent="0.25">
      <c r="A821" s="2420">
        <v>80</v>
      </c>
      <c r="B821" s="2380">
        <f t="shared" si="267"/>
        <v>0</v>
      </c>
      <c r="C821" s="837">
        <f t="shared" si="268"/>
        <v>0</v>
      </c>
      <c r="D821" s="841">
        <f t="shared" si="269"/>
        <v>0</v>
      </c>
      <c r="E821" s="1895">
        <f t="shared" si="270"/>
        <v>0</v>
      </c>
      <c r="F821" s="2380">
        <f t="shared" si="271"/>
        <v>0</v>
      </c>
      <c r="G821" s="837">
        <f t="shared" si="272"/>
        <v>0</v>
      </c>
      <c r="H821" s="840">
        <f t="shared" si="273"/>
        <v>0</v>
      </c>
      <c r="I821" s="868">
        <f t="shared" si="274"/>
        <v>0</v>
      </c>
      <c r="J821" s="841">
        <f t="shared" si="275"/>
        <v>0</v>
      </c>
      <c r="K821" s="837">
        <f t="shared" si="276"/>
        <v>0</v>
      </c>
      <c r="L821" s="841">
        <f t="shared" si="277"/>
        <v>0</v>
      </c>
      <c r="M821" s="1895">
        <f t="shared" si="278"/>
        <v>0</v>
      </c>
    </row>
    <row r="822" spans="1:13" x14ac:dyDescent="0.25">
      <c r="A822" s="2420">
        <v>81</v>
      </c>
      <c r="B822" s="2380">
        <f t="shared" si="267"/>
        <v>0</v>
      </c>
      <c r="C822" s="837">
        <f t="shared" si="268"/>
        <v>0</v>
      </c>
      <c r="D822" s="841">
        <f t="shared" si="269"/>
        <v>0</v>
      </c>
      <c r="E822" s="1895">
        <f t="shared" si="270"/>
        <v>0</v>
      </c>
      <c r="F822" s="2380">
        <f t="shared" si="271"/>
        <v>0</v>
      </c>
      <c r="G822" s="837">
        <f t="shared" si="272"/>
        <v>0</v>
      </c>
      <c r="H822" s="840">
        <f t="shared" si="273"/>
        <v>0</v>
      </c>
      <c r="I822" s="868">
        <f t="shared" si="274"/>
        <v>0</v>
      </c>
      <c r="J822" s="841">
        <f t="shared" si="275"/>
        <v>0</v>
      </c>
      <c r="K822" s="837">
        <f t="shared" si="276"/>
        <v>0</v>
      </c>
      <c r="L822" s="841">
        <f t="shared" si="277"/>
        <v>0</v>
      </c>
      <c r="M822" s="1895">
        <f t="shared" si="278"/>
        <v>0</v>
      </c>
    </row>
    <row r="823" spans="1:13" x14ac:dyDescent="0.25">
      <c r="A823" s="2420">
        <v>82</v>
      </c>
      <c r="B823" s="2380">
        <f t="shared" si="267"/>
        <v>0</v>
      </c>
      <c r="C823" s="837">
        <f t="shared" si="268"/>
        <v>0</v>
      </c>
      <c r="D823" s="841">
        <f t="shared" si="269"/>
        <v>0</v>
      </c>
      <c r="E823" s="1895">
        <f t="shared" si="270"/>
        <v>0</v>
      </c>
      <c r="F823" s="2380">
        <f t="shared" si="271"/>
        <v>0</v>
      </c>
      <c r="G823" s="837">
        <f t="shared" si="272"/>
        <v>0</v>
      </c>
      <c r="H823" s="840">
        <f t="shared" si="273"/>
        <v>0</v>
      </c>
      <c r="I823" s="868">
        <f t="shared" si="274"/>
        <v>0</v>
      </c>
      <c r="J823" s="841">
        <f t="shared" si="275"/>
        <v>0</v>
      </c>
      <c r="K823" s="837">
        <f t="shared" si="276"/>
        <v>0</v>
      </c>
      <c r="L823" s="841">
        <f t="shared" si="277"/>
        <v>0</v>
      </c>
      <c r="M823" s="1895">
        <f t="shared" si="278"/>
        <v>0</v>
      </c>
    </row>
    <row r="824" spans="1:13" x14ac:dyDescent="0.25">
      <c r="A824" s="2420">
        <v>83</v>
      </c>
      <c r="B824" s="2380">
        <f t="shared" si="267"/>
        <v>0</v>
      </c>
      <c r="C824" s="837">
        <f t="shared" si="268"/>
        <v>0</v>
      </c>
      <c r="D824" s="841">
        <f t="shared" si="269"/>
        <v>0</v>
      </c>
      <c r="E824" s="1895">
        <f t="shared" si="270"/>
        <v>0</v>
      </c>
      <c r="F824" s="2380">
        <f t="shared" si="271"/>
        <v>0</v>
      </c>
      <c r="G824" s="837">
        <f t="shared" si="272"/>
        <v>0</v>
      </c>
      <c r="H824" s="840">
        <f t="shared" si="273"/>
        <v>0</v>
      </c>
      <c r="I824" s="868">
        <f t="shared" si="274"/>
        <v>0</v>
      </c>
      <c r="J824" s="841">
        <f t="shared" si="275"/>
        <v>0</v>
      </c>
      <c r="K824" s="837">
        <f t="shared" si="276"/>
        <v>0</v>
      </c>
      <c r="L824" s="841">
        <f t="shared" si="277"/>
        <v>0</v>
      </c>
      <c r="M824" s="1895">
        <f t="shared" si="278"/>
        <v>0</v>
      </c>
    </row>
    <row r="825" spans="1:13" x14ac:dyDescent="0.25">
      <c r="A825" s="2420">
        <v>84</v>
      </c>
      <c r="B825" s="2380">
        <f t="shared" si="267"/>
        <v>0</v>
      </c>
      <c r="C825" s="837">
        <f t="shared" si="268"/>
        <v>0</v>
      </c>
      <c r="D825" s="841">
        <f t="shared" si="269"/>
        <v>0</v>
      </c>
      <c r="E825" s="1895">
        <f t="shared" si="270"/>
        <v>0</v>
      </c>
      <c r="F825" s="2380">
        <f t="shared" si="271"/>
        <v>0</v>
      </c>
      <c r="G825" s="837">
        <f t="shared" si="272"/>
        <v>0</v>
      </c>
      <c r="H825" s="840">
        <f t="shared" si="273"/>
        <v>0</v>
      </c>
      <c r="I825" s="868">
        <f t="shared" si="274"/>
        <v>0</v>
      </c>
      <c r="J825" s="841">
        <f t="shared" si="275"/>
        <v>0</v>
      </c>
      <c r="K825" s="837">
        <f t="shared" si="276"/>
        <v>0</v>
      </c>
      <c r="L825" s="841">
        <f t="shared" si="277"/>
        <v>0</v>
      </c>
      <c r="M825" s="1895">
        <f t="shared" si="278"/>
        <v>0</v>
      </c>
    </row>
    <row r="826" spans="1:13" x14ac:dyDescent="0.25">
      <c r="A826" s="2420">
        <v>85</v>
      </c>
      <c r="B826" s="2380">
        <f t="shared" si="267"/>
        <v>0</v>
      </c>
      <c r="C826" s="837">
        <f t="shared" si="268"/>
        <v>0</v>
      </c>
      <c r="D826" s="841">
        <f t="shared" si="269"/>
        <v>0</v>
      </c>
      <c r="E826" s="1895">
        <f t="shared" si="270"/>
        <v>0</v>
      </c>
      <c r="F826" s="2380">
        <f t="shared" si="271"/>
        <v>0</v>
      </c>
      <c r="G826" s="837">
        <f t="shared" si="272"/>
        <v>0</v>
      </c>
      <c r="H826" s="840">
        <f t="shared" si="273"/>
        <v>0</v>
      </c>
      <c r="I826" s="868">
        <f t="shared" si="274"/>
        <v>0</v>
      </c>
      <c r="J826" s="841">
        <f t="shared" si="275"/>
        <v>0</v>
      </c>
      <c r="K826" s="837">
        <f t="shared" si="276"/>
        <v>0</v>
      </c>
      <c r="L826" s="841">
        <f t="shared" si="277"/>
        <v>0</v>
      </c>
      <c r="M826" s="1895">
        <f t="shared" si="278"/>
        <v>0</v>
      </c>
    </row>
    <row r="827" spans="1:13" x14ac:dyDescent="0.25">
      <c r="A827" s="2420">
        <v>86</v>
      </c>
      <c r="B827" s="2380">
        <f t="shared" si="267"/>
        <v>0</v>
      </c>
      <c r="C827" s="837">
        <f t="shared" si="268"/>
        <v>0</v>
      </c>
      <c r="D827" s="841">
        <f t="shared" si="269"/>
        <v>0</v>
      </c>
      <c r="E827" s="1895">
        <f t="shared" si="270"/>
        <v>0</v>
      </c>
      <c r="F827" s="2380">
        <f t="shared" si="271"/>
        <v>0</v>
      </c>
      <c r="G827" s="837">
        <f t="shared" si="272"/>
        <v>0</v>
      </c>
      <c r="H827" s="840">
        <f t="shared" si="273"/>
        <v>0</v>
      </c>
      <c r="I827" s="868">
        <f t="shared" si="274"/>
        <v>0</v>
      </c>
      <c r="J827" s="841">
        <f t="shared" si="275"/>
        <v>0</v>
      </c>
      <c r="K827" s="837">
        <f t="shared" si="276"/>
        <v>0</v>
      </c>
      <c r="L827" s="841">
        <f t="shared" si="277"/>
        <v>0</v>
      </c>
      <c r="M827" s="1895">
        <f t="shared" si="278"/>
        <v>0</v>
      </c>
    </row>
    <row r="828" spans="1:13" x14ac:dyDescent="0.25">
      <c r="A828" s="2420">
        <v>87</v>
      </c>
      <c r="B828" s="2380">
        <f t="shared" si="267"/>
        <v>0</v>
      </c>
      <c r="C828" s="837">
        <f t="shared" si="268"/>
        <v>0</v>
      </c>
      <c r="D828" s="841">
        <f t="shared" si="269"/>
        <v>0</v>
      </c>
      <c r="E828" s="1895">
        <f t="shared" si="270"/>
        <v>0</v>
      </c>
      <c r="F828" s="2380">
        <f t="shared" si="271"/>
        <v>0</v>
      </c>
      <c r="G828" s="837">
        <f t="shared" si="272"/>
        <v>0</v>
      </c>
      <c r="H828" s="840">
        <f t="shared" si="273"/>
        <v>0</v>
      </c>
      <c r="I828" s="868">
        <f t="shared" si="274"/>
        <v>0</v>
      </c>
      <c r="J828" s="841">
        <f t="shared" si="275"/>
        <v>0</v>
      </c>
      <c r="K828" s="837">
        <f t="shared" si="276"/>
        <v>0</v>
      </c>
      <c r="L828" s="841">
        <f t="shared" si="277"/>
        <v>0</v>
      </c>
      <c r="M828" s="1895">
        <f t="shared" si="278"/>
        <v>0</v>
      </c>
    </row>
    <row r="829" spans="1:13" x14ac:dyDescent="0.25">
      <c r="A829" s="2420">
        <v>88</v>
      </c>
      <c r="B829" s="2380">
        <f t="shared" si="267"/>
        <v>0</v>
      </c>
      <c r="C829" s="837">
        <f t="shared" si="268"/>
        <v>0</v>
      </c>
      <c r="D829" s="841">
        <f t="shared" si="269"/>
        <v>0</v>
      </c>
      <c r="E829" s="1895">
        <f t="shared" si="270"/>
        <v>0</v>
      </c>
      <c r="F829" s="2380">
        <f t="shared" si="271"/>
        <v>0</v>
      </c>
      <c r="G829" s="837">
        <f t="shared" si="272"/>
        <v>0</v>
      </c>
      <c r="H829" s="840">
        <f t="shared" si="273"/>
        <v>0</v>
      </c>
      <c r="I829" s="868">
        <f t="shared" si="274"/>
        <v>0</v>
      </c>
      <c r="J829" s="841">
        <f t="shared" si="275"/>
        <v>0</v>
      </c>
      <c r="K829" s="837">
        <f t="shared" si="276"/>
        <v>0</v>
      </c>
      <c r="L829" s="841">
        <f t="shared" si="277"/>
        <v>0</v>
      </c>
      <c r="M829" s="1895">
        <f t="shared" si="278"/>
        <v>0</v>
      </c>
    </row>
    <row r="830" spans="1:13" x14ac:dyDescent="0.25">
      <c r="A830" s="2420">
        <v>89</v>
      </c>
      <c r="B830" s="2380">
        <f t="shared" si="267"/>
        <v>0</v>
      </c>
      <c r="C830" s="837">
        <f t="shared" si="268"/>
        <v>0</v>
      </c>
      <c r="D830" s="841">
        <f t="shared" si="269"/>
        <v>0</v>
      </c>
      <c r="E830" s="1895">
        <f t="shared" si="270"/>
        <v>0</v>
      </c>
      <c r="F830" s="2380">
        <f t="shared" si="271"/>
        <v>0</v>
      </c>
      <c r="G830" s="837">
        <f t="shared" si="272"/>
        <v>0</v>
      </c>
      <c r="H830" s="840">
        <f t="shared" si="273"/>
        <v>0</v>
      </c>
      <c r="I830" s="868">
        <f t="shared" si="274"/>
        <v>0</v>
      </c>
      <c r="J830" s="841">
        <f t="shared" si="275"/>
        <v>0</v>
      </c>
      <c r="K830" s="837">
        <f t="shared" si="276"/>
        <v>0</v>
      </c>
      <c r="L830" s="841">
        <f t="shared" si="277"/>
        <v>0</v>
      </c>
      <c r="M830" s="1895">
        <f t="shared" si="278"/>
        <v>0</v>
      </c>
    </row>
    <row r="831" spans="1:13" x14ac:dyDescent="0.25">
      <c r="A831" s="2420">
        <v>90</v>
      </c>
      <c r="B831" s="2380">
        <f t="shared" si="267"/>
        <v>0</v>
      </c>
      <c r="C831" s="837">
        <f t="shared" si="268"/>
        <v>0</v>
      </c>
      <c r="D831" s="841">
        <f t="shared" si="269"/>
        <v>0</v>
      </c>
      <c r="E831" s="1895">
        <f t="shared" si="270"/>
        <v>0</v>
      </c>
      <c r="F831" s="2380">
        <f t="shared" si="271"/>
        <v>0</v>
      </c>
      <c r="G831" s="837">
        <f t="shared" si="272"/>
        <v>0</v>
      </c>
      <c r="H831" s="840">
        <f t="shared" si="273"/>
        <v>0</v>
      </c>
      <c r="I831" s="868">
        <f t="shared" si="274"/>
        <v>0</v>
      </c>
      <c r="J831" s="841">
        <f t="shared" si="275"/>
        <v>0</v>
      </c>
      <c r="K831" s="837">
        <f t="shared" si="276"/>
        <v>0</v>
      </c>
      <c r="L831" s="841">
        <f t="shared" si="277"/>
        <v>0</v>
      </c>
      <c r="M831" s="1895">
        <f t="shared" si="278"/>
        <v>0</v>
      </c>
    </row>
    <row r="832" spans="1:13" x14ac:dyDescent="0.25">
      <c r="A832" s="2420">
        <v>91</v>
      </c>
      <c r="B832" s="2380">
        <f t="shared" si="267"/>
        <v>0</v>
      </c>
      <c r="C832" s="837">
        <f t="shared" si="268"/>
        <v>0</v>
      </c>
      <c r="D832" s="841">
        <f t="shared" si="269"/>
        <v>0</v>
      </c>
      <c r="E832" s="1895">
        <f t="shared" si="270"/>
        <v>0</v>
      </c>
      <c r="F832" s="2380">
        <f t="shared" si="271"/>
        <v>0</v>
      </c>
      <c r="G832" s="837">
        <f t="shared" si="272"/>
        <v>0</v>
      </c>
      <c r="H832" s="840">
        <f t="shared" si="273"/>
        <v>0</v>
      </c>
      <c r="I832" s="868">
        <f t="shared" si="274"/>
        <v>0</v>
      </c>
      <c r="J832" s="841">
        <f t="shared" si="275"/>
        <v>0</v>
      </c>
      <c r="K832" s="837">
        <f t="shared" si="276"/>
        <v>0</v>
      </c>
      <c r="L832" s="841">
        <f t="shared" si="277"/>
        <v>0</v>
      </c>
      <c r="M832" s="1895">
        <f t="shared" si="278"/>
        <v>0</v>
      </c>
    </row>
    <row r="833" spans="1:13" x14ac:dyDescent="0.25">
      <c r="A833" s="2420">
        <v>92</v>
      </c>
      <c r="B833" s="2380">
        <f t="shared" si="267"/>
        <v>0</v>
      </c>
      <c r="C833" s="837">
        <f t="shared" si="268"/>
        <v>0</v>
      </c>
      <c r="D833" s="841">
        <f t="shared" si="269"/>
        <v>0</v>
      </c>
      <c r="E833" s="1895">
        <f t="shared" si="270"/>
        <v>0</v>
      </c>
      <c r="F833" s="2380">
        <f t="shared" si="271"/>
        <v>0</v>
      </c>
      <c r="G833" s="837">
        <f t="shared" si="272"/>
        <v>0</v>
      </c>
      <c r="H833" s="840">
        <f t="shared" si="273"/>
        <v>0</v>
      </c>
      <c r="I833" s="868">
        <f t="shared" si="274"/>
        <v>0</v>
      </c>
      <c r="J833" s="841">
        <f t="shared" si="275"/>
        <v>0</v>
      </c>
      <c r="K833" s="837">
        <f t="shared" si="276"/>
        <v>0</v>
      </c>
      <c r="L833" s="841">
        <f t="shared" si="277"/>
        <v>0</v>
      </c>
      <c r="M833" s="1895">
        <f t="shared" si="278"/>
        <v>0</v>
      </c>
    </row>
    <row r="834" spans="1:13" x14ac:dyDescent="0.25">
      <c r="A834" s="2420">
        <v>93</v>
      </c>
      <c r="B834" s="2380">
        <f t="shared" si="267"/>
        <v>0</v>
      </c>
      <c r="C834" s="837">
        <f t="shared" si="268"/>
        <v>0</v>
      </c>
      <c r="D834" s="841">
        <f t="shared" si="269"/>
        <v>0</v>
      </c>
      <c r="E834" s="1895">
        <f t="shared" si="270"/>
        <v>0</v>
      </c>
      <c r="F834" s="2380">
        <f t="shared" si="271"/>
        <v>0</v>
      </c>
      <c r="G834" s="837">
        <f t="shared" si="272"/>
        <v>0</v>
      </c>
      <c r="H834" s="840">
        <f t="shared" si="273"/>
        <v>0</v>
      </c>
      <c r="I834" s="868">
        <f t="shared" si="274"/>
        <v>0</v>
      </c>
      <c r="J834" s="841">
        <f t="shared" si="275"/>
        <v>0</v>
      </c>
      <c r="K834" s="837">
        <f t="shared" si="276"/>
        <v>0</v>
      </c>
      <c r="L834" s="841">
        <f t="shared" si="277"/>
        <v>0</v>
      </c>
      <c r="M834" s="1895">
        <f t="shared" si="278"/>
        <v>0</v>
      </c>
    </row>
    <row r="835" spans="1:13" x14ac:dyDescent="0.25">
      <c r="A835" s="2420">
        <v>94</v>
      </c>
      <c r="B835" s="2380">
        <f t="shared" si="267"/>
        <v>0</v>
      </c>
      <c r="C835" s="837">
        <f t="shared" si="268"/>
        <v>0</v>
      </c>
      <c r="D835" s="841">
        <f t="shared" si="269"/>
        <v>0</v>
      </c>
      <c r="E835" s="1895">
        <f t="shared" si="270"/>
        <v>0</v>
      </c>
      <c r="F835" s="2380">
        <f t="shared" si="271"/>
        <v>0</v>
      </c>
      <c r="G835" s="837">
        <f t="shared" si="272"/>
        <v>0</v>
      </c>
      <c r="H835" s="840">
        <f t="shared" si="273"/>
        <v>0</v>
      </c>
      <c r="I835" s="868">
        <f t="shared" si="274"/>
        <v>0</v>
      </c>
      <c r="J835" s="841">
        <f t="shared" si="275"/>
        <v>0</v>
      </c>
      <c r="K835" s="837">
        <f t="shared" si="276"/>
        <v>0</v>
      </c>
      <c r="L835" s="841">
        <f t="shared" si="277"/>
        <v>0</v>
      </c>
      <c r="M835" s="1895">
        <f t="shared" si="278"/>
        <v>0</v>
      </c>
    </row>
    <row r="836" spans="1:13" x14ac:dyDescent="0.25">
      <c r="A836" s="2420">
        <v>95</v>
      </c>
      <c r="B836" s="2380">
        <f t="shared" si="267"/>
        <v>0</v>
      </c>
      <c r="C836" s="837">
        <f t="shared" si="268"/>
        <v>0</v>
      </c>
      <c r="D836" s="841">
        <f t="shared" si="269"/>
        <v>0</v>
      </c>
      <c r="E836" s="1895">
        <f t="shared" si="270"/>
        <v>0</v>
      </c>
      <c r="F836" s="2380">
        <f t="shared" si="271"/>
        <v>0</v>
      </c>
      <c r="G836" s="837">
        <f t="shared" si="272"/>
        <v>0</v>
      </c>
      <c r="H836" s="840">
        <f t="shared" si="273"/>
        <v>0</v>
      </c>
      <c r="I836" s="868">
        <f t="shared" si="274"/>
        <v>0</v>
      </c>
      <c r="J836" s="841">
        <f t="shared" si="275"/>
        <v>0</v>
      </c>
      <c r="K836" s="837">
        <f t="shared" si="276"/>
        <v>0</v>
      </c>
      <c r="L836" s="841">
        <f t="shared" si="277"/>
        <v>0</v>
      </c>
      <c r="M836" s="1895">
        <f t="shared" si="278"/>
        <v>0</v>
      </c>
    </row>
    <row r="837" spans="1:13" x14ac:dyDescent="0.25">
      <c r="A837" s="2420">
        <v>96</v>
      </c>
      <c r="B837" s="2380">
        <f t="shared" si="267"/>
        <v>0</v>
      </c>
      <c r="C837" s="837">
        <f t="shared" si="268"/>
        <v>0</v>
      </c>
      <c r="D837" s="841">
        <f t="shared" si="269"/>
        <v>0</v>
      </c>
      <c r="E837" s="1895">
        <f t="shared" si="270"/>
        <v>0</v>
      </c>
      <c r="F837" s="2380">
        <f t="shared" si="271"/>
        <v>0</v>
      </c>
      <c r="G837" s="837">
        <f t="shared" si="272"/>
        <v>0</v>
      </c>
      <c r="H837" s="840">
        <f t="shared" si="273"/>
        <v>0</v>
      </c>
      <c r="I837" s="868">
        <f t="shared" si="274"/>
        <v>0</v>
      </c>
      <c r="J837" s="841">
        <f t="shared" si="275"/>
        <v>0</v>
      </c>
      <c r="K837" s="837">
        <f t="shared" si="276"/>
        <v>0</v>
      </c>
      <c r="L837" s="841">
        <f t="shared" si="277"/>
        <v>0</v>
      </c>
      <c r="M837" s="1895">
        <f t="shared" si="278"/>
        <v>0</v>
      </c>
    </row>
    <row r="838" spans="1:13" x14ac:dyDescent="0.25">
      <c r="A838" s="2420">
        <v>97</v>
      </c>
      <c r="B838" s="2380">
        <f t="shared" ref="B838:B844" si="279">IF(AND($C262="inher-Life",OR($B262="W",$B262="FW")),$D262,0)</f>
        <v>0</v>
      </c>
      <c r="C838" s="837">
        <f t="shared" ref="C838:C844" si="280">IF(AND($C262="inher-Life",OR($B262="W",$B262="FW")),$G262,0)</f>
        <v>0</v>
      </c>
      <c r="D838" s="841">
        <f t="shared" ref="D838:D844" si="281">IF(AND($I262="inher-Life",OR($H262="W",$H262="FW")),$J262,0)</f>
        <v>0</v>
      </c>
      <c r="E838" s="1895">
        <f t="shared" ref="E838:E844" si="282">IF(AND($I262="inher-Life",OR($H262="W",$H262="FW")),$M262,0)</f>
        <v>0</v>
      </c>
      <c r="F838" s="2380">
        <f t="shared" ref="F838:F844" si="283">IF(AND($C262="401(k)-Roth",OR($B262="C",$B262="FC")),$D262,0)</f>
        <v>0</v>
      </c>
      <c r="G838" s="837">
        <f t="shared" ref="G838:G844" si="284">IF(AND($C262="401(k)-Roth",OR($B262="C",$B262="FC")),$G262,0)</f>
        <v>0</v>
      </c>
      <c r="H838" s="840">
        <f t="shared" ref="H838:H844" si="285">IF(AND($C262="401(k)-Roth",OR($B262="W",$B262="FW")),$D262,0)</f>
        <v>0</v>
      </c>
      <c r="I838" s="868">
        <f t="shared" ref="I838:I844" si="286">IF(AND($C262="401(k)-Roth",OR($B262="W",$B262="FW")),$G262,0)</f>
        <v>0</v>
      </c>
      <c r="J838" s="841">
        <f t="shared" ref="J838:J844" si="287">IF(AND($I262="401(k)-Roth",OR($H262="C",$H262="FC")),$J262,0)</f>
        <v>0</v>
      </c>
      <c r="K838" s="837">
        <f t="shared" ref="K838:K844" si="288">IF(AND($I262="401(k)-Roth",OR($H262="C",$H262="FC")),$M262,0)</f>
        <v>0</v>
      </c>
      <c r="L838" s="841">
        <f t="shared" ref="L838:L844" si="289">IF(AND($I262="401(k)-Roth",OR($H262="W",$H262="FW")),$J262,0)</f>
        <v>0</v>
      </c>
      <c r="M838" s="1895">
        <f t="shared" ref="M838:M844" si="290">IF(AND($I262="401(k)-Roth",OR($H262="W",$H262="FW")),$M262,0)</f>
        <v>0</v>
      </c>
    </row>
    <row r="839" spans="1:13" x14ac:dyDescent="0.25">
      <c r="A839" s="2420">
        <v>98</v>
      </c>
      <c r="B839" s="2380">
        <f t="shared" si="279"/>
        <v>0</v>
      </c>
      <c r="C839" s="837">
        <f t="shared" si="280"/>
        <v>0</v>
      </c>
      <c r="D839" s="841">
        <f t="shared" si="281"/>
        <v>0</v>
      </c>
      <c r="E839" s="1895">
        <f t="shared" si="282"/>
        <v>0</v>
      </c>
      <c r="F839" s="2380">
        <f t="shared" si="283"/>
        <v>0</v>
      </c>
      <c r="G839" s="837">
        <f t="shared" si="284"/>
        <v>0</v>
      </c>
      <c r="H839" s="840">
        <f t="shared" si="285"/>
        <v>0</v>
      </c>
      <c r="I839" s="868">
        <f t="shared" si="286"/>
        <v>0</v>
      </c>
      <c r="J839" s="841">
        <f t="shared" si="287"/>
        <v>0</v>
      </c>
      <c r="K839" s="837">
        <f t="shared" si="288"/>
        <v>0</v>
      </c>
      <c r="L839" s="841">
        <f t="shared" si="289"/>
        <v>0</v>
      </c>
      <c r="M839" s="1895">
        <f t="shared" si="290"/>
        <v>0</v>
      </c>
    </row>
    <row r="840" spans="1:13" x14ac:dyDescent="0.25">
      <c r="A840" s="2420">
        <v>99</v>
      </c>
      <c r="B840" s="2380">
        <f t="shared" si="279"/>
        <v>0</v>
      </c>
      <c r="C840" s="837">
        <f t="shared" si="280"/>
        <v>0</v>
      </c>
      <c r="D840" s="841">
        <f t="shared" si="281"/>
        <v>0</v>
      </c>
      <c r="E840" s="1895">
        <f t="shared" si="282"/>
        <v>0</v>
      </c>
      <c r="F840" s="2380">
        <f t="shared" si="283"/>
        <v>0</v>
      </c>
      <c r="G840" s="837">
        <f t="shared" si="284"/>
        <v>0</v>
      </c>
      <c r="H840" s="840">
        <f t="shared" si="285"/>
        <v>0</v>
      </c>
      <c r="I840" s="868">
        <f t="shared" si="286"/>
        <v>0</v>
      </c>
      <c r="J840" s="841">
        <f t="shared" si="287"/>
        <v>0</v>
      </c>
      <c r="K840" s="837">
        <f t="shared" si="288"/>
        <v>0</v>
      </c>
      <c r="L840" s="841">
        <f t="shared" si="289"/>
        <v>0</v>
      </c>
      <c r="M840" s="1895">
        <f t="shared" si="290"/>
        <v>0</v>
      </c>
    </row>
    <row r="841" spans="1:13" x14ac:dyDescent="0.25">
      <c r="A841" s="2420">
        <v>100</v>
      </c>
      <c r="B841" s="2380">
        <f t="shared" si="279"/>
        <v>0</v>
      </c>
      <c r="C841" s="837">
        <f t="shared" si="280"/>
        <v>0</v>
      </c>
      <c r="D841" s="841">
        <f t="shared" si="281"/>
        <v>0</v>
      </c>
      <c r="E841" s="1895">
        <f t="shared" si="282"/>
        <v>0</v>
      </c>
      <c r="F841" s="2380">
        <f t="shared" si="283"/>
        <v>0</v>
      </c>
      <c r="G841" s="837">
        <f t="shared" si="284"/>
        <v>0</v>
      </c>
      <c r="H841" s="840">
        <f t="shared" si="285"/>
        <v>0</v>
      </c>
      <c r="I841" s="868">
        <f t="shared" si="286"/>
        <v>0</v>
      </c>
      <c r="J841" s="841">
        <f t="shared" si="287"/>
        <v>0</v>
      </c>
      <c r="K841" s="837">
        <f t="shared" si="288"/>
        <v>0</v>
      </c>
      <c r="L841" s="841">
        <f t="shared" si="289"/>
        <v>0</v>
      </c>
      <c r="M841" s="1895">
        <f t="shared" si="290"/>
        <v>0</v>
      </c>
    </row>
    <row r="842" spans="1:13" x14ac:dyDescent="0.25">
      <c r="A842" s="2420">
        <v>101</v>
      </c>
      <c r="B842" s="2380">
        <f t="shared" si="279"/>
        <v>0</v>
      </c>
      <c r="C842" s="837">
        <f t="shared" si="280"/>
        <v>0</v>
      </c>
      <c r="D842" s="841">
        <f t="shared" si="281"/>
        <v>0</v>
      </c>
      <c r="E842" s="1895">
        <f t="shared" si="282"/>
        <v>0</v>
      </c>
      <c r="F842" s="2380">
        <f t="shared" si="283"/>
        <v>0</v>
      </c>
      <c r="G842" s="837">
        <f t="shared" si="284"/>
        <v>0</v>
      </c>
      <c r="H842" s="840">
        <f t="shared" si="285"/>
        <v>0</v>
      </c>
      <c r="I842" s="868">
        <f t="shared" si="286"/>
        <v>0</v>
      </c>
      <c r="J842" s="841">
        <f t="shared" si="287"/>
        <v>0</v>
      </c>
      <c r="K842" s="837">
        <f t="shared" si="288"/>
        <v>0</v>
      </c>
      <c r="L842" s="841">
        <f t="shared" si="289"/>
        <v>0</v>
      </c>
      <c r="M842" s="1895">
        <f t="shared" si="290"/>
        <v>0</v>
      </c>
    </row>
    <row r="843" spans="1:13" x14ac:dyDescent="0.25">
      <c r="A843" s="2420">
        <v>102</v>
      </c>
      <c r="B843" s="2380">
        <f t="shared" si="279"/>
        <v>0</v>
      </c>
      <c r="C843" s="837">
        <f t="shared" si="280"/>
        <v>0</v>
      </c>
      <c r="D843" s="841">
        <f t="shared" si="281"/>
        <v>0</v>
      </c>
      <c r="E843" s="1895">
        <f t="shared" si="282"/>
        <v>0</v>
      </c>
      <c r="F843" s="2380">
        <f t="shared" si="283"/>
        <v>0</v>
      </c>
      <c r="G843" s="837">
        <f t="shared" si="284"/>
        <v>0</v>
      </c>
      <c r="H843" s="840">
        <f t="shared" si="285"/>
        <v>0</v>
      </c>
      <c r="I843" s="868">
        <f t="shared" si="286"/>
        <v>0</v>
      </c>
      <c r="J843" s="841">
        <f t="shared" si="287"/>
        <v>0</v>
      </c>
      <c r="K843" s="837">
        <f t="shared" si="288"/>
        <v>0</v>
      </c>
      <c r="L843" s="841">
        <f t="shared" si="289"/>
        <v>0</v>
      </c>
      <c r="M843" s="1895">
        <f t="shared" si="290"/>
        <v>0</v>
      </c>
    </row>
    <row r="844" spans="1:13" ht="15.75" thickBot="1" x14ac:dyDescent="0.3">
      <c r="A844" s="2421">
        <v>103</v>
      </c>
      <c r="B844" s="2381">
        <f t="shared" si="279"/>
        <v>0</v>
      </c>
      <c r="C844" s="1896">
        <f t="shared" si="280"/>
        <v>0</v>
      </c>
      <c r="D844" s="1886">
        <f t="shared" si="281"/>
        <v>0</v>
      </c>
      <c r="E844" s="1887">
        <f t="shared" si="282"/>
        <v>0</v>
      </c>
      <c r="F844" s="2381">
        <f t="shared" si="283"/>
        <v>0</v>
      </c>
      <c r="G844" s="1885">
        <f t="shared" si="284"/>
        <v>0</v>
      </c>
      <c r="H844" s="1884">
        <f t="shared" si="285"/>
        <v>0</v>
      </c>
      <c r="I844" s="1896">
        <f t="shared" si="286"/>
        <v>0</v>
      </c>
      <c r="J844" s="1886">
        <f t="shared" si="287"/>
        <v>0</v>
      </c>
      <c r="K844" s="1885">
        <f t="shared" si="288"/>
        <v>0</v>
      </c>
      <c r="L844" s="1886">
        <f t="shared" si="289"/>
        <v>0</v>
      </c>
      <c r="M844" s="1887">
        <f t="shared" si="290"/>
        <v>0</v>
      </c>
    </row>
    <row r="845" spans="1:13" ht="15.75" thickTop="1" x14ac:dyDescent="0.25">
      <c r="A845" s="874"/>
      <c r="B845" s="874"/>
      <c r="C845" s="867"/>
      <c r="D845" s="867"/>
      <c r="E845" s="867"/>
      <c r="F845" s="867"/>
      <c r="G845" s="867"/>
      <c r="H845" s="867"/>
      <c r="I845" s="33"/>
      <c r="J845" s="33"/>
      <c r="K845" s="33"/>
      <c r="L845" s="33"/>
      <c r="M845" s="33"/>
    </row>
    <row r="846" spans="1:13" x14ac:dyDescent="0.25">
      <c r="A846" s="33"/>
      <c r="B846" s="33"/>
      <c r="C846" s="33"/>
      <c r="D846" s="33"/>
      <c r="E846" s="2414"/>
      <c r="F846" s="2414"/>
      <c r="G846" s="2414"/>
      <c r="H846" s="2414"/>
      <c r="I846" s="33"/>
      <c r="J846" s="33"/>
      <c r="K846" s="33"/>
      <c r="L846" s="33"/>
      <c r="M846" s="33"/>
    </row>
    <row r="847" spans="1:13" x14ac:dyDescent="0.25">
      <c r="E847" s="1018"/>
      <c r="F847" s="1018"/>
      <c r="G847" s="1018"/>
      <c r="H847" s="1018"/>
    </row>
    <row r="848" spans="1:13" s="1382" customFormat="1" ht="15.75" x14ac:dyDescent="0.25">
      <c r="B848" s="1383" t="s">
        <v>2894</v>
      </c>
      <c r="G848" s="1383" t="s">
        <v>1119</v>
      </c>
    </row>
    <row r="849" spans="1:9" s="1384" customFormat="1" ht="16.5" thickBot="1" x14ac:dyDescent="0.3">
      <c r="A849" s="1382"/>
      <c r="B849" s="1379"/>
      <c r="C849" s="1382"/>
      <c r="D849" s="1382"/>
      <c r="E849" s="1382"/>
      <c r="F849" s="1382"/>
      <c r="G849" s="1379"/>
      <c r="H849" s="1382"/>
      <c r="I849" s="1382"/>
    </row>
    <row r="850" spans="1:9" ht="19.5" thickTop="1" x14ac:dyDescent="0.3">
      <c r="A850" s="960" t="s">
        <v>486</v>
      </c>
      <c r="B850" s="946"/>
      <c r="C850" s="946"/>
      <c r="D850" s="947"/>
      <c r="E850" s="947"/>
      <c r="F850" s="946"/>
      <c r="G850" s="946"/>
      <c r="H850" s="949"/>
    </row>
    <row r="851" spans="1:9" ht="15.75" x14ac:dyDescent="0.25">
      <c r="A851" s="964" t="s">
        <v>736</v>
      </c>
      <c r="B851" s="944"/>
      <c r="C851" s="944"/>
      <c r="D851" s="945"/>
      <c r="E851" s="945"/>
      <c r="F851" s="944"/>
      <c r="G851" s="944"/>
      <c r="H851" s="950"/>
    </row>
    <row r="852" spans="1:9" x14ac:dyDescent="0.25">
      <c r="A852" s="1054"/>
      <c r="B852" s="943" t="s">
        <v>326</v>
      </c>
      <c r="C852" s="945"/>
      <c r="D852" s="945"/>
      <c r="E852" s="945"/>
      <c r="F852" s="944"/>
      <c r="G852" s="944"/>
      <c r="H852" s="950"/>
    </row>
    <row r="853" spans="1:9" x14ac:dyDescent="0.25">
      <c r="A853" s="1054"/>
      <c r="B853" s="1356" t="s">
        <v>870</v>
      </c>
      <c r="C853" s="1357"/>
      <c r="D853" s="1357"/>
      <c r="E853" s="945"/>
      <c r="F853" s="944"/>
      <c r="G853" s="944"/>
      <c r="H853" s="950"/>
    </row>
    <row r="854" spans="1:9" x14ac:dyDescent="0.25">
      <c r="A854" s="1054"/>
      <c r="B854" s="942" t="s">
        <v>1103</v>
      </c>
      <c r="C854" s="945"/>
      <c r="D854" s="945"/>
      <c r="E854" s="945"/>
      <c r="F854" s="944"/>
      <c r="G854" s="944"/>
      <c r="H854" s="950"/>
    </row>
    <row r="855" spans="1:9" x14ac:dyDescent="0.25">
      <c r="A855" s="1054" t="s">
        <v>154</v>
      </c>
      <c r="B855" s="942" t="s">
        <v>1104</v>
      </c>
      <c r="C855" s="945"/>
      <c r="D855" s="945"/>
      <c r="E855" s="945"/>
      <c r="F855" s="944"/>
      <c r="G855" s="944"/>
      <c r="H855" s="950"/>
    </row>
    <row r="856" spans="1:9" x14ac:dyDescent="0.25">
      <c r="A856" s="1054"/>
      <c r="B856" s="942" t="s">
        <v>1105</v>
      </c>
      <c r="C856" s="945"/>
      <c r="D856" s="945"/>
      <c r="E856" s="945"/>
      <c r="F856" s="944"/>
      <c r="G856" s="944"/>
      <c r="H856" s="950"/>
    </row>
    <row r="857" spans="1:9" x14ac:dyDescent="0.25">
      <c r="A857" s="1890"/>
      <c r="B857" s="942" t="s">
        <v>1106</v>
      </c>
      <c r="C857" s="1019"/>
      <c r="D857" s="945"/>
      <c r="E857" s="945"/>
      <c r="F857" s="944"/>
      <c r="G857" s="944"/>
      <c r="H857" s="950"/>
    </row>
    <row r="858" spans="1:9" x14ac:dyDescent="0.25">
      <c r="A858" s="1890"/>
      <c r="B858" s="942" t="s">
        <v>1449</v>
      </c>
      <c r="C858" s="1019"/>
      <c r="D858" s="945"/>
      <c r="E858" s="945"/>
      <c r="F858" s="944"/>
      <c r="G858" s="944"/>
      <c r="H858" s="950"/>
    </row>
    <row r="859" spans="1:9" x14ac:dyDescent="0.25">
      <c r="A859" s="1890"/>
      <c r="B859" s="942" t="s">
        <v>1462</v>
      </c>
      <c r="C859" s="1019"/>
      <c r="D859" s="945"/>
      <c r="E859" s="945"/>
      <c r="F859" s="944"/>
      <c r="G859" s="944"/>
      <c r="H859" s="950"/>
    </row>
    <row r="860" spans="1:9" x14ac:dyDescent="0.25">
      <c r="A860" s="1890"/>
      <c r="B860" s="942" t="s">
        <v>1450</v>
      </c>
      <c r="C860" s="1019"/>
      <c r="D860" s="945"/>
      <c r="E860" s="945"/>
      <c r="F860" s="944"/>
      <c r="G860" s="944"/>
      <c r="H860" s="950"/>
    </row>
    <row r="861" spans="1:9" x14ac:dyDescent="0.25">
      <c r="A861" s="1890"/>
      <c r="B861" s="942" t="s">
        <v>1107</v>
      </c>
      <c r="C861" s="1019"/>
      <c r="D861" s="945"/>
      <c r="E861" s="945"/>
      <c r="F861" s="944"/>
      <c r="G861" s="944"/>
      <c r="H861" s="950"/>
    </row>
    <row r="862" spans="1:9" x14ac:dyDescent="0.25">
      <c r="A862" s="1890"/>
      <c r="B862" s="943" t="s">
        <v>1108</v>
      </c>
      <c r="C862" s="1019"/>
      <c r="D862" s="945"/>
      <c r="E862" s="945"/>
      <c r="F862" s="944"/>
      <c r="G862" s="944"/>
      <c r="H862" s="950"/>
    </row>
    <row r="863" spans="1:9" x14ac:dyDescent="0.25">
      <c r="A863" s="1890"/>
      <c r="B863" s="943" t="s">
        <v>1100</v>
      </c>
      <c r="C863" s="1019"/>
      <c r="D863" s="945"/>
      <c r="E863" s="945"/>
      <c r="F863" s="944"/>
      <c r="G863" s="944"/>
      <c r="H863" s="950"/>
    </row>
    <row r="864" spans="1:9" x14ac:dyDescent="0.25">
      <c r="A864" s="1054"/>
      <c r="B864" s="943" t="s">
        <v>1099</v>
      </c>
      <c r="C864" s="945"/>
      <c r="D864" s="945"/>
      <c r="E864" s="945"/>
      <c r="F864" s="944"/>
      <c r="G864" s="944"/>
      <c r="H864" s="950"/>
    </row>
    <row r="865" spans="1:8" x14ac:dyDescent="0.25">
      <c r="A865" s="1054"/>
      <c r="B865" s="943" t="s">
        <v>1098</v>
      </c>
      <c r="C865" s="945"/>
      <c r="D865" s="945"/>
      <c r="E865" s="945"/>
      <c r="F865" s="944"/>
      <c r="G865" s="944"/>
      <c r="H865" s="950"/>
    </row>
    <row r="866" spans="1:8" x14ac:dyDescent="0.25">
      <c r="A866" s="1054"/>
      <c r="B866" s="942" t="s">
        <v>1097</v>
      </c>
      <c r="C866" s="945"/>
      <c r="D866" s="945"/>
      <c r="E866" s="945"/>
      <c r="F866" s="944"/>
      <c r="G866" s="944"/>
      <c r="H866" s="950"/>
    </row>
    <row r="867" spans="1:8" x14ac:dyDescent="0.25">
      <c r="A867" s="1054"/>
      <c r="B867" s="943" t="s">
        <v>1101</v>
      </c>
      <c r="C867" s="945"/>
      <c r="D867" s="945"/>
      <c r="E867" s="945"/>
      <c r="F867" s="944"/>
      <c r="G867" s="944"/>
      <c r="H867" s="950"/>
    </row>
    <row r="868" spans="1:8" x14ac:dyDescent="0.25">
      <c r="A868" s="1054"/>
      <c r="B868" s="943" t="s">
        <v>1102</v>
      </c>
      <c r="C868" s="945"/>
      <c r="D868" s="1019" t="s">
        <v>1762</v>
      </c>
      <c r="E868" s="945"/>
      <c r="F868" s="944"/>
      <c r="G868" s="944"/>
      <c r="H868" s="950"/>
    </row>
    <row r="869" spans="1:8" x14ac:dyDescent="0.25">
      <c r="A869" s="1083"/>
      <c r="B869" s="1081" t="s">
        <v>719</v>
      </c>
      <c r="C869" s="945"/>
      <c r="D869" s="1019" t="s">
        <v>1764</v>
      </c>
      <c r="E869" s="945"/>
      <c r="F869" s="944"/>
      <c r="G869" s="944"/>
      <c r="H869" s="950"/>
    </row>
    <row r="870" spans="1:8" x14ac:dyDescent="0.25">
      <c r="A870" s="1083"/>
      <c r="B870" s="1081" t="s">
        <v>720</v>
      </c>
      <c r="C870" s="945"/>
      <c r="D870" s="1019" t="s">
        <v>1289</v>
      </c>
      <c r="E870" s="945"/>
      <c r="F870" s="945"/>
      <c r="G870" s="945"/>
      <c r="H870" s="950"/>
    </row>
    <row r="871" spans="1:8" x14ac:dyDescent="0.25">
      <c r="A871" s="1083"/>
      <c r="B871" s="1081" t="s">
        <v>721</v>
      </c>
      <c r="C871" s="945"/>
      <c r="D871" s="945" t="s">
        <v>722</v>
      </c>
      <c r="E871" s="945"/>
      <c r="F871" s="945"/>
      <c r="G871" s="945"/>
      <c r="H871" s="950"/>
    </row>
    <row r="872" spans="1:8" x14ac:dyDescent="0.25">
      <c r="A872" s="1083"/>
      <c r="B872" s="1081" t="s">
        <v>725</v>
      </c>
      <c r="C872" s="945"/>
      <c r="D872" s="1019" t="s">
        <v>1763</v>
      </c>
      <c r="E872" s="945"/>
      <c r="F872" s="945"/>
      <c r="G872" s="945"/>
      <c r="H872" s="950"/>
    </row>
    <row r="873" spans="1:8" ht="15.75" thickBot="1" x14ac:dyDescent="0.3">
      <c r="A873" s="1088"/>
      <c r="B873" s="1089" t="s">
        <v>577</v>
      </c>
      <c r="C873" s="948"/>
      <c r="D873" s="1087" t="s">
        <v>578</v>
      </c>
      <c r="E873" s="948"/>
      <c r="F873" s="948"/>
      <c r="G873" s="948"/>
      <c r="H873" s="951"/>
    </row>
    <row r="874" spans="1:8" ht="15.75" thickTop="1" x14ac:dyDescent="0.25"/>
  </sheetData>
  <sheetProtection sheet="1" objects="1" scenarios="1"/>
  <phoneticPr fontId="0" type="noConversion"/>
  <dataValidations count="4">
    <dataValidation type="list" allowBlank="1" showInputMessage="1" showErrorMessage="1" sqref="B166:B268 H166:H268">
      <formula1>"C,W,FC,FW,U"</formula1>
    </dataValidation>
    <dataValidation type="list" allowBlank="1" showInputMessage="1" showErrorMessage="1" sqref="C166:C268 I166:I268">
      <formula1>"Roth, inher-5Yr,inher-Life,401(k)-Roth"</formula1>
    </dataValidation>
    <dataValidation type="list" allowBlank="1" showInputMessage="1" showErrorMessage="1" sqref="K93:K94 K99:K100">
      <formula1>"regular-RMD,5-yr-rule"</formula1>
    </dataValidation>
    <dataValidation type="list" allowBlank="1" showInputMessage="1" showErrorMessage="1" sqref="K118 K124">
      <formula1>"70,71"</formula1>
    </dataValidation>
  </dataValidations>
  <hyperlinks>
    <hyperlink ref="B848" location="'7. IRAdata'!A1" display="Previous worksheet (7. IRAData)"/>
    <hyperlink ref="G848" location="'9. SavingsData'!A1" display="Next worksheet (9. SavingsData)"/>
    <hyperlink ref="B1" location="'7. IRAdata'!A1" display="Previous worksheet (7. IRAData)"/>
    <hyperlink ref="G1" location="'9. SavingsData'!A1" display="Next worksheet (9. SavingsData)"/>
    <hyperlink ref="I432" location="'S. Setup'!A1" display="S. Setup"/>
    <hyperlink ref="I12" location="'S. Setup'!A1" display="S. Setup"/>
    <hyperlink ref="B855" location="'S. Setup'!A1" display="Setup"/>
    <hyperlink ref="B856" location="'1. AgeData'!A1" display="AgeData"/>
    <hyperlink ref="B857" location="'2. TaxData'!A1" display="TaxData"/>
    <hyperlink ref="B859" location="'4. PensionData'!A1" display="4. PensionData"/>
    <hyperlink ref="B860" location="'5. SocSecData'!A1" display="5. SocSecData"/>
    <hyperlink ref="B858" location="'3. WorkData'!A1" display="3. WorkData"/>
    <hyperlink ref="B861" location="'6. AnnuityData'!A1" display="AnnuityData"/>
    <hyperlink ref="B862" location="'7. IRAdata'!A1" display="IRAdata"/>
    <hyperlink ref="B863" location="'8. RothData'!A1" display="RothData"/>
    <hyperlink ref="B864" location="'9. SavingsData'!A1" display="SavingsData"/>
    <hyperlink ref="B854" location="'R. Results'!A1" display="Results"/>
    <hyperlink ref="B866" location="'11. CashData'!A1" display="CashData"/>
    <hyperlink ref="B865" location="'10. ExpensesData'!A1" display="ExpensesData"/>
    <hyperlink ref="B867" location="'12. RMDtable'!A1" display="RMDtable"/>
    <hyperlink ref="B852" location="Introduction!A1" display="Introduction"/>
    <hyperlink ref="B872" location="'Appendix D'!A1" display="Appendix D"/>
    <hyperlink ref="B869" location="'Appendix A'!A1" display="Appendix A"/>
    <hyperlink ref="B870" location="'Appendix B'!A1" display="Appendix B"/>
    <hyperlink ref="B871" location="'Appendix C'!A1" display="Appendix C"/>
    <hyperlink ref="B873" location="FAQ!A1" display="FAQ"/>
    <hyperlink ref="B853" location="Assumptions!A1" display="Assumptions"/>
    <hyperlink ref="B868" location="'RS. Resources'!A1" display="Resources"/>
    <hyperlink ref="G77" location="'1. AgeData'!A1" display="1. AgeData"/>
    <hyperlink ref="E113" r:id="rId1"/>
    <hyperlink ref="A578" r:id="rId2"/>
    <hyperlink ref="A86" r:id="rId3"/>
    <hyperlink ref="F84" r:id="rId4"/>
  </hyperlinks>
  <printOptions headings="1" gridLines="1"/>
  <pageMargins left="0.7" right="0.7" top="0.75" bottom="0.75" header="0.3" footer="0.3"/>
  <pageSetup orientation="landscape" horizontalDpi="1200" verticalDpi="1200" r:id="rId5"/>
  <headerFooter alignWithMargins="0">
    <oddHeader>&amp;L&amp;F&amp;C   &amp;D &amp;T&amp;R&amp;A &amp;P</oddHeader>
  </headerFooter>
  <drawing r:id="rId6"/>
  <legacyDrawing r:id="rId7"/>
  <oleObjects>
    <mc:AlternateContent xmlns:mc="http://schemas.openxmlformats.org/markup-compatibility/2006">
      <mc:Choice Requires="x14">
        <oleObject shapeId="54276" r:id="rId8">
          <objectPr defaultSize="0" autoPict="0" r:id="rId9">
            <anchor moveWithCells="1">
              <from>
                <xdr:col>4</xdr:col>
                <xdr:colOff>504825</xdr:colOff>
                <xdr:row>150</xdr:row>
                <xdr:rowOff>38100</xdr:rowOff>
              </from>
              <to>
                <xdr:col>5</xdr:col>
                <xdr:colOff>381000</xdr:colOff>
                <xdr:row>153</xdr:row>
                <xdr:rowOff>114300</xdr:rowOff>
              </to>
            </anchor>
          </objectPr>
        </oleObject>
      </mc:Choice>
      <mc:Fallback>
        <oleObject shapeId="54276" r:id="rId8"/>
      </mc:Fallback>
    </mc:AlternateContent>
    <mc:AlternateContent xmlns:mc="http://schemas.openxmlformats.org/markup-compatibility/2006">
      <mc:Choice Requires="x14">
        <oleObject shapeId="54278" r:id="rId10">
          <objectPr defaultSize="0" autoPict="0" r:id="rId11">
            <anchor moveWithCells="1">
              <from>
                <xdr:col>4</xdr:col>
                <xdr:colOff>428625</xdr:colOff>
                <xdr:row>156</xdr:row>
                <xdr:rowOff>66675</xdr:rowOff>
              </from>
              <to>
                <xdr:col>5</xdr:col>
                <xdr:colOff>514350</xdr:colOff>
                <xdr:row>159</xdr:row>
                <xdr:rowOff>161925</xdr:rowOff>
              </to>
            </anchor>
          </objectPr>
        </oleObject>
      </mc:Choice>
      <mc:Fallback>
        <oleObject shapeId="54278" r:id="rId10"/>
      </mc:Fallback>
    </mc:AlternateContent>
  </oleObjec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P647"/>
  <sheetViews>
    <sheetView zoomScaleNormal="100" workbookViewId="0">
      <selection activeCell="D5" sqref="D5"/>
    </sheetView>
  </sheetViews>
  <sheetFormatPr defaultRowHeight="15" x14ac:dyDescent="0.25"/>
  <cols>
    <col min="1" max="1" width="5.42578125" customWidth="1"/>
    <col min="2" max="2" width="5.85546875" customWidth="1"/>
    <col min="4" max="4" width="10.5703125" customWidth="1"/>
    <col min="5" max="5" width="11.42578125" customWidth="1"/>
    <col min="6" max="6" width="8.5703125" customWidth="1"/>
    <col min="7" max="7" width="8.28515625" customWidth="1"/>
    <col min="8" max="8" width="8.85546875" customWidth="1"/>
    <col min="9" max="9" width="8.42578125" customWidth="1"/>
    <col min="10" max="10" width="9.85546875" customWidth="1"/>
    <col min="11" max="11" width="8.5703125" customWidth="1"/>
    <col min="12" max="12" width="8.85546875" customWidth="1"/>
    <col min="13" max="13" width="9.140625" customWidth="1"/>
  </cols>
  <sheetData>
    <row r="1" spans="1:13" s="1382" customFormat="1" ht="15.75" x14ac:dyDescent="0.25">
      <c r="B1" s="1383" t="s">
        <v>1116</v>
      </c>
      <c r="G1" s="1383" t="s">
        <v>1117</v>
      </c>
    </row>
    <row r="2" spans="1:13" s="1382" customFormat="1" ht="15.75" x14ac:dyDescent="0.25">
      <c r="A2" s="1408"/>
      <c r="B2" s="1409"/>
      <c r="C2" s="1408"/>
      <c r="D2" s="1408"/>
      <c r="E2" s="1408"/>
      <c r="F2" s="1408"/>
      <c r="G2" s="1409"/>
      <c r="H2" s="1408"/>
      <c r="I2" s="1408"/>
      <c r="J2" s="1408"/>
      <c r="K2" s="1408"/>
      <c r="L2" s="1408"/>
      <c r="M2" s="1408"/>
    </row>
    <row r="4" spans="1:13" ht="18.75" x14ac:dyDescent="0.3">
      <c r="A4" s="230" t="s">
        <v>118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</row>
    <row r="5" spans="1:13" ht="18.75" x14ac:dyDescent="0.3">
      <c r="A5" s="230"/>
      <c r="C5" s="6"/>
      <c r="D5" s="6"/>
      <c r="E5" s="6"/>
      <c r="F5" s="6"/>
      <c r="G5" s="6"/>
      <c r="H5" s="6"/>
      <c r="I5" s="6"/>
      <c r="J5" s="6"/>
      <c r="K5" s="6"/>
      <c r="L5" s="6"/>
      <c r="M5" s="6"/>
    </row>
    <row r="6" spans="1:13" ht="15.75" x14ac:dyDescent="0.25">
      <c r="A6" s="1582" t="s">
        <v>2989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</row>
    <row r="7" spans="1:13" x14ac:dyDescent="0.25">
      <c r="A7" s="1296" t="s">
        <v>3407</v>
      </c>
      <c r="C7" s="6"/>
      <c r="D7" s="6"/>
      <c r="E7" s="6"/>
      <c r="F7" s="6"/>
      <c r="G7" s="6"/>
      <c r="H7" s="6"/>
      <c r="I7" s="6"/>
      <c r="J7" s="6"/>
      <c r="K7" s="6"/>
      <c r="L7" s="6"/>
      <c r="M7" s="6"/>
    </row>
    <row r="8" spans="1:13" x14ac:dyDescent="0.25">
      <c r="A8" s="6" t="s">
        <v>3406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</row>
    <row r="9" spans="1:13" ht="16.5" thickBot="1" x14ac:dyDescent="0.3">
      <c r="A9" s="1582"/>
      <c r="C9" s="6"/>
      <c r="D9" s="6"/>
      <c r="E9" s="6"/>
      <c r="F9" s="6"/>
      <c r="G9" s="6"/>
      <c r="H9" s="6"/>
      <c r="I9" s="6"/>
      <c r="J9" s="6"/>
      <c r="K9" s="6"/>
      <c r="L9" s="6"/>
      <c r="M9" s="6"/>
    </row>
    <row r="10" spans="1:13" ht="18.75" x14ac:dyDescent="0.3">
      <c r="A10" s="589"/>
      <c r="B10" s="2199" t="s">
        <v>1833</v>
      </c>
      <c r="C10" s="628"/>
      <c r="D10" s="628"/>
      <c r="E10" s="628"/>
      <c r="F10" s="628"/>
      <c r="G10" s="629"/>
      <c r="H10" s="628"/>
      <c r="I10" s="628"/>
      <c r="J10" s="628"/>
      <c r="K10" s="630"/>
      <c r="L10" s="6"/>
      <c r="M10" s="6"/>
    </row>
    <row r="11" spans="1:13" s="215" customFormat="1" ht="19.5" thickBot="1" x14ac:dyDescent="0.35">
      <c r="A11" s="2198"/>
      <c r="B11" s="631" t="s">
        <v>1821</v>
      </c>
      <c r="C11" s="632"/>
      <c r="D11" s="632"/>
      <c r="E11" s="632"/>
      <c r="F11" s="632"/>
      <c r="G11" s="632"/>
      <c r="H11" s="632"/>
      <c r="I11" s="632"/>
      <c r="J11" s="632"/>
      <c r="K11" s="635"/>
      <c r="L11" s="33"/>
      <c r="M11" s="33"/>
    </row>
    <row r="12" spans="1:13" s="215" customFormat="1" ht="18.75" x14ac:dyDescent="0.3">
      <c r="A12" s="2198"/>
      <c r="B12" s="712"/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</row>
    <row r="13" spans="1:13" ht="18.75" x14ac:dyDescent="0.3">
      <c r="A13" s="589"/>
      <c r="B13" s="712"/>
      <c r="C13" s="33"/>
      <c r="D13" s="33"/>
      <c r="E13" s="33"/>
      <c r="F13" s="33"/>
      <c r="G13" s="33"/>
      <c r="H13" s="33"/>
      <c r="I13" s="33"/>
      <c r="J13" s="714"/>
      <c r="K13" s="33"/>
      <c r="L13" s="6"/>
      <c r="M13" s="6"/>
    </row>
    <row r="14" spans="1:13" ht="18.75" x14ac:dyDescent="0.3">
      <c r="A14" s="671" t="s">
        <v>253</v>
      </c>
      <c r="B14" s="760"/>
      <c r="C14" s="750"/>
      <c r="D14" s="750"/>
      <c r="E14" s="750"/>
      <c r="F14" s="750"/>
      <c r="G14" s="750"/>
      <c r="H14" s="750"/>
      <c r="I14" s="750"/>
      <c r="J14" s="749"/>
      <c r="K14" s="750"/>
      <c r="L14" s="2220"/>
      <c r="M14" s="2221"/>
    </row>
    <row r="15" spans="1:13" ht="18.75" x14ac:dyDescent="0.3">
      <c r="A15" s="761" t="s">
        <v>117</v>
      </c>
      <c r="B15" s="748"/>
      <c r="C15" s="122"/>
      <c r="D15" s="33"/>
      <c r="E15" s="33"/>
      <c r="F15" s="33"/>
      <c r="G15" s="33"/>
      <c r="H15" s="33"/>
      <c r="I15" s="33"/>
      <c r="J15" s="714"/>
      <c r="K15" s="33"/>
      <c r="L15" s="64"/>
      <c r="M15" s="2222"/>
    </row>
    <row r="16" spans="1:13" ht="18.75" x14ac:dyDescent="0.3">
      <c r="A16" s="761" t="s">
        <v>78</v>
      </c>
      <c r="B16" s="748"/>
      <c r="C16" s="122"/>
      <c r="D16" s="33"/>
      <c r="E16" s="33"/>
      <c r="F16" s="33"/>
      <c r="G16" s="33"/>
      <c r="H16" s="33"/>
      <c r="I16" s="33"/>
      <c r="J16" s="714"/>
      <c r="K16" s="33"/>
      <c r="L16" s="64"/>
      <c r="M16" s="2222"/>
    </row>
    <row r="17" spans="1:13" ht="18.75" x14ac:dyDescent="0.3">
      <c r="A17" s="679" t="s">
        <v>75</v>
      </c>
      <c r="B17" s="748"/>
      <c r="C17" s="122"/>
      <c r="D17" s="33"/>
      <c r="E17" s="33"/>
      <c r="F17" s="33"/>
      <c r="G17" s="33"/>
      <c r="H17" s="33"/>
      <c r="I17" s="33"/>
      <c r="J17" s="714"/>
      <c r="K17" s="33"/>
      <c r="L17" s="64"/>
      <c r="M17" s="2222"/>
    </row>
    <row r="18" spans="1:13" ht="18.75" x14ac:dyDescent="0.3">
      <c r="A18" s="679" t="s">
        <v>77</v>
      </c>
      <c r="B18" s="748"/>
      <c r="C18" s="122"/>
      <c r="D18" s="33"/>
      <c r="E18" s="33"/>
      <c r="F18" s="33"/>
      <c r="G18" s="33"/>
      <c r="H18" s="33"/>
      <c r="I18" s="33"/>
      <c r="J18" s="714"/>
      <c r="K18" s="33"/>
      <c r="L18" s="755"/>
      <c r="M18" s="2222"/>
    </row>
    <row r="19" spans="1:13" ht="18.75" x14ac:dyDescent="0.3">
      <c r="A19" s="679" t="s">
        <v>421</v>
      </c>
      <c r="B19" s="748"/>
      <c r="C19" s="122"/>
      <c r="D19" s="33"/>
      <c r="E19" s="33"/>
      <c r="F19" s="33"/>
      <c r="G19" s="33"/>
      <c r="H19" s="33"/>
      <c r="I19" s="33"/>
      <c r="J19" s="714"/>
      <c r="K19" s="33"/>
      <c r="L19" s="92"/>
      <c r="M19" s="678"/>
    </row>
    <row r="20" spans="1:13" x14ac:dyDescent="0.25">
      <c r="A20" s="762" t="s">
        <v>83</v>
      </c>
      <c r="B20" s="66"/>
      <c r="C20" s="66"/>
      <c r="D20" s="6"/>
      <c r="E20" s="6"/>
      <c r="F20" s="6"/>
      <c r="G20" s="6"/>
      <c r="H20" s="6"/>
      <c r="I20" s="6"/>
      <c r="J20" s="6"/>
      <c r="K20" s="6"/>
      <c r="L20" s="64"/>
      <c r="M20" s="2222"/>
    </row>
    <row r="21" spans="1:13" x14ac:dyDescent="0.25">
      <c r="A21" s="762" t="s">
        <v>84</v>
      </c>
      <c r="B21" s="66"/>
      <c r="C21" s="66"/>
      <c r="D21" s="6"/>
      <c r="E21" s="6"/>
      <c r="F21" s="6"/>
      <c r="G21" s="6"/>
      <c r="H21" s="6"/>
      <c r="I21" s="6"/>
      <c r="J21" s="6"/>
      <c r="K21" s="6"/>
      <c r="L21" s="64"/>
      <c r="M21" s="2222"/>
    </row>
    <row r="22" spans="1:13" x14ac:dyDescent="0.25">
      <c r="A22" s="1365" t="s">
        <v>1213</v>
      </c>
      <c r="B22" s="66"/>
      <c r="C22" s="66"/>
      <c r="D22" s="6"/>
      <c r="E22" s="6"/>
      <c r="F22" s="6"/>
      <c r="G22" s="6"/>
      <c r="H22" s="6"/>
      <c r="I22" s="6"/>
      <c r="J22" s="6"/>
      <c r="K22" s="6"/>
      <c r="L22" s="64"/>
      <c r="M22" s="2222"/>
    </row>
    <row r="23" spans="1:13" x14ac:dyDescent="0.25">
      <c r="A23" s="679" t="s">
        <v>85</v>
      </c>
      <c r="B23" s="66"/>
      <c r="C23" s="66"/>
      <c r="D23" s="6"/>
      <c r="E23" s="6"/>
      <c r="F23" s="6"/>
      <c r="G23" s="6"/>
      <c r="H23" s="6"/>
      <c r="I23" s="6"/>
      <c r="J23" s="6"/>
      <c r="K23" s="6"/>
      <c r="L23" s="64"/>
      <c r="M23" s="2222"/>
    </row>
    <row r="24" spans="1:13" x14ac:dyDescent="0.25">
      <c r="A24" s="679" t="s">
        <v>605</v>
      </c>
      <c r="B24" s="66"/>
      <c r="C24" s="66"/>
      <c r="D24" s="6"/>
      <c r="E24" s="6"/>
      <c r="F24" s="6"/>
      <c r="G24" s="6"/>
      <c r="H24" s="6"/>
      <c r="I24" s="6"/>
      <c r="J24" s="6"/>
      <c r="K24" s="6"/>
      <c r="L24" s="64"/>
      <c r="M24" s="2222"/>
    </row>
    <row r="25" spans="1:13" x14ac:dyDescent="0.25">
      <c r="A25" s="1365" t="s">
        <v>1835</v>
      </c>
      <c r="B25" s="66"/>
      <c r="C25" s="66"/>
      <c r="D25" s="6"/>
      <c r="E25" s="6"/>
      <c r="F25" s="6"/>
      <c r="G25" s="6"/>
      <c r="H25" s="6"/>
      <c r="I25" s="6"/>
      <c r="J25" s="6"/>
      <c r="K25" s="6"/>
      <c r="L25" s="64"/>
      <c r="M25" s="2222"/>
    </row>
    <row r="26" spans="1:13" x14ac:dyDescent="0.25">
      <c r="A26" s="679" t="s">
        <v>313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4"/>
      <c r="M26" s="2222"/>
    </row>
    <row r="27" spans="1:13" x14ac:dyDescent="0.25">
      <c r="A27" s="679" t="s">
        <v>271</v>
      </c>
      <c r="B27" s="6"/>
      <c r="C27" s="6"/>
      <c r="D27" s="6"/>
      <c r="E27" s="6"/>
      <c r="F27" s="6"/>
      <c r="G27" s="6"/>
      <c r="H27" s="6"/>
      <c r="I27" s="6"/>
      <c r="J27" s="6"/>
      <c r="K27" s="6"/>
      <c r="L27" s="754"/>
      <c r="M27" s="678"/>
    </row>
    <row r="28" spans="1:13" x14ac:dyDescent="0.25">
      <c r="A28" s="1365" t="s">
        <v>1838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78"/>
    </row>
    <row r="29" spans="1:13" x14ac:dyDescent="0.25">
      <c r="A29" s="1363" t="s">
        <v>2281</v>
      </c>
      <c r="B29" s="680"/>
      <c r="C29" s="680"/>
      <c r="D29" s="680"/>
      <c r="E29" s="680"/>
      <c r="F29" s="680"/>
      <c r="G29" s="680"/>
      <c r="H29" s="680"/>
      <c r="I29" s="680"/>
      <c r="J29" s="680"/>
      <c r="K29" s="680"/>
      <c r="L29" s="680"/>
      <c r="M29" s="682"/>
    </row>
    <row r="30" spans="1:13" ht="18.75" x14ac:dyDescent="0.3">
      <c r="A30" s="144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</row>
    <row r="31" spans="1:13" x14ac:dyDescent="0.25">
      <c r="A31" s="1296" t="s">
        <v>3408</v>
      </c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</row>
    <row r="32" spans="1:13" x14ac:dyDescent="0.25">
      <c r="A32" s="6" t="s">
        <v>3409</v>
      </c>
      <c r="C32" s="6"/>
      <c r="D32" s="6"/>
      <c r="E32" s="6"/>
      <c r="F32" s="6"/>
      <c r="G32" s="6"/>
      <c r="H32" s="6"/>
      <c r="I32" s="6"/>
      <c r="J32" s="6"/>
      <c r="K32" s="6"/>
      <c r="L32" s="748"/>
      <c r="M32" s="6"/>
    </row>
    <row r="33" spans="1:13" x14ac:dyDescent="0.25">
      <c r="A33" s="6" t="s">
        <v>3410</v>
      </c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</row>
    <row r="34" spans="1:13" x14ac:dyDescent="0.25">
      <c r="A34" t="s">
        <v>3415</v>
      </c>
      <c r="C34" s="6"/>
      <c r="D34" s="6"/>
      <c r="E34" s="6"/>
      <c r="F34" s="6"/>
      <c r="G34" s="6"/>
      <c r="H34" s="6"/>
      <c r="I34" s="6"/>
      <c r="J34" s="6"/>
      <c r="K34" s="6"/>
      <c r="M34" s="6"/>
    </row>
    <row r="35" spans="1:13" x14ac:dyDescent="0.25">
      <c r="A35" s="1351" t="s">
        <v>3416</v>
      </c>
      <c r="C35" s="6"/>
      <c r="D35" s="6"/>
      <c r="E35" s="6"/>
      <c r="F35" s="6"/>
      <c r="G35" s="6"/>
      <c r="H35" s="6"/>
      <c r="I35" s="6"/>
      <c r="J35" s="6"/>
      <c r="K35" s="6"/>
      <c r="M35" s="6"/>
    </row>
    <row r="36" spans="1:13" x14ac:dyDescent="0.25">
      <c r="A36" s="1351" t="s">
        <v>3417</v>
      </c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</row>
    <row r="37" spans="1:13" x14ac:dyDescent="0.25">
      <c r="A37" s="6" t="s">
        <v>1565</v>
      </c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</row>
    <row r="38" spans="1:13" x14ac:dyDescent="0.25">
      <c r="A38" s="6" t="s">
        <v>1378</v>
      </c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</row>
    <row r="39" spans="1:13" x14ac:dyDescent="0.25">
      <c r="A39" s="64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</row>
    <row r="40" spans="1:13" x14ac:dyDescent="0.25">
      <c r="A40" s="1351" t="s">
        <v>3418</v>
      </c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</row>
    <row r="41" spans="1:13" x14ac:dyDescent="0.25">
      <c r="A41" s="1351" t="s">
        <v>3419</v>
      </c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3" x14ac:dyDescent="0.25">
      <c r="A42" s="1351" t="s">
        <v>3331</v>
      </c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</row>
    <row r="43" spans="1:13" x14ac:dyDescent="0.25">
      <c r="A43" s="1351" t="s">
        <v>3420</v>
      </c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</row>
    <row r="44" spans="1:13" x14ac:dyDescent="0.25">
      <c r="A44" s="1351" t="s">
        <v>2224</v>
      </c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</row>
    <row r="45" spans="1:13" x14ac:dyDescent="0.25">
      <c r="A45" s="1351" t="s">
        <v>3333</v>
      </c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</row>
    <row r="46" spans="1:13" x14ac:dyDescent="0.25">
      <c r="A46" s="1351" t="s">
        <v>3386</v>
      </c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</row>
    <row r="47" spans="1:13" x14ac:dyDescent="0.25">
      <c r="A47" s="1351" t="s">
        <v>3335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</row>
    <row r="48" spans="1:13" x14ac:dyDescent="0.25">
      <c r="A48" s="1351" t="s">
        <v>3336</v>
      </c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</row>
    <row r="49" spans="1:13" x14ac:dyDescent="0.25">
      <c r="A49" s="1351" t="s">
        <v>3421</v>
      </c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</row>
    <row r="50" spans="1:13" x14ac:dyDescent="0.25">
      <c r="A50" s="1351" t="s">
        <v>3422</v>
      </c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</row>
    <row r="51" spans="1:13" x14ac:dyDescent="0.25">
      <c r="A51" s="1351" t="s">
        <v>3423</v>
      </c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</row>
    <row r="52" spans="1:13" x14ac:dyDescent="0.25">
      <c r="A52" s="1351" t="s">
        <v>3424</v>
      </c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</row>
    <row r="53" spans="1:13" x14ac:dyDescent="0.25">
      <c r="A53" s="129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</row>
    <row r="54" spans="1:13" ht="15.75" thickBot="1" x14ac:dyDescent="0.3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</row>
    <row r="55" spans="1:13" ht="19.5" thickTop="1" x14ac:dyDescent="0.3">
      <c r="A55" s="231" t="s">
        <v>74</v>
      </c>
      <c r="B55" s="36"/>
      <c r="C55" s="36"/>
      <c r="D55" s="37"/>
      <c r="E55" s="14"/>
      <c r="F55" s="193"/>
      <c r="G55" s="98"/>
      <c r="H55" s="99"/>
      <c r="I55" s="128"/>
      <c r="J55" s="14"/>
      <c r="K55" s="14"/>
      <c r="L55" s="1341"/>
      <c r="M55" s="1342"/>
    </row>
    <row r="56" spans="1:13" x14ac:dyDescent="0.25">
      <c r="A56" s="1252" t="s">
        <v>3425</v>
      </c>
      <c r="B56" s="17"/>
      <c r="C56" s="17"/>
      <c r="D56" s="25"/>
      <c r="E56" s="6"/>
      <c r="F56" s="100"/>
      <c r="G56" s="22"/>
      <c r="H56" s="23"/>
      <c r="J56" s="6"/>
      <c r="K56" s="6"/>
      <c r="L56" s="6"/>
      <c r="M56" s="3514"/>
    </row>
    <row r="57" spans="1:13" ht="15.75" thickBot="1" x14ac:dyDescent="0.3">
      <c r="A57" s="1296" t="s">
        <v>1822</v>
      </c>
      <c r="B57" s="17"/>
      <c r="C57" s="17"/>
      <c r="D57" s="25"/>
      <c r="E57" s="6"/>
      <c r="F57" s="100"/>
      <c r="G57" s="22"/>
      <c r="H57" s="23"/>
      <c r="I57" s="165"/>
      <c r="J57" s="6"/>
      <c r="K57" s="6"/>
      <c r="L57" s="6"/>
      <c r="M57" s="3514"/>
    </row>
    <row r="58" spans="1:13" ht="38.25" thickTop="1" thickBot="1" x14ac:dyDescent="0.3">
      <c r="A58" s="732"/>
      <c r="B58" s="17"/>
      <c r="C58" s="17"/>
      <c r="D58" s="25"/>
      <c r="E58" s="6"/>
      <c r="F58" s="3511" t="s">
        <v>778</v>
      </c>
      <c r="G58" s="3512" t="s">
        <v>762</v>
      </c>
      <c r="H58" s="3513" t="s">
        <v>2659</v>
      </c>
      <c r="J58" s="6"/>
      <c r="K58" s="6"/>
      <c r="L58" s="6"/>
      <c r="M58" s="3514"/>
    </row>
    <row r="59" spans="1:13" ht="15.75" thickTop="1" x14ac:dyDescent="0.25">
      <c r="A59" s="68" t="s">
        <v>11</v>
      </c>
      <c r="B59" s="64"/>
      <c r="C59" s="66"/>
      <c r="D59" s="6"/>
      <c r="F59" s="3651">
        <f>G59+H59</f>
        <v>110000</v>
      </c>
      <c r="G59" s="3652">
        <v>105000</v>
      </c>
      <c r="H59" s="3653">
        <v>5000</v>
      </c>
      <c r="I59" s="165" t="s">
        <v>761</v>
      </c>
      <c r="J59" s="6"/>
      <c r="K59" s="6"/>
      <c r="L59" s="6"/>
      <c r="M59" s="3514"/>
    </row>
    <row r="60" spans="1:13" ht="15.75" thickBot="1" x14ac:dyDescent="0.3">
      <c r="A60" s="68" t="s">
        <v>12</v>
      </c>
      <c r="B60" s="64"/>
      <c r="C60" s="66"/>
      <c r="D60" s="6"/>
      <c r="F60" s="3654">
        <f>G60+H60</f>
        <v>80000</v>
      </c>
      <c r="G60" s="3655">
        <v>70000</v>
      </c>
      <c r="H60" s="3656">
        <v>10000</v>
      </c>
      <c r="I60" s="6"/>
      <c r="J60" s="6"/>
      <c r="K60" s="6"/>
      <c r="L60" s="6"/>
      <c r="M60" s="3514"/>
    </row>
    <row r="61" spans="1:13" ht="15.75" thickTop="1" x14ac:dyDescent="0.25">
      <c r="A61" s="68" t="s">
        <v>2667</v>
      </c>
      <c r="B61" s="64"/>
      <c r="C61" s="66"/>
      <c r="D61" s="6"/>
      <c r="F61" s="2111">
        <f>F59+F60</f>
        <v>190000</v>
      </c>
      <c r="G61" s="2111">
        <f t="shared" ref="G61:H61" si="0">G59+G60</f>
        <v>175000</v>
      </c>
      <c r="H61" s="2111">
        <f t="shared" si="0"/>
        <v>15000</v>
      </c>
      <c r="I61" s="6"/>
      <c r="J61" s="6"/>
      <c r="K61" s="6"/>
      <c r="L61" s="6"/>
      <c r="M61" s="3514"/>
    </row>
    <row r="62" spans="1:13" x14ac:dyDescent="0.25">
      <c r="A62" s="68"/>
      <c r="B62" s="64"/>
      <c r="C62" s="66"/>
      <c r="D62" s="6"/>
      <c r="F62" s="341"/>
      <c r="G62" s="136"/>
      <c r="H62" s="6"/>
      <c r="I62" s="6"/>
      <c r="J62" s="6"/>
      <c r="K62" s="6"/>
      <c r="L62" s="6"/>
      <c r="M62" s="1311"/>
    </row>
    <row r="63" spans="1:13" x14ac:dyDescent="0.25">
      <c r="A63" s="1296" t="s">
        <v>2704</v>
      </c>
      <c r="D63" s="6"/>
      <c r="G63" s="136"/>
      <c r="H63" s="6"/>
      <c r="I63" s="6"/>
      <c r="J63" s="6"/>
      <c r="K63" s="6"/>
      <c r="L63" s="6"/>
      <c r="M63" s="1311"/>
    </row>
    <row r="64" spans="1:13" x14ac:dyDescent="0.25">
      <c r="A64" s="1296" t="s">
        <v>3426</v>
      </c>
      <c r="D64" s="6"/>
      <c r="G64" s="136"/>
      <c r="H64" s="6"/>
      <c r="I64" s="6"/>
      <c r="J64" s="6"/>
      <c r="K64" s="6"/>
      <c r="L64" s="6"/>
      <c r="M64" s="1311"/>
    </row>
    <row r="65" spans="1:13" x14ac:dyDescent="0.25">
      <c r="A65" s="68" t="s">
        <v>13</v>
      </c>
      <c r="B65" s="64"/>
      <c r="C65" s="66"/>
      <c r="D65" s="6"/>
      <c r="G65" s="2149">
        <f>IF(G66=0,I94,G66)</f>
        <v>3.2185863874345549E-2</v>
      </c>
      <c r="H65" s="165" t="s">
        <v>2895</v>
      </c>
      <c r="I65" s="6"/>
      <c r="J65" s="6"/>
      <c r="K65" s="6"/>
      <c r="L65" s="6"/>
      <c r="M65" s="1311"/>
    </row>
    <row r="66" spans="1:13" x14ac:dyDescent="0.25">
      <c r="A66" s="84" t="s">
        <v>2896</v>
      </c>
      <c r="B66" s="64"/>
      <c r="C66" s="66"/>
      <c r="D66" s="6"/>
      <c r="G66" s="697">
        <v>0</v>
      </c>
      <c r="H66" s="165" t="s">
        <v>2705</v>
      </c>
      <c r="I66" s="6"/>
      <c r="J66" s="6"/>
      <c r="K66" s="6"/>
      <c r="L66" s="6"/>
      <c r="M66" s="1311"/>
    </row>
    <row r="67" spans="1:13" x14ac:dyDescent="0.25">
      <c r="A67" s="68" t="s">
        <v>14</v>
      </c>
      <c r="B67" s="64"/>
      <c r="C67" s="66"/>
      <c r="D67" s="6"/>
      <c r="G67" s="2149">
        <f>IF(G68=0,I95,G68)</f>
        <v>3.2585714285714287E-2</v>
      </c>
      <c r="H67" s="165" t="s">
        <v>2895</v>
      </c>
      <c r="I67" s="6"/>
      <c r="J67" s="6"/>
      <c r="K67" s="6"/>
      <c r="L67" s="6"/>
      <c r="M67" s="1311"/>
    </row>
    <row r="68" spans="1:13" x14ac:dyDescent="0.25">
      <c r="A68" s="84" t="s">
        <v>2897</v>
      </c>
      <c r="B68" s="64"/>
      <c r="C68" s="66"/>
      <c r="D68" s="6"/>
      <c r="G68" s="697">
        <v>0</v>
      </c>
      <c r="H68" s="165" t="s">
        <v>2705</v>
      </c>
      <c r="I68" s="6"/>
      <c r="J68" s="6"/>
      <c r="K68" s="6"/>
      <c r="L68" s="6"/>
      <c r="M68" s="1311"/>
    </row>
    <row r="69" spans="1:13" x14ac:dyDescent="0.25">
      <c r="A69" s="1345"/>
      <c r="B69" s="64"/>
      <c r="C69" s="66"/>
      <c r="D69" s="6"/>
      <c r="G69" s="697"/>
      <c r="H69" s="165"/>
      <c r="I69" s="6"/>
      <c r="J69" s="6"/>
      <c r="K69" s="6"/>
      <c r="L69" s="6"/>
      <c r="M69" s="1311"/>
    </row>
    <row r="70" spans="1:13" s="6" customFormat="1" ht="15.75" thickBot="1" x14ac:dyDescent="0.3">
      <c r="A70" s="195" t="s">
        <v>2713</v>
      </c>
      <c r="B70" s="41"/>
      <c r="C70" s="41"/>
      <c r="D70" s="41"/>
      <c r="E70" s="41"/>
      <c r="F70" s="41"/>
      <c r="G70" s="41"/>
      <c r="H70" s="113"/>
      <c r="I70" s="41"/>
      <c r="J70" s="41"/>
      <c r="K70" s="41"/>
      <c r="L70" s="1314"/>
      <c r="M70" s="1315"/>
    </row>
    <row r="71" spans="1:13" s="6" customFormat="1" ht="15.75" thickTop="1" x14ac:dyDescent="0.25">
      <c r="A71" s="46"/>
      <c r="H71" s="103"/>
    </row>
    <row r="72" spans="1:13" s="6" customFormat="1" ht="15.75" thickBot="1" x14ac:dyDescent="0.3">
      <c r="A72" s="84"/>
      <c r="B72" s="64"/>
      <c r="C72" s="64"/>
      <c r="D72" s="134"/>
      <c r="E72" s="147"/>
      <c r="F72" s="156"/>
      <c r="G72" s="155"/>
      <c r="H72" s="103"/>
      <c r="I72" s="147"/>
      <c r="J72" s="147"/>
      <c r="K72" s="147"/>
    </row>
    <row r="73" spans="1:13" ht="19.5" thickTop="1" x14ac:dyDescent="0.3">
      <c r="A73" s="3423" t="s">
        <v>419</v>
      </c>
      <c r="B73" s="3424"/>
      <c r="C73" s="3424"/>
      <c r="D73" s="3424"/>
      <c r="E73" s="3425"/>
      <c r="F73" s="3424"/>
      <c r="G73" s="3424"/>
      <c r="H73" s="3426"/>
      <c r="I73" s="3424"/>
      <c r="J73" s="3424"/>
      <c r="K73" s="3424"/>
      <c r="L73" s="3424"/>
      <c r="M73" s="38"/>
    </row>
    <row r="74" spans="1:13" ht="18.75" x14ac:dyDescent="0.3">
      <c r="A74" s="3427" t="s">
        <v>420</v>
      </c>
      <c r="B74" s="1727"/>
      <c r="C74" s="1727"/>
      <c r="D74" s="1727"/>
      <c r="E74" s="3428"/>
      <c r="F74" s="1727"/>
      <c r="G74" s="1727"/>
      <c r="H74" s="3429"/>
      <c r="I74" s="1727"/>
      <c r="J74" s="1727"/>
      <c r="K74" s="1727"/>
      <c r="L74" s="1727"/>
      <c r="M74" s="38"/>
    </row>
    <row r="75" spans="1:13" x14ac:dyDescent="0.25">
      <c r="A75" s="3430" t="s">
        <v>3427</v>
      </c>
      <c r="B75" s="1727"/>
      <c r="C75" s="1727"/>
      <c r="D75" s="1727"/>
      <c r="E75" s="3428"/>
      <c r="F75" s="1727"/>
      <c r="G75" s="1727"/>
      <c r="H75" s="3429"/>
      <c r="I75" s="1727"/>
      <c r="J75" s="1727"/>
      <c r="K75" s="1727"/>
      <c r="L75" s="1727"/>
      <c r="M75" s="38"/>
    </row>
    <row r="76" spans="1:13" x14ac:dyDescent="0.25">
      <c r="A76" s="3430" t="s">
        <v>3428</v>
      </c>
      <c r="B76" s="1727"/>
      <c r="C76" s="1727"/>
      <c r="D76" s="1727"/>
      <c r="E76" s="3428"/>
      <c r="F76" s="1727"/>
      <c r="G76" s="1727"/>
      <c r="H76" s="3429"/>
      <c r="I76" s="1727"/>
      <c r="J76" s="1727"/>
      <c r="K76" s="1727"/>
      <c r="L76" s="2753"/>
      <c r="M76" s="6"/>
    </row>
    <row r="77" spans="1:13" x14ac:dyDescent="0.25">
      <c r="A77" s="3430" t="s">
        <v>1823</v>
      </c>
      <c r="B77" s="1727"/>
      <c r="C77" s="1727"/>
      <c r="D77" s="1727"/>
      <c r="E77" s="3428"/>
      <c r="F77" s="1727"/>
      <c r="G77" s="1727"/>
      <c r="H77" s="3429"/>
      <c r="I77" s="1727"/>
      <c r="J77" s="1727"/>
      <c r="K77" s="1727"/>
      <c r="L77" s="2753"/>
      <c r="M77" s="6"/>
    </row>
    <row r="78" spans="1:13" x14ac:dyDescent="0.25">
      <c r="A78" s="3431" t="s">
        <v>9</v>
      </c>
      <c r="B78" s="3432"/>
      <c r="C78" s="1722"/>
      <c r="D78" s="1662"/>
      <c r="E78" s="1671"/>
      <c r="F78" s="3433">
        <f>'1. AgeData'!$E$50</f>
        <v>4.4999999999999998E-2</v>
      </c>
      <c r="G78" s="3011" t="s">
        <v>1362</v>
      </c>
      <c r="H78" s="1722"/>
      <c r="I78" s="1727"/>
      <c r="J78" s="1727"/>
      <c r="K78" s="1727"/>
      <c r="L78" s="1727"/>
      <c r="M78" s="38"/>
    </row>
    <row r="79" spans="1:13" x14ac:dyDescent="0.25">
      <c r="A79" s="3431" t="s">
        <v>10</v>
      </c>
      <c r="B79" s="3432"/>
      <c r="C79" s="1662"/>
      <c r="D79" s="1662"/>
      <c r="E79" s="1671"/>
      <c r="F79" s="3433">
        <f>'1. AgeData'!$E$51</f>
        <v>1.7500000000000002E-2</v>
      </c>
      <c r="G79" s="3011" t="s">
        <v>1361</v>
      </c>
      <c r="H79" s="1722"/>
      <c r="I79" s="1727"/>
      <c r="J79" s="1727"/>
      <c r="K79" s="1727"/>
      <c r="L79" s="1727"/>
      <c r="M79" s="38"/>
    </row>
    <row r="80" spans="1:13" x14ac:dyDescent="0.25">
      <c r="A80" s="3431" t="s">
        <v>2657</v>
      </c>
      <c r="B80" s="3011"/>
      <c r="C80" s="1662"/>
      <c r="D80" s="1662"/>
      <c r="E80" s="1671"/>
      <c r="F80" s="3434">
        <f>'1. AgeData'!$E$52</f>
        <v>1E-4</v>
      </c>
      <c r="G80" s="3011" t="s">
        <v>2660</v>
      </c>
      <c r="H80" s="3011"/>
      <c r="I80" s="1727"/>
      <c r="J80" s="1727"/>
      <c r="K80" s="1727"/>
      <c r="L80" s="1727"/>
      <c r="M80" s="1336"/>
    </row>
    <row r="81" spans="1:13" x14ac:dyDescent="0.25">
      <c r="A81" s="3431"/>
      <c r="B81" s="3432"/>
      <c r="C81" s="1662"/>
      <c r="D81" s="1662"/>
      <c r="E81" s="1671"/>
      <c r="F81" s="3433"/>
      <c r="G81" s="1722"/>
      <c r="H81" s="1722"/>
      <c r="I81" s="1727"/>
      <c r="J81" s="1727"/>
      <c r="K81" s="1727"/>
      <c r="L81" s="1727"/>
      <c r="M81" s="38"/>
    </row>
    <row r="82" spans="1:13" x14ac:dyDescent="0.25">
      <c r="A82" s="3435"/>
      <c r="B82" s="1296" t="s">
        <v>2666</v>
      </c>
      <c r="C82" s="1662"/>
      <c r="D82" s="1662"/>
      <c r="E82" s="1671"/>
      <c r="F82" s="3012"/>
      <c r="G82" s="1722"/>
      <c r="H82" s="1722"/>
      <c r="I82" s="1727"/>
      <c r="J82" s="1727"/>
      <c r="K82" s="1727"/>
      <c r="L82" s="1727"/>
      <c r="M82" s="38"/>
    </row>
    <row r="83" spans="1:13" x14ac:dyDescent="0.25">
      <c r="A83" s="3431" t="s">
        <v>391</v>
      </c>
      <c r="B83" s="3432"/>
      <c r="C83" s="2769"/>
      <c r="D83" s="3012"/>
      <c r="E83" s="1671"/>
      <c r="F83" s="1695">
        <v>0.51</v>
      </c>
      <c r="G83" s="2769" t="s">
        <v>150</v>
      </c>
      <c r="H83" s="3436"/>
      <c r="I83" s="3437">
        <f>IF((F$83+F$84+F$85)=0,0,(F83/(F$83+F$84+F$85)))</f>
        <v>0.51</v>
      </c>
      <c r="J83" s="1727"/>
      <c r="K83" s="1727"/>
      <c r="L83" s="1727"/>
      <c r="M83" s="38"/>
    </row>
    <row r="84" spans="1:13" x14ac:dyDescent="0.25">
      <c r="A84" s="3431" t="s">
        <v>392</v>
      </c>
      <c r="B84" s="3432"/>
      <c r="C84" s="3438"/>
      <c r="D84" s="3012"/>
      <c r="E84" s="1671"/>
      <c r="F84" s="1695">
        <v>0.44500000000000001</v>
      </c>
      <c r="G84" s="2769" t="s">
        <v>151</v>
      </c>
      <c r="H84" s="3436"/>
      <c r="I84" s="3437">
        <f t="shared" ref="I84:I85" si="1">IF((F$83+F$84+F$85)=0,0,(F84/(F$83+F$84+F$85)))</f>
        <v>0.44500000000000001</v>
      </c>
      <c r="J84" s="1727" t="s">
        <v>760</v>
      </c>
      <c r="K84" s="1727"/>
      <c r="L84" s="1727"/>
      <c r="M84" s="38"/>
    </row>
    <row r="85" spans="1:13" x14ac:dyDescent="0.25">
      <c r="A85" s="3431" t="s">
        <v>2663</v>
      </c>
      <c r="B85" s="3011"/>
      <c r="C85" s="1671"/>
      <c r="D85" s="1671"/>
      <c r="E85" s="1671"/>
      <c r="F85" s="1695">
        <v>4.4999999999999998E-2</v>
      </c>
      <c r="G85" s="2769" t="s">
        <v>2664</v>
      </c>
      <c r="H85" s="3436"/>
      <c r="I85" s="3437">
        <f t="shared" si="1"/>
        <v>4.4999999999999998E-2</v>
      </c>
      <c r="J85" s="1727"/>
      <c r="K85" s="1727"/>
      <c r="L85" s="1727"/>
      <c r="M85" s="1336"/>
    </row>
    <row r="86" spans="1:13" x14ac:dyDescent="0.25">
      <c r="A86" s="3431"/>
      <c r="B86" s="3432"/>
      <c r="C86" s="1671"/>
      <c r="D86" s="1671"/>
      <c r="E86" s="1671"/>
      <c r="F86" s="1671"/>
      <c r="G86" s="3439" t="s">
        <v>140</v>
      </c>
      <c r="H86" s="3436"/>
      <c r="I86" s="3440">
        <f>I83+I84+I85</f>
        <v>1</v>
      </c>
      <c r="J86" s="1727" t="str">
        <f>IF(I86=100%,".","   ERROR - must specify sum Ps+Pb to equal 100%.")</f>
        <v>.</v>
      </c>
      <c r="K86" s="1727"/>
      <c r="L86" s="1727"/>
      <c r="M86" s="38"/>
    </row>
    <row r="87" spans="1:13" x14ac:dyDescent="0.25">
      <c r="A87" s="3431"/>
      <c r="B87" s="3432"/>
      <c r="C87" s="1671"/>
      <c r="D87" s="1671"/>
      <c r="E87" s="1671"/>
      <c r="F87" s="1671"/>
      <c r="G87" s="3439"/>
      <c r="H87" s="3436"/>
      <c r="I87" s="3440"/>
      <c r="J87" s="1727"/>
      <c r="K87" s="1727"/>
      <c r="L87" s="1727"/>
      <c r="M87" s="1336"/>
    </row>
    <row r="88" spans="1:13" x14ac:dyDescent="0.25">
      <c r="A88" s="3431" t="s">
        <v>393</v>
      </c>
      <c r="B88" s="3432"/>
      <c r="C88" s="3438"/>
      <c r="D88" s="3012"/>
      <c r="E88" s="1671"/>
      <c r="F88" s="1695">
        <v>0.48</v>
      </c>
      <c r="G88" s="2769" t="s">
        <v>150</v>
      </c>
      <c r="H88" s="3436"/>
      <c r="I88" s="3437">
        <f>IF((F88+F89)=0,0,(F88/(F88+F89)))</f>
        <v>0.5485714285714286</v>
      </c>
      <c r="J88" s="1727"/>
      <c r="K88" s="1727"/>
      <c r="L88" s="1727"/>
      <c r="M88" s="38"/>
    </row>
    <row r="89" spans="1:13" x14ac:dyDescent="0.25">
      <c r="A89" s="3431" t="s">
        <v>394</v>
      </c>
      <c r="B89" s="3432"/>
      <c r="C89" s="1722"/>
      <c r="D89" s="3012"/>
      <c r="E89" s="1671"/>
      <c r="F89" s="1695">
        <v>0.39500000000000002</v>
      </c>
      <c r="G89" s="2769" t="s">
        <v>151</v>
      </c>
      <c r="H89" s="3436"/>
      <c r="I89" s="3437">
        <f>IF((F88+F89)=0,0,(F89/(F88+F89)))</f>
        <v>0.45142857142857146</v>
      </c>
      <c r="J89" s="1671"/>
      <c r="K89" s="1727"/>
      <c r="L89" s="1727"/>
      <c r="M89" s="38"/>
    </row>
    <row r="90" spans="1:13" x14ac:dyDescent="0.25">
      <c r="A90" s="3431" t="s">
        <v>2665</v>
      </c>
      <c r="B90" s="3011"/>
      <c r="C90" s="1671"/>
      <c r="D90" s="1671"/>
      <c r="E90" s="1671"/>
      <c r="F90" s="1695">
        <v>0.125</v>
      </c>
      <c r="G90" s="2769" t="s">
        <v>2664</v>
      </c>
      <c r="H90" s="3436"/>
      <c r="I90" s="3437">
        <f>IF((F$88+F$89+F$90)=0,0,(F90/(F$88+F$89+F$90)))</f>
        <v>0.125</v>
      </c>
      <c r="J90" s="1671"/>
      <c r="K90" s="1727"/>
      <c r="L90" s="1727"/>
      <c r="M90" s="1336"/>
    </row>
    <row r="91" spans="1:13" x14ac:dyDescent="0.25">
      <c r="A91" s="3441"/>
      <c r="B91" s="3432"/>
      <c r="C91" s="3442"/>
      <c r="D91" s="3442"/>
      <c r="E91" s="1671"/>
      <c r="F91" s="1671"/>
      <c r="G91" s="3439" t="s">
        <v>141</v>
      </c>
      <c r="H91" s="3436"/>
      <c r="I91" s="3440">
        <f>I88+I89</f>
        <v>1</v>
      </c>
      <c r="J91" s="1727" t="str">
        <f>IF(I91=100%,".","   ERROR - must specify sum Ps+Pb to equal 100%.")</f>
        <v>.</v>
      </c>
      <c r="K91" s="1727"/>
      <c r="L91" s="1727"/>
      <c r="M91" s="38"/>
    </row>
    <row r="92" spans="1:13" x14ac:dyDescent="0.25">
      <c r="A92" s="3441"/>
      <c r="B92" s="3432"/>
      <c r="C92" s="1722"/>
      <c r="D92" s="3012"/>
      <c r="E92" s="3443"/>
      <c r="F92" s="1722"/>
      <c r="G92" s="3444"/>
      <c r="H92" s="3436"/>
      <c r="I92" s="3445"/>
      <c r="J92" s="3446"/>
      <c r="K92" s="1727"/>
      <c r="L92" s="1727"/>
      <c r="M92" s="38"/>
    </row>
    <row r="93" spans="1:13" x14ac:dyDescent="0.25">
      <c r="A93" s="3431"/>
      <c r="B93" s="3432"/>
      <c r="C93" s="1722"/>
      <c r="D93" s="3012"/>
      <c r="E93" s="3443"/>
      <c r="F93" s="1722"/>
      <c r="G93" s="3444"/>
      <c r="H93" s="3436"/>
      <c r="I93" s="3445"/>
      <c r="J93" s="3446"/>
      <c r="K93" s="1727"/>
      <c r="L93" s="1727"/>
      <c r="M93" s="1336"/>
    </row>
    <row r="94" spans="1:13" x14ac:dyDescent="0.25">
      <c r="A94" s="3431" t="s">
        <v>2661</v>
      </c>
      <c r="B94" s="3432"/>
      <c r="C94" s="1722"/>
      <c r="D94" s="3012"/>
      <c r="E94" s="1722"/>
      <c r="F94" s="1722"/>
      <c r="G94" s="2890"/>
      <c r="H94" s="3436"/>
      <c r="I94" s="1685">
        <f>IF(I86=0,0%,(I83*F78+I84*F79)/(I83+I84))</f>
        <v>3.2185863874345549E-2</v>
      </c>
      <c r="J94" s="3447" t="s">
        <v>1359</v>
      </c>
      <c r="K94" s="1727"/>
      <c r="L94" s="1727"/>
      <c r="M94" s="38"/>
    </row>
    <row r="95" spans="1:13" x14ac:dyDescent="0.25">
      <c r="A95" s="3431" t="s">
        <v>2662</v>
      </c>
      <c r="B95" s="3432"/>
      <c r="C95" s="1722"/>
      <c r="D95" s="3012"/>
      <c r="E95" s="1722"/>
      <c r="F95" s="1722"/>
      <c r="G95" s="2890"/>
      <c r="H95" s="2885"/>
      <c r="I95" s="1685">
        <f>IF(I91=0,0%,(I88*F78+I89*F79)/(I88+I89))</f>
        <v>3.2585714285714287E-2</v>
      </c>
      <c r="J95" s="3447" t="s">
        <v>1360</v>
      </c>
      <c r="K95" s="1727"/>
      <c r="L95" s="1727"/>
      <c r="M95" s="38"/>
    </row>
    <row r="96" spans="1:13" ht="15.75" thickBot="1" x14ac:dyDescent="0.3">
      <c r="A96" s="3448" t="s">
        <v>1336</v>
      </c>
      <c r="B96" s="3449"/>
      <c r="C96" s="3449"/>
      <c r="D96" s="3449"/>
      <c r="E96" s="2157"/>
      <c r="F96" s="2157"/>
      <c r="G96" s="2157"/>
      <c r="H96" s="2157"/>
      <c r="I96" s="2157"/>
      <c r="J96" s="2157"/>
      <c r="K96" s="2157"/>
      <c r="L96" s="2783"/>
      <c r="M96" s="1336"/>
    </row>
    <row r="97" spans="1:13" ht="15.75" thickTop="1" x14ac:dyDescent="0.25">
      <c r="K97" s="6"/>
      <c r="M97" s="6"/>
    </row>
    <row r="98" spans="1:13" ht="15.75" thickBot="1" x14ac:dyDescent="0.3">
      <c r="K98" s="6"/>
      <c r="M98" s="6"/>
    </row>
    <row r="99" spans="1:13" ht="19.5" thickTop="1" x14ac:dyDescent="0.3">
      <c r="A99" s="1340" t="s">
        <v>80</v>
      </c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38"/>
    </row>
    <row r="100" spans="1:13" ht="18.75" x14ac:dyDescent="0.3">
      <c r="A100" s="1438" t="s">
        <v>79</v>
      </c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38"/>
    </row>
    <row r="101" spans="1:13" x14ac:dyDescent="0.25">
      <c r="A101" s="1416" t="s">
        <v>3429</v>
      </c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38"/>
    </row>
    <row r="102" spans="1:13" x14ac:dyDescent="0.25">
      <c r="A102" s="1336" t="s">
        <v>3430</v>
      </c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38"/>
    </row>
    <row r="103" spans="1:13" x14ac:dyDescent="0.25">
      <c r="A103" s="1336" t="s">
        <v>3431</v>
      </c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1336"/>
    </row>
    <row r="104" spans="1:13" x14ac:dyDescent="0.25">
      <c r="A104" s="1416" t="s">
        <v>3432</v>
      </c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38"/>
    </row>
    <row r="105" spans="1:13" x14ac:dyDescent="0.25">
      <c r="A105" s="1435" t="s">
        <v>135</v>
      </c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38"/>
    </row>
    <row r="106" spans="1:13" x14ac:dyDescent="0.25">
      <c r="A106" s="133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38"/>
    </row>
    <row r="107" spans="1:13" x14ac:dyDescent="0.25">
      <c r="A107" s="1834"/>
      <c r="B107" s="6"/>
      <c r="C107" s="1084" t="s">
        <v>63</v>
      </c>
      <c r="D107" s="6"/>
      <c r="E107" s="6"/>
      <c r="F107" s="6"/>
      <c r="G107" s="6"/>
      <c r="H107" s="6"/>
      <c r="I107" s="6"/>
      <c r="J107" s="6"/>
      <c r="K107" s="6"/>
      <c r="L107" s="6"/>
      <c r="M107" s="38"/>
    </row>
    <row r="108" spans="1:13" s="6" customFormat="1" x14ac:dyDescent="0.25">
      <c r="A108" s="1811" t="s">
        <v>76</v>
      </c>
      <c r="B108" s="64"/>
      <c r="C108" s="64"/>
      <c r="D108" s="134"/>
      <c r="E108" s="147"/>
      <c r="F108" s="156"/>
      <c r="G108" s="155"/>
      <c r="H108" s="1770">
        <v>0.01</v>
      </c>
      <c r="I108" s="3" t="s">
        <v>282</v>
      </c>
      <c r="J108" s="147"/>
      <c r="K108" s="147"/>
      <c r="M108" s="38"/>
    </row>
    <row r="109" spans="1:13" s="6" customFormat="1" x14ac:dyDescent="0.25">
      <c r="A109" s="1811" t="s">
        <v>65</v>
      </c>
      <c r="B109" s="64"/>
      <c r="C109" s="64"/>
      <c r="D109" s="134"/>
      <c r="E109" s="147"/>
      <c r="F109" s="156"/>
      <c r="G109" s="155"/>
      <c r="H109" s="1770">
        <v>0.02</v>
      </c>
      <c r="I109" s="3" t="s">
        <v>282</v>
      </c>
      <c r="J109" s="147"/>
      <c r="K109" s="147"/>
      <c r="M109" s="38"/>
    </row>
    <row r="110" spans="1:13" s="6" customFormat="1" x14ac:dyDescent="0.25">
      <c r="A110" s="1835"/>
      <c r="B110" s="64"/>
      <c r="C110" s="64"/>
      <c r="D110" s="134"/>
      <c r="E110" s="147"/>
      <c r="F110" s="156"/>
      <c r="G110" s="155"/>
      <c r="H110" s="1771"/>
      <c r="I110" s="3"/>
      <c r="J110" s="147"/>
      <c r="K110" s="147"/>
      <c r="M110" s="38"/>
    </row>
    <row r="111" spans="1:13" s="6" customFormat="1" x14ac:dyDescent="0.25">
      <c r="A111" s="1835"/>
      <c r="B111" s="64"/>
      <c r="C111" s="165" t="s">
        <v>64</v>
      </c>
      <c r="D111" s="134"/>
      <c r="E111" s="147"/>
      <c r="F111" s="156"/>
      <c r="G111" s="155"/>
      <c r="H111" s="1771"/>
      <c r="I111" s="3"/>
      <c r="J111" s="147"/>
      <c r="K111" s="147"/>
      <c r="M111" s="38"/>
    </row>
    <row r="112" spans="1:13" s="6" customFormat="1" x14ac:dyDescent="0.25">
      <c r="A112" s="1835" t="s">
        <v>66</v>
      </c>
      <c r="B112" s="64"/>
      <c r="C112" s="64"/>
      <c r="D112" s="134"/>
      <c r="E112" s="147"/>
      <c r="F112" s="156"/>
      <c r="G112" s="155"/>
      <c r="H112" s="1770">
        <v>5.0000000000000001E-3</v>
      </c>
      <c r="I112" s="3" t="s">
        <v>283</v>
      </c>
      <c r="J112" s="147"/>
      <c r="K112" s="147"/>
      <c r="M112" s="38"/>
    </row>
    <row r="113" spans="1:13" s="6" customFormat="1" x14ac:dyDescent="0.25">
      <c r="A113" s="1091" t="s">
        <v>67</v>
      </c>
      <c r="B113" s="64"/>
      <c r="C113" s="64"/>
      <c r="D113" s="134"/>
      <c r="E113" s="147"/>
      <c r="F113" s="156"/>
      <c r="G113" s="155"/>
      <c r="H113" s="1770">
        <v>5.0000000000000001E-3</v>
      </c>
      <c r="I113" s="3" t="s">
        <v>283</v>
      </c>
      <c r="J113" s="147"/>
      <c r="K113" s="147"/>
      <c r="M113" s="38"/>
    </row>
    <row r="114" spans="1:13" s="6" customFormat="1" x14ac:dyDescent="0.25">
      <c r="A114" s="1091"/>
      <c r="B114" s="64"/>
      <c r="C114" s="64"/>
      <c r="D114" s="134"/>
      <c r="E114" s="147"/>
      <c r="F114" s="156"/>
      <c r="G114" s="155"/>
      <c r="H114" s="1771"/>
      <c r="I114" s="147"/>
      <c r="J114" s="147"/>
      <c r="K114" s="147"/>
      <c r="M114" s="38"/>
    </row>
    <row r="115" spans="1:13" s="6" customFormat="1" x14ac:dyDescent="0.25">
      <c r="A115" s="1091"/>
      <c r="B115" s="64"/>
      <c r="C115" s="165" t="s">
        <v>2898</v>
      </c>
      <c r="D115" s="134"/>
      <c r="E115" s="147"/>
      <c r="F115" s="156"/>
      <c r="G115" s="155"/>
      <c r="H115" s="1771"/>
      <c r="I115" s="147"/>
      <c r="J115" s="147"/>
      <c r="K115" s="147"/>
      <c r="M115" s="38"/>
    </row>
    <row r="116" spans="1:13" s="6" customFormat="1" x14ac:dyDescent="0.25">
      <c r="A116" s="40" t="s">
        <v>1375</v>
      </c>
      <c r="B116" s="64"/>
      <c r="C116" s="64"/>
      <c r="D116" s="134"/>
      <c r="E116" s="147"/>
      <c r="F116" s="156"/>
      <c r="G116" s="155"/>
      <c r="H116" s="1770">
        <v>6.4999999999999997E-3</v>
      </c>
      <c r="I116" s="130" t="s">
        <v>1564</v>
      </c>
      <c r="J116" s="147"/>
      <c r="K116" s="147"/>
      <c r="M116" s="38"/>
    </row>
    <row r="117" spans="1:13" s="6" customFormat="1" ht="15.75" thickBot="1" x14ac:dyDescent="0.3">
      <c r="A117" s="1148" t="s">
        <v>1376</v>
      </c>
      <c r="B117" s="86"/>
      <c r="C117" s="86"/>
      <c r="D117" s="150"/>
      <c r="E117" s="224"/>
      <c r="F117" s="225"/>
      <c r="G117" s="226"/>
      <c r="H117" s="1772">
        <v>2.5000000000000001E-3</v>
      </c>
      <c r="I117" s="48" t="s">
        <v>1564</v>
      </c>
      <c r="J117" s="224"/>
      <c r="K117" s="224"/>
      <c r="L117" s="41"/>
      <c r="M117" s="38"/>
    </row>
    <row r="118" spans="1:13" s="6" customFormat="1" ht="15.75" thickTop="1" x14ac:dyDescent="0.25">
      <c r="A118" s="212"/>
      <c r="B118" s="64"/>
      <c r="C118" s="64"/>
      <c r="D118" s="134"/>
      <c r="E118" s="147"/>
      <c r="F118" s="156"/>
      <c r="G118" s="155"/>
      <c r="H118" s="523"/>
      <c r="I118" s="147"/>
      <c r="J118" s="147"/>
      <c r="K118" s="147"/>
    </row>
    <row r="119" spans="1:13" s="6" customFormat="1" ht="15.75" thickBot="1" x14ac:dyDescent="0.3">
      <c r="A119" s="212"/>
      <c r="B119" s="64"/>
      <c r="C119" s="64"/>
      <c r="D119" s="134"/>
      <c r="E119" s="147"/>
      <c r="F119" s="156"/>
      <c r="G119" s="155"/>
      <c r="H119" s="523"/>
      <c r="I119" s="147"/>
      <c r="J119" s="147"/>
      <c r="K119" s="147"/>
    </row>
    <row r="120" spans="1:13" s="6" customFormat="1" ht="19.5" thickTop="1" x14ac:dyDescent="0.3">
      <c r="A120" s="648" t="s">
        <v>209</v>
      </c>
      <c r="B120" s="99"/>
      <c r="C120" s="99"/>
      <c r="D120" s="99"/>
      <c r="E120" s="14"/>
      <c r="F120" s="14"/>
      <c r="G120" s="14"/>
      <c r="H120" s="14"/>
      <c r="I120" s="14"/>
      <c r="J120" s="926"/>
      <c r="K120" s="926"/>
      <c r="L120" s="16"/>
    </row>
    <row r="121" spans="1:13" s="6" customFormat="1" ht="15.75" thickBot="1" x14ac:dyDescent="0.3">
      <c r="A121" s="667"/>
      <c r="B121" s="23"/>
      <c r="C121" s="23"/>
      <c r="D121" s="23"/>
      <c r="J121" s="147"/>
      <c r="K121" s="147"/>
      <c r="L121" s="39"/>
    </row>
    <row r="122" spans="1:13" s="6" customFormat="1" ht="19.5" thickBot="1" x14ac:dyDescent="0.35">
      <c r="A122" s="667"/>
      <c r="B122" s="637" t="str">
        <f>IF('S. Setup'!$J$82="no","IGNORING","USING")&amp;" scheduled taxable Savings contributions and withdrawals"</f>
        <v>USING scheduled taxable Savings contributions and withdrawals</v>
      </c>
      <c r="C122" s="715"/>
      <c r="D122" s="715"/>
      <c r="E122" s="715"/>
      <c r="F122" s="715"/>
      <c r="G122" s="715"/>
      <c r="H122" s="715"/>
      <c r="I122" s="715"/>
      <c r="J122" s="716"/>
      <c r="K122" s="147"/>
      <c r="L122" s="39"/>
    </row>
    <row r="123" spans="1:13" s="6" customFormat="1" ht="15.75" x14ac:dyDescent="0.25">
      <c r="A123" s="667"/>
      <c r="B123" s="1095" t="s">
        <v>58</v>
      </c>
      <c r="C123" s="1095"/>
      <c r="D123" s="1095"/>
      <c r="E123" s="1095"/>
      <c r="F123" s="1095"/>
      <c r="G123" s="1095"/>
      <c r="H123" s="1472"/>
      <c r="I123" s="1473" t="s">
        <v>1104</v>
      </c>
      <c r="J123" s="147"/>
      <c r="K123" s="147"/>
      <c r="L123" s="39"/>
    </row>
    <row r="124" spans="1:13" ht="15.75" thickBot="1" x14ac:dyDescent="0.3">
      <c r="A124" s="38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39"/>
    </row>
    <row r="125" spans="1:13" ht="19.5" thickTop="1" x14ac:dyDescent="0.3">
      <c r="A125" s="648" t="s">
        <v>81</v>
      </c>
      <c r="B125" s="50"/>
      <c r="C125" s="50"/>
      <c r="D125" s="50"/>
      <c r="E125" s="50"/>
      <c r="F125" s="50"/>
      <c r="G125" s="50"/>
      <c r="H125" s="50"/>
      <c r="I125" s="50"/>
      <c r="J125" s="50"/>
      <c r="K125" s="50"/>
      <c r="L125" s="927"/>
      <c r="M125" s="33"/>
    </row>
    <row r="126" spans="1:13" x14ac:dyDescent="0.25">
      <c r="A126" s="3657" t="s">
        <v>3433</v>
      </c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927"/>
      <c r="M126" s="33"/>
    </row>
    <row r="127" spans="1:13" x14ac:dyDescent="0.25">
      <c r="A127" s="787" t="s">
        <v>338</v>
      </c>
      <c r="B127" s="93"/>
      <c r="C127" s="93"/>
      <c r="D127" s="33"/>
      <c r="E127" s="33"/>
      <c r="F127" s="33"/>
      <c r="G127" s="1696">
        <v>1000</v>
      </c>
      <c r="H127" s="649" t="s">
        <v>591</v>
      </c>
      <c r="I127" s="33"/>
      <c r="J127" s="33"/>
      <c r="K127" s="33"/>
      <c r="L127" s="927"/>
      <c r="M127" s="33"/>
    </row>
    <row r="128" spans="1:13" x14ac:dyDescent="0.25">
      <c r="A128" s="787" t="s">
        <v>339</v>
      </c>
      <c r="B128" s="93"/>
      <c r="C128" s="93"/>
      <c r="D128" s="33"/>
      <c r="E128" s="33"/>
      <c r="F128" s="33"/>
      <c r="G128" s="1696">
        <v>1200</v>
      </c>
      <c r="H128" s="433"/>
      <c r="I128" s="33"/>
      <c r="J128" s="33"/>
      <c r="K128" s="33"/>
      <c r="L128" s="927"/>
      <c r="M128" s="33"/>
    </row>
    <row r="129" spans="1:13" x14ac:dyDescent="0.25">
      <c r="A129" s="787"/>
      <c r="B129" s="93"/>
      <c r="C129" s="93"/>
      <c r="D129" s="33"/>
      <c r="E129" s="33"/>
      <c r="F129" s="33"/>
      <c r="G129" s="1092"/>
      <c r="H129" s="433"/>
      <c r="I129" s="33"/>
      <c r="J129" s="33"/>
      <c r="K129" s="33"/>
      <c r="L129" s="927"/>
      <c r="M129" s="33"/>
    </row>
    <row r="130" spans="1:13" x14ac:dyDescent="0.25">
      <c r="A130" s="787" t="s">
        <v>592</v>
      </c>
      <c r="B130" s="93"/>
      <c r="C130" s="93"/>
      <c r="D130" s="33"/>
      <c r="E130" s="33"/>
      <c r="F130" s="33"/>
      <c r="G130" s="1697">
        <v>0.01</v>
      </c>
      <c r="H130" s="1079" t="s">
        <v>743</v>
      </c>
      <c r="I130" s="33"/>
      <c r="J130" s="33"/>
      <c r="K130" s="33"/>
      <c r="L130" s="927"/>
      <c r="M130" s="33"/>
    </row>
    <row r="131" spans="1:13" x14ac:dyDescent="0.25">
      <c r="A131" s="787" t="s">
        <v>593</v>
      </c>
      <c r="B131" s="93"/>
      <c r="C131" s="93"/>
      <c r="D131" s="33"/>
      <c r="E131" s="33"/>
      <c r="F131" s="33"/>
      <c r="G131" s="1697">
        <v>0</v>
      </c>
      <c r="H131" s="433"/>
      <c r="I131" s="33"/>
      <c r="J131" s="33"/>
      <c r="K131" s="33"/>
      <c r="L131" s="927"/>
      <c r="M131" s="33"/>
    </row>
    <row r="132" spans="1:13" x14ac:dyDescent="0.25">
      <c r="A132" s="787"/>
      <c r="B132" s="93"/>
      <c r="C132" s="93"/>
      <c r="D132" s="33"/>
      <c r="E132" s="33"/>
      <c r="F132" s="33"/>
      <c r="G132" s="653"/>
      <c r="H132" s="433"/>
      <c r="I132" s="33"/>
      <c r="J132" s="33"/>
      <c r="K132" s="33"/>
      <c r="L132" s="927"/>
      <c r="M132" s="33"/>
    </row>
    <row r="133" spans="1:13" x14ac:dyDescent="0.25">
      <c r="A133" s="788"/>
      <c r="B133" s="165" t="s">
        <v>264</v>
      </c>
      <c r="C133" s="33"/>
      <c r="D133" s="33"/>
      <c r="E133" s="33"/>
      <c r="F133" s="33"/>
      <c r="G133" s="33"/>
      <c r="H133" s="33"/>
      <c r="I133" s="33"/>
      <c r="J133" s="33"/>
      <c r="K133" s="33"/>
      <c r="L133" s="927"/>
      <c r="M133" s="33"/>
    </row>
    <row r="134" spans="1:13" x14ac:dyDescent="0.25">
      <c r="A134" s="787" t="s">
        <v>784</v>
      </c>
      <c r="B134" s="93"/>
      <c r="C134" s="93"/>
      <c r="D134" s="33"/>
      <c r="E134" s="33"/>
      <c r="F134" s="33"/>
      <c r="G134" s="1200">
        <f>IF(G135&gt;='1. AgeData'!$D$30,G135,'1. AgeData'!$D$30)</f>
        <v>60</v>
      </c>
      <c r="H134" s="650" t="str">
        <f>IF('9. SavingsData'!$G$134&gt;='1. AgeData'!$D$30, ".", CONCATENATE("   ERROR in SavingsData - must specify age &gt;= Current age of S1 of ",'1. AgeData'!$D$30))</f>
        <v>.</v>
      </c>
      <c r="I134" s="1180"/>
      <c r="J134" s="33"/>
      <c r="K134" s="33"/>
      <c r="L134" s="927"/>
      <c r="M134" s="33"/>
    </row>
    <row r="135" spans="1:13" x14ac:dyDescent="0.25">
      <c r="A135" s="787" t="s">
        <v>1205</v>
      </c>
      <c r="C135" s="93"/>
      <c r="D135" s="33"/>
      <c r="E135" s="33"/>
      <c r="F135" s="33"/>
      <c r="G135" s="1698">
        <v>0</v>
      </c>
      <c r="H135" s="1180" t="s">
        <v>782</v>
      </c>
      <c r="J135" s="33"/>
      <c r="K135" s="33"/>
      <c r="L135" s="927"/>
      <c r="M135" s="33"/>
    </row>
    <row r="136" spans="1:13" x14ac:dyDescent="0.25">
      <c r="A136" s="787" t="s">
        <v>785</v>
      </c>
      <c r="B136" s="93"/>
      <c r="C136" s="93"/>
      <c r="D136" s="33"/>
      <c r="E136" s="33"/>
      <c r="F136" s="33"/>
      <c r="G136" s="1200">
        <f>IF(G137&gt;='1. AgeData'!$D$31,G137,'1. AgeData'!$D$31)</f>
        <v>58</v>
      </c>
      <c r="H136" s="650" t="str">
        <f>IF('9. SavingsData'!$G$136&gt;='1. AgeData'!$D$31, ".", CONCATENATE("   ERROR in SavingsData - must specify age &gt;= Current age of S2 of ",'1. AgeData'!$D$31))</f>
        <v>.</v>
      </c>
      <c r="I136" s="6"/>
      <c r="J136" s="33"/>
      <c r="K136" s="33"/>
      <c r="L136" s="927"/>
      <c r="M136" s="33"/>
    </row>
    <row r="137" spans="1:13" x14ac:dyDescent="0.25">
      <c r="A137" s="787" t="s">
        <v>1206</v>
      </c>
      <c r="C137" s="93"/>
      <c r="D137" s="33"/>
      <c r="E137" s="33"/>
      <c r="F137" s="33"/>
      <c r="G137" s="1698">
        <v>58</v>
      </c>
      <c r="H137" s="1180" t="s">
        <v>782</v>
      </c>
      <c r="J137" s="33"/>
      <c r="K137" s="33"/>
      <c r="L137" s="927"/>
      <c r="M137" s="33"/>
    </row>
    <row r="138" spans="1:13" x14ac:dyDescent="0.25">
      <c r="A138" s="787"/>
      <c r="B138" s="1217"/>
      <c r="C138" s="93"/>
      <c r="D138" s="33"/>
      <c r="E138" s="33"/>
      <c r="F138" s="33"/>
      <c r="G138" s="802"/>
      <c r="H138" s="650"/>
      <c r="I138" s="6"/>
      <c r="J138" s="33"/>
      <c r="K138" s="33"/>
      <c r="L138" s="927"/>
      <c r="M138" s="33"/>
    </row>
    <row r="139" spans="1:13" x14ac:dyDescent="0.25">
      <c r="A139" s="787"/>
      <c r="B139" s="165" t="s">
        <v>265</v>
      </c>
      <c r="C139" s="93"/>
      <c r="D139" s="33"/>
      <c r="E139" s="33"/>
      <c r="F139" s="33"/>
      <c r="G139" s="802"/>
      <c r="H139" s="650"/>
      <c r="I139" s="6"/>
      <c r="J139" s="33"/>
      <c r="K139" s="33"/>
      <c r="L139" s="927"/>
      <c r="M139" s="33"/>
    </row>
    <row r="140" spans="1:13" x14ac:dyDescent="0.25">
      <c r="A140" s="787" t="s">
        <v>786</v>
      </c>
      <c r="B140" s="93"/>
      <c r="C140" s="93"/>
      <c r="D140" s="33"/>
      <c r="E140" s="33"/>
      <c r="F140" s="33"/>
      <c r="G140" s="1200">
        <f>IF(G141&lt;&gt;0,G141,'1. AgeData'!I30)</f>
        <v>63</v>
      </c>
      <c r="H140" s="650" t="str">
        <f>IF('9. SavingsData'!$G$140&gt;='9. SavingsData'!$G$134,".",CONCATENATE("   ERROR in SavingsData - must specify age &gt;= Age contribute to Savings early for S1 which is ",'9. SavingsData'!$G$134))</f>
        <v>.</v>
      </c>
      <c r="I140" s="1180"/>
      <c r="J140" s="33"/>
      <c r="K140" s="553"/>
      <c r="L140" s="927"/>
      <c r="M140" s="33"/>
    </row>
    <row r="141" spans="1:13" x14ac:dyDescent="0.25">
      <c r="A141" s="84" t="s">
        <v>1234</v>
      </c>
      <c r="B141" s="93"/>
      <c r="C141" s="93"/>
      <c r="D141" s="33"/>
      <c r="E141" s="33"/>
      <c r="F141" s="33"/>
      <c r="G141" s="1698">
        <v>63</v>
      </c>
      <c r="H141" s="1180" t="s">
        <v>782</v>
      </c>
      <c r="J141" s="33"/>
      <c r="K141" s="1454"/>
      <c r="L141" s="927"/>
      <c r="M141" s="33"/>
    </row>
    <row r="142" spans="1:13" x14ac:dyDescent="0.25">
      <c r="A142" s="1354" t="s">
        <v>787</v>
      </c>
      <c r="B142" s="93"/>
      <c r="C142" s="93"/>
      <c r="D142" s="33"/>
      <c r="E142" s="33"/>
      <c r="F142" s="33"/>
      <c r="G142" s="1200">
        <f>IF(G143&lt;&gt;0,G143,'1. AgeData'!I31)</f>
        <v>68</v>
      </c>
      <c r="H142" s="650" t="str">
        <f>IF('9. SavingsData'!$G$142&gt;='9. SavingsData'!$G$142,".",CONCATENATE("   ERROR in SavingsData - must specify age &gt;= Age contribute to Savings early for S2 which is ",'9. SavingsData'!$G$136))</f>
        <v>.</v>
      </c>
      <c r="I142" s="6"/>
      <c r="J142" s="33"/>
      <c r="K142" s="1454"/>
      <c r="L142" s="927"/>
      <c r="M142" s="33"/>
    </row>
    <row r="143" spans="1:13" ht="15.75" thickBot="1" x14ac:dyDescent="0.3">
      <c r="A143" s="146" t="s">
        <v>1235</v>
      </c>
      <c r="B143" s="976"/>
      <c r="C143" s="976"/>
      <c r="D143" s="651"/>
      <c r="E143" s="651"/>
      <c r="F143" s="651"/>
      <c r="G143" s="1714">
        <v>68</v>
      </c>
      <c r="H143" s="1765" t="s">
        <v>782</v>
      </c>
      <c r="I143" s="1314"/>
      <c r="J143" s="651"/>
      <c r="K143" s="652"/>
      <c r="L143" s="1454"/>
      <c r="M143" s="33"/>
    </row>
    <row r="144" spans="1:13" ht="15.75" thickTop="1" x14ac:dyDescent="0.25">
      <c r="A144" s="135"/>
      <c r="B144" s="147"/>
      <c r="C144" s="147"/>
      <c r="D144" s="158"/>
      <c r="E144" s="147"/>
      <c r="F144" s="6"/>
      <c r="G144" s="6"/>
      <c r="H144" s="6"/>
      <c r="I144" s="6"/>
      <c r="J144" s="6"/>
      <c r="K144" s="6"/>
      <c r="L144" s="39"/>
      <c r="M144" s="6"/>
    </row>
    <row r="145" spans="1:13" ht="15.75" thickBot="1" x14ac:dyDescent="0.3">
      <c r="A145" s="38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39"/>
    </row>
    <row r="146" spans="1:13" ht="19.5" thickTop="1" x14ac:dyDescent="0.3">
      <c r="A146" s="231" t="s">
        <v>82</v>
      </c>
      <c r="B146" s="14"/>
      <c r="C146" s="14"/>
      <c r="D146" s="14"/>
      <c r="E146" s="14"/>
      <c r="F146" s="14"/>
      <c r="G146" s="14"/>
      <c r="H146" s="14"/>
      <c r="I146" s="14"/>
      <c r="J146" s="14"/>
      <c r="K146" s="16"/>
      <c r="L146" s="39"/>
      <c r="M146" s="6"/>
    </row>
    <row r="147" spans="1:13" x14ac:dyDescent="0.25">
      <c r="A147" s="1252" t="s">
        <v>3434</v>
      </c>
      <c r="B147" s="64"/>
      <c r="C147" s="64"/>
      <c r="D147" s="158"/>
      <c r="E147" s="64"/>
      <c r="F147" s="6"/>
      <c r="G147" s="6"/>
      <c r="H147" s="6"/>
      <c r="I147" s="6"/>
      <c r="J147" s="6"/>
      <c r="K147" s="39"/>
      <c r="L147" s="39"/>
      <c r="M147" s="6"/>
    </row>
    <row r="148" spans="1:13" x14ac:dyDescent="0.25">
      <c r="A148" s="645"/>
      <c r="B148" s="165" t="s">
        <v>264</v>
      </c>
      <c r="C148" s="64"/>
      <c r="D148" s="158"/>
      <c r="E148" s="64"/>
      <c r="F148" s="6"/>
      <c r="G148" s="6"/>
      <c r="H148" s="6"/>
      <c r="I148" s="6"/>
      <c r="J148" s="6"/>
      <c r="K148" s="39"/>
      <c r="L148" s="39"/>
      <c r="M148" s="6"/>
    </row>
    <row r="149" spans="1:13" x14ac:dyDescent="0.25">
      <c r="A149" s="645"/>
      <c r="B149" s="165" t="s">
        <v>1203</v>
      </c>
      <c r="C149" s="64"/>
      <c r="D149" s="158"/>
      <c r="E149" s="64"/>
      <c r="F149" s="6"/>
      <c r="G149" s="6"/>
      <c r="H149" s="6"/>
      <c r="I149" s="6"/>
      <c r="J149" s="6"/>
      <c r="K149" s="39"/>
      <c r="L149" s="39"/>
      <c r="M149" s="6"/>
    </row>
    <row r="150" spans="1:13" x14ac:dyDescent="0.25">
      <c r="A150" s="84" t="s">
        <v>680</v>
      </c>
      <c r="B150" s="64"/>
      <c r="C150" s="64"/>
      <c r="D150" s="66"/>
      <c r="E150" s="66"/>
      <c r="F150" s="1197">
        <f>IF(F151&lt;&gt;0,F151,'1. AgeData'!$D$30)</f>
        <v>67</v>
      </c>
      <c r="G150" s="166" t="str">
        <f>IF('9. SavingsData'!$F$150&gt;='1. AgeData'!$D$30, ".", CONCATENATE("   ERROR in SavingsData - must specify age &gt;= Current age of S1 of ",'1. AgeData'!$D$30))</f>
        <v>.</v>
      </c>
      <c r="H150" s="1180"/>
      <c r="I150" s="6"/>
      <c r="J150" s="6"/>
      <c r="K150" s="39"/>
      <c r="L150" s="39"/>
      <c r="M150" s="6"/>
    </row>
    <row r="151" spans="1:13" x14ac:dyDescent="0.25">
      <c r="A151" s="84" t="s">
        <v>1207</v>
      </c>
      <c r="B151" s="64"/>
      <c r="C151" s="64"/>
      <c r="D151" s="66"/>
      <c r="E151" s="66"/>
      <c r="F151" s="1700">
        <v>67</v>
      </c>
      <c r="G151" s="166"/>
      <c r="H151" s="1180" t="s">
        <v>782</v>
      </c>
      <c r="I151" s="6"/>
      <c r="J151" s="6"/>
      <c r="K151" s="39"/>
      <c r="L151" s="39"/>
      <c r="M151" s="6"/>
    </row>
    <row r="152" spans="1:13" x14ac:dyDescent="0.25">
      <c r="A152" s="84" t="s">
        <v>681</v>
      </c>
      <c r="B152" s="64"/>
      <c r="C152" s="64"/>
      <c r="D152" s="66"/>
      <c r="E152" s="66"/>
      <c r="F152" s="1197">
        <f>IF(F153&lt;&gt;0,F153,'1. AgeData'!$D$31)</f>
        <v>60</v>
      </c>
      <c r="G152" s="166" t="str">
        <f>IF('9. SavingsData'!$F$152&gt;='1. AgeData'!$D$31, ".", CONCATENATE("   ERROR in SavingsData - must specify age &gt;= Current age of S1 of ",'1. AgeData'!$D$31))</f>
        <v>.</v>
      </c>
      <c r="H152" s="6"/>
      <c r="I152" s="6"/>
      <c r="J152" s="6"/>
      <c r="K152" s="39"/>
      <c r="L152" s="39"/>
      <c r="M152" s="6"/>
    </row>
    <row r="153" spans="1:13" x14ac:dyDescent="0.25">
      <c r="A153" s="84" t="s">
        <v>1208</v>
      </c>
      <c r="B153" s="64"/>
      <c r="C153" s="64"/>
      <c r="D153" s="66"/>
      <c r="E153" s="66"/>
      <c r="F153" s="1700">
        <v>60</v>
      </c>
      <c r="G153" s="166"/>
      <c r="H153" s="1180" t="s">
        <v>782</v>
      </c>
      <c r="I153" s="6"/>
      <c r="J153" s="6"/>
      <c r="K153" s="39"/>
      <c r="L153" s="39"/>
      <c r="M153" s="6"/>
    </row>
    <row r="154" spans="1:13" x14ac:dyDescent="0.25">
      <c r="A154" s="84"/>
      <c r="B154" s="64"/>
      <c r="C154" s="64"/>
      <c r="D154" s="66"/>
      <c r="E154" s="66"/>
      <c r="F154" s="340"/>
      <c r="G154" s="166"/>
      <c r="H154" s="6"/>
      <c r="I154" s="6"/>
      <c r="J154" s="6"/>
      <c r="K154" s="39"/>
      <c r="L154" s="39"/>
      <c r="M154" s="6"/>
    </row>
    <row r="155" spans="1:13" x14ac:dyDescent="0.25">
      <c r="A155" s="84"/>
      <c r="B155" s="165" t="s">
        <v>1368</v>
      </c>
      <c r="C155" s="64"/>
      <c r="D155" s="66"/>
      <c r="E155" s="66"/>
      <c r="F155" s="340"/>
      <c r="G155" s="166"/>
      <c r="H155" s="6"/>
      <c r="I155" s="6"/>
      <c r="J155" s="6"/>
      <c r="K155" s="39"/>
      <c r="L155" s="39"/>
      <c r="M155" s="6"/>
    </row>
    <row r="156" spans="1:13" x14ac:dyDescent="0.25">
      <c r="A156" s="84" t="s">
        <v>682</v>
      </c>
      <c r="B156" s="64"/>
      <c r="C156" s="64"/>
      <c r="D156" s="66"/>
      <c r="E156" s="66"/>
      <c r="F156" s="1546">
        <f>IF(F157&lt;&gt;0,F157,'1. AgeData'!I30)</f>
        <v>85</v>
      </c>
      <c r="G156" s="166" t="str">
        <f>IF($F$156&gt;=$F$150, ".", CONCATENATE("   ERROR in SavingsData - must specify age &gt;= start age of S1 of ",$F$150))</f>
        <v>.</v>
      </c>
      <c r="H156" s="1180"/>
      <c r="I156" s="6"/>
      <c r="J156" s="6"/>
      <c r="K156" s="39"/>
      <c r="L156" s="39"/>
      <c r="M156" s="6"/>
    </row>
    <row r="157" spans="1:13" x14ac:dyDescent="0.25">
      <c r="A157" s="84" t="s">
        <v>1236</v>
      </c>
      <c r="B157" s="64"/>
      <c r="C157" s="64"/>
      <c r="D157" s="66"/>
      <c r="E157" s="66"/>
      <c r="F157" s="1700">
        <v>0</v>
      </c>
      <c r="G157" s="166"/>
      <c r="H157" s="1180" t="s">
        <v>782</v>
      </c>
      <c r="I157" s="6"/>
      <c r="J157" s="6"/>
      <c r="K157" s="1311"/>
      <c r="L157" s="1311"/>
      <c r="M157" s="6"/>
    </row>
    <row r="158" spans="1:13" x14ac:dyDescent="0.25">
      <c r="A158" s="84" t="s">
        <v>683</v>
      </c>
      <c r="B158" s="64"/>
      <c r="C158" s="64"/>
      <c r="D158" s="66"/>
      <c r="E158" s="66"/>
      <c r="F158" s="1546">
        <f>IF(F159&lt;&gt;0,F159,'1. AgeData'!I31)</f>
        <v>87</v>
      </c>
      <c r="G158" s="166" t="str">
        <f>IF($F$158&gt;=$F$152, ".", CONCATENATE("   ERROR in SavingsData - must specify age &gt;= start age of S2 of ",$F$152))</f>
        <v>.</v>
      </c>
      <c r="H158" s="6"/>
      <c r="I158" s="6"/>
      <c r="J158" s="6"/>
      <c r="K158" s="39"/>
      <c r="L158" s="39"/>
      <c r="M158" s="6"/>
    </row>
    <row r="159" spans="1:13" x14ac:dyDescent="0.25">
      <c r="A159" s="84" t="s">
        <v>1237</v>
      </c>
      <c r="B159" s="64"/>
      <c r="C159" s="64"/>
      <c r="D159" s="66"/>
      <c r="E159" s="66"/>
      <c r="F159" s="1700">
        <v>0</v>
      </c>
      <c r="G159" s="166"/>
      <c r="H159" s="1180" t="s">
        <v>782</v>
      </c>
      <c r="I159" s="6"/>
      <c r="J159" s="6"/>
      <c r="K159" s="1311"/>
      <c r="L159" s="1311"/>
      <c r="M159" s="6"/>
    </row>
    <row r="160" spans="1:13" x14ac:dyDescent="0.25">
      <c r="A160" s="84"/>
      <c r="B160" s="64"/>
      <c r="C160" s="64"/>
      <c r="D160" s="66"/>
      <c r="E160" s="66"/>
      <c r="F160" s="340"/>
      <c r="G160" s="149"/>
      <c r="H160" s="6"/>
      <c r="I160" s="6"/>
      <c r="J160" s="6"/>
      <c r="K160" s="39"/>
      <c r="L160" s="39"/>
      <c r="M160" s="6"/>
    </row>
    <row r="161" spans="1:13" x14ac:dyDescent="0.25">
      <c r="A161" s="84" t="s">
        <v>684</v>
      </c>
      <c r="B161" s="64"/>
      <c r="C161" s="64"/>
      <c r="D161" s="66"/>
      <c r="E161" s="66"/>
      <c r="F161" s="697">
        <v>0.01</v>
      </c>
      <c r="G161" s="159" t="s">
        <v>744</v>
      </c>
      <c r="H161" s="6"/>
      <c r="I161" s="6"/>
      <c r="J161" s="6"/>
      <c r="K161" s="39"/>
      <c r="L161" s="39"/>
      <c r="M161" s="6"/>
    </row>
    <row r="162" spans="1:13" ht="15.75" thickBot="1" x14ac:dyDescent="0.3">
      <c r="A162" s="146" t="s">
        <v>158</v>
      </c>
      <c r="B162" s="86"/>
      <c r="C162" s="86"/>
      <c r="D162" s="154"/>
      <c r="E162" s="154"/>
      <c r="F162" s="1699">
        <v>0.01</v>
      </c>
      <c r="G162" s="160"/>
      <c r="H162" s="41"/>
      <c r="I162" s="41"/>
      <c r="J162" s="41"/>
      <c r="K162" s="43"/>
      <c r="L162" s="43"/>
      <c r="M162" s="6"/>
    </row>
    <row r="163" spans="1:13" ht="15.75" thickTop="1" x14ac:dyDescent="0.25">
      <c r="A163" s="406"/>
      <c r="B163" s="64"/>
      <c r="C163" s="64"/>
      <c r="D163" s="6"/>
      <c r="E163" s="6"/>
      <c r="F163" s="327"/>
      <c r="G163" s="159"/>
      <c r="H163" s="6"/>
      <c r="I163" s="6"/>
      <c r="J163" s="6"/>
      <c r="K163" s="6"/>
      <c r="L163" s="6"/>
      <c r="M163" s="6"/>
    </row>
    <row r="164" spans="1:13" ht="15.75" thickBot="1" x14ac:dyDescent="0.3">
      <c r="A164" s="406"/>
      <c r="B164" s="64"/>
      <c r="C164" s="64"/>
      <c r="D164" s="6"/>
      <c r="E164" s="6"/>
      <c r="F164" s="327"/>
      <c r="G164" s="159"/>
      <c r="H164" s="6"/>
      <c r="I164" s="6"/>
      <c r="J164" s="6"/>
      <c r="K164" s="6"/>
      <c r="L164" s="6"/>
      <c r="M164" s="6"/>
    </row>
    <row r="165" spans="1:13" ht="19.5" thickTop="1" x14ac:dyDescent="0.3">
      <c r="A165" s="265" t="s">
        <v>1214</v>
      </c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6"/>
      <c r="M165" s="6"/>
    </row>
    <row r="166" spans="1:13" x14ac:dyDescent="0.25">
      <c r="A166" s="38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39"/>
      <c r="M166" s="6"/>
    </row>
    <row r="167" spans="1:13" x14ac:dyDescent="0.25">
      <c r="A167" s="38" t="s">
        <v>266</v>
      </c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39"/>
      <c r="M167" s="6"/>
    </row>
    <row r="168" spans="1:13" x14ac:dyDescent="0.25">
      <c r="A168" s="38" t="s">
        <v>213</v>
      </c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39"/>
      <c r="M168" s="6"/>
    </row>
    <row r="169" spans="1:13" x14ac:dyDescent="0.25">
      <c r="A169" s="38" t="s">
        <v>214</v>
      </c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39"/>
      <c r="M169" s="6"/>
    </row>
    <row r="170" spans="1:13" x14ac:dyDescent="0.25">
      <c r="A170" s="38" t="s">
        <v>215</v>
      </c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39"/>
      <c r="M170" s="6"/>
    </row>
    <row r="171" spans="1:13" x14ac:dyDescent="0.25">
      <c r="A171" s="38" t="s">
        <v>216</v>
      </c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39"/>
      <c r="M171" s="6"/>
    </row>
    <row r="172" spans="1:13" x14ac:dyDescent="0.25">
      <c r="A172" s="38" t="s">
        <v>217</v>
      </c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39"/>
      <c r="M172" s="6"/>
    </row>
    <row r="173" spans="1:13" ht="15.75" thickBot="1" x14ac:dyDescent="0.3">
      <c r="A173" s="38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39"/>
      <c r="M173" s="6"/>
    </row>
    <row r="174" spans="1:13" ht="19.5" thickBot="1" x14ac:dyDescent="0.35">
      <c r="A174" s="38"/>
      <c r="B174" s="637" t="str">
        <f>IF('S. Setup'!$J$61="no","IGNORING irregular","USING irregular")&amp;" Savings contributions and withdrawals"</f>
        <v>USING irregular Savings contributions and withdrawals</v>
      </c>
      <c r="C174" s="715"/>
      <c r="D174" s="715"/>
      <c r="E174" s="715"/>
      <c r="F174" s="715"/>
      <c r="G174" s="715"/>
      <c r="H174" s="715"/>
      <c r="I174" s="715"/>
      <c r="J174" s="716"/>
      <c r="K174" s="6"/>
      <c r="L174" s="39"/>
      <c r="M174" s="6"/>
    </row>
    <row r="175" spans="1:13" ht="15.75" x14ac:dyDescent="0.25">
      <c r="A175" s="38"/>
      <c r="B175" s="1095" t="s">
        <v>179</v>
      </c>
      <c r="C175" s="1095"/>
      <c r="D175" s="1095"/>
      <c r="E175" s="1095"/>
      <c r="F175" s="1095"/>
      <c r="G175" s="1095"/>
      <c r="H175" s="1095"/>
      <c r="I175" s="1473" t="s">
        <v>1104</v>
      </c>
      <c r="J175" s="6"/>
      <c r="K175" s="6"/>
      <c r="L175" s="39"/>
      <c r="M175" s="6"/>
    </row>
    <row r="176" spans="1:13" x14ac:dyDescent="0.25">
      <c r="A176" s="38"/>
      <c r="B176" s="1095"/>
      <c r="C176" s="1095"/>
      <c r="D176" s="1095"/>
      <c r="E176" s="1095"/>
      <c r="F176" s="1095"/>
      <c r="G176" s="1095"/>
      <c r="H176" s="1095"/>
      <c r="I176" s="1096"/>
      <c r="J176" s="6"/>
      <c r="K176" s="6"/>
      <c r="L176" s="39"/>
      <c r="M176" s="6"/>
    </row>
    <row r="177" spans="1:13" x14ac:dyDescent="0.25">
      <c r="A177" s="38" t="s">
        <v>416</v>
      </c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39"/>
      <c r="M177" s="6"/>
    </row>
    <row r="178" spans="1:13" x14ac:dyDescent="0.25">
      <c r="A178" s="38" t="s">
        <v>417</v>
      </c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39"/>
      <c r="M178" s="6"/>
    </row>
    <row r="179" spans="1:13" x14ac:dyDescent="0.25">
      <c r="A179" s="38" t="s">
        <v>553</v>
      </c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39"/>
      <c r="M179" s="6"/>
    </row>
    <row r="180" spans="1:13" x14ac:dyDescent="0.25">
      <c r="A180" s="38" t="s">
        <v>418</v>
      </c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39"/>
      <c r="M180" s="6"/>
    </row>
    <row r="181" spans="1:13" x14ac:dyDescent="0.25">
      <c r="A181" s="38" t="s">
        <v>242</v>
      </c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39"/>
    </row>
    <row r="182" spans="1:13" x14ac:dyDescent="0.25">
      <c r="A182" s="38" t="s">
        <v>2899</v>
      </c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39"/>
    </row>
    <row r="183" spans="1:13" ht="15.75" thickBot="1" x14ac:dyDescent="0.3">
      <c r="A183" s="324"/>
      <c r="B183" s="41"/>
      <c r="C183" s="41"/>
      <c r="D183" s="41"/>
      <c r="E183" s="41"/>
      <c r="F183" s="41"/>
      <c r="G183" s="41"/>
      <c r="H183" s="41"/>
      <c r="I183" s="41"/>
      <c r="J183" s="41"/>
      <c r="K183" s="41"/>
      <c r="L183" s="43"/>
    </row>
    <row r="184" spans="1:13" ht="15.75" thickTop="1" x14ac:dyDescent="0.25">
      <c r="A184" s="1341"/>
      <c r="B184" s="1341"/>
      <c r="C184" s="1341"/>
      <c r="D184" s="1341"/>
      <c r="E184" s="1341"/>
      <c r="F184" s="1341"/>
      <c r="G184" s="1341"/>
      <c r="H184" s="1341"/>
      <c r="I184" s="1341"/>
      <c r="J184" s="1341"/>
      <c r="K184" s="1341"/>
      <c r="L184" s="1341"/>
    </row>
    <row r="185" spans="1:13" ht="15.75" thickBot="1" x14ac:dyDescent="0.3">
      <c r="A185" s="1314"/>
      <c r="B185" s="1314"/>
      <c r="C185" s="1314"/>
      <c r="D185" s="1314"/>
      <c r="E185" s="1314"/>
      <c r="F185" s="1314"/>
      <c r="G185" s="1314"/>
      <c r="H185" s="1314"/>
      <c r="I185" s="1314"/>
      <c r="J185" s="1314"/>
      <c r="K185" s="1314"/>
      <c r="L185" s="1314"/>
    </row>
    <row r="186" spans="1:13" ht="19.5" thickTop="1" x14ac:dyDescent="0.3">
      <c r="A186" s="265" t="s">
        <v>2900</v>
      </c>
      <c r="B186" s="717"/>
      <c r="C186" s="717"/>
      <c r="D186" s="717"/>
      <c r="E186" s="717"/>
      <c r="F186" s="717"/>
      <c r="G186" s="717"/>
      <c r="H186" s="717"/>
      <c r="I186" s="14"/>
      <c r="J186" s="14"/>
      <c r="K186" s="14"/>
      <c r="L186" s="16"/>
    </row>
    <row r="187" spans="1:13" ht="15.75" x14ac:dyDescent="0.25">
      <c r="A187" s="1267" t="s">
        <v>3435</v>
      </c>
      <c r="B187" s="693"/>
      <c r="C187" s="693"/>
      <c r="D187" s="693"/>
      <c r="E187" s="693"/>
      <c r="F187" s="693"/>
      <c r="G187" s="693"/>
      <c r="H187" s="693"/>
      <c r="I187" s="6"/>
      <c r="J187" s="6"/>
      <c r="K187" s="6"/>
      <c r="L187" s="39"/>
    </row>
    <row r="188" spans="1:13" ht="15.75" x14ac:dyDescent="0.25">
      <c r="A188" s="1416" t="s">
        <v>1428</v>
      </c>
      <c r="B188" s="693"/>
      <c r="C188" s="693"/>
      <c r="D188" s="693"/>
      <c r="E188" s="693"/>
      <c r="F188" s="693"/>
      <c r="G188" s="693"/>
      <c r="H188" s="693"/>
      <c r="I188" s="6"/>
      <c r="J188" s="6"/>
      <c r="K188" s="6"/>
      <c r="L188" s="1311"/>
    </row>
    <row r="189" spans="1:13" ht="15.75" x14ac:dyDescent="0.25">
      <c r="A189" s="1267" t="s">
        <v>1430</v>
      </c>
      <c r="B189" s="693"/>
      <c r="C189" s="693"/>
      <c r="D189" s="693"/>
      <c r="E189" s="693"/>
      <c r="F189" s="693"/>
      <c r="G189" s="693"/>
      <c r="H189" s="693"/>
      <c r="I189" s="6"/>
      <c r="J189" s="6"/>
      <c r="K189" s="6"/>
      <c r="L189" s="39"/>
    </row>
    <row r="190" spans="1:13" ht="15.75" x14ac:dyDescent="0.25">
      <c r="A190" s="1416" t="s">
        <v>1429</v>
      </c>
      <c r="B190" s="693"/>
      <c r="C190" s="693"/>
      <c r="D190" s="693"/>
      <c r="E190" s="693"/>
      <c r="F190" s="693"/>
      <c r="G190" s="693"/>
      <c r="H190" s="693"/>
      <c r="I190" s="6"/>
      <c r="J190" s="6"/>
      <c r="K190" s="6"/>
      <c r="L190" s="1311"/>
    </row>
    <row r="191" spans="1:13" ht="15.75" x14ac:dyDescent="0.25">
      <c r="A191" s="1416"/>
      <c r="B191" s="693"/>
      <c r="C191" s="693"/>
      <c r="D191" s="693"/>
      <c r="E191" s="693"/>
      <c r="F191" s="693"/>
      <c r="G191" s="693"/>
      <c r="H191" s="693"/>
      <c r="I191" s="6"/>
      <c r="J191" s="6"/>
      <c r="K191" s="6"/>
      <c r="L191" s="1311"/>
    </row>
    <row r="192" spans="1:13" x14ac:dyDescent="0.25">
      <c r="A192" s="1267" t="s">
        <v>3436</v>
      </c>
      <c r="J192" s="6"/>
      <c r="K192" s="6"/>
      <c r="L192" s="39"/>
    </row>
    <row r="193" spans="1:12" x14ac:dyDescent="0.25">
      <c r="A193" s="1416" t="s">
        <v>1192</v>
      </c>
      <c r="J193" s="6"/>
      <c r="K193" s="6"/>
      <c r="L193" s="1311"/>
    </row>
    <row r="194" spans="1:12" x14ac:dyDescent="0.25">
      <c r="A194" s="1416"/>
      <c r="J194" s="6"/>
      <c r="K194" s="6"/>
      <c r="L194" s="1311"/>
    </row>
    <row r="195" spans="1:12" x14ac:dyDescent="0.25">
      <c r="A195" s="1416" t="s">
        <v>3437</v>
      </c>
      <c r="J195" s="6"/>
      <c r="K195" s="6"/>
      <c r="L195" s="1311"/>
    </row>
    <row r="196" spans="1:12" x14ac:dyDescent="0.25">
      <c r="A196" s="1416" t="s">
        <v>3438</v>
      </c>
      <c r="J196" s="6"/>
      <c r="K196" s="6"/>
      <c r="L196" s="1311"/>
    </row>
    <row r="197" spans="1:12" x14ac:dyDescent="0.25">
      <c r="A197" s="1416" t="s">
        <v>3439</v>
      </c>
      <c r="J197" s="6"/>
      <c r="K197" s="6"/>
      <c r="L197" s="1311"/>
    </row>
    <row r="198" spans="1:12" ht="16.5" thickBot="1" x14ac:dyDescent="0.3">
      <c r="A198" s="139"/>
      <c r="B198" s="693"/>
      <c r="C198" s="693"/>
      <c r="D198" s="693"/>
      <c r="E198" s="693"/>
      <c r="F198" s="693"/>
      <c r="G198" s="693"/>
      <c r="H198" s="693"/>
      <c r="I198" s="6"/>
      <c r="J198" s="6"/>
      <c r="K198" s="6"/>
      <c r="L198" s="39"/>
    </row>
    <row r="199" spans="1:12" s="442" customFormat="1" ht="86.25" thickTop="1" thickBot="1" x14ac:dyDescent="0.3">
      <c r="A199" s="663" t="s">
        <v>218</v>
      </c>
      <c r="B199" s="666" t="s">
        <v>1426</v>
      </c>
      <c r="C199" s="1815" t="s">
        <v>221</v>
      </c>
      <c r="D199" s="1816" t="s">
        <v>570</v>
      </c>
      <c r="E199" s="1817" t="s">
        <v>567</v>
      </c>
      <c r="F199" s="665" t="s">
        <v>568</v>
      </c>
      <c r="G199" s="1152"/>
      <c r="H199" s="666" t="s">
        <v>1427</v>
      </c>
      <c r="I199" s="664" t="s">
        <v>222</v>
      </c>
      <c r="J199" s="512" t="s">
        <v>569</v>
      </c>
      <c r="K199" s="454" t="s">
        <v>571</v>
      </c>
      <c r="L199" s="665" t="s">
        <v>572</v>
      </c>
    </row>
    <row r="200" spans="1:12" ht="15.75" thickTop="1" x14ac:dyDescent="0.25">
      <c r="A200" s="314">
        <v>1</v>
      </c>
      <c r="B200" s="1798" t="s">
        <v>2443</v>
      </c>
      <c r="C200" s="3227">
        <v>60</v>
      </c>
      <c r="D200" s="1717" t="s">
        <v>2439</v>
      </c>
      <c r="E200" s="1683">
        <v>6000</v>
      </c>
      <c r="F200" s="310">
        <f>IF(OR($H$78="no",E200=0),0,E200*IF(OR(B200="FC",B200="FW"),1,POWER((1+'2. TaxData'!$I$65),(C200-'1. AgeData'!$D$30))))</f>
        <v>6000</v>
      </c>
      <c r="G200" s="6"/>
      <c r="H200" s="1804" t="s">
        <v>2443</v>
      </c>
      <c r="I200" s="3227">
        <v>64</v>
      </c>
      <c r="J200" s="1717" t="s">
        <v>2449</v>
      </c>
      <c r="K200" s="1683">
        <v>6000</v>
      </c>
      <c r="L200" s="310">
        <f>IF(OR($H$78="no",K200=0),0,  K200*IF(OR(H200="FC",H200="FW"),1,POWER((1+'2. TaxData'!$I$65),(I200-'1. AgeData'!$D$31))))</f>
        <v>7170.5554117338652</v>
      </c>
    </row>
    <row r="201" spans="1:12" x14ac:dyDescent="0.25">
      <c r="A201" s="307">
        <v>2</v>
      </c>
      <c r="B201" s="1798" t="s">
        <v>2443</v>
      </c>
      <c r="C201" s="1799">
        <v>71</v>
      </c>
      <c r="D201" s="1717" t="s">
        <v>2440</v>
      </c>
      <c r="E201" s="1683">
        <v>4000</v>
      </c>
      <c r="F201" s="310">
        <f>IF(OR($H$78="no",E201=0),0,E201*IF(OR(B201="FC",B201="FW"),1,POWER((1+'2. TaxData'!$I$65),(C201-'1. AgeData'!$D$30))))</f>
        <v>4973.4972335786078</v>
      </c>
      <c r="G201" s="6"/>
      <c r="H201" s="1804" t="s">
        <v>2443</v>
      </c>
      <c r="I201" s="1799">
        <v>66</v>
      </c>
      <c r="J201" s="1717" t="s">
        <v>2440</v>
      </c>
      <c r="K201" s="1683">
        <v>4000</v>
      </c>
      <c r="L201" s="310">
        <f>IF(OR($H$78="no",K201=0),0,  K201*IF(OR(H201="FC",H201="FW"),1,POWER((1+'2. TaxData'!$I$65),(I201-'1. AgeData'!$D$31))))</f>
        <v>4973.4972335786078</v>
      </c>
    </row>
    <row r="202" spans="1:12" ht="36.75" x14ac:dyDescent="0.25">
      <c r="A202" s="307">
        <v>3</v>
      </c>
      <c r="B202" s="1798" t="s">
        <v>2443</v>
      </c>
      <c r="C202" s="1799">
        <v>75</v>
      </c>
      <c r="D202" s="1717" t="s">
        <v>2441</v>
      </c>
      <c r="E202" s="1683">
        <v>5000</v>
      </c>
      <c r="F202" s="310">
        <f>IF(OR($H$78="no",E202=0),0,E202*IF(OR(B202="FC",B202="FW"),1,POWER((1+'2. TaxData'!$I$65),(C202-'1. AgeData'!$D$30))))</f>
        <v>6729.3416916206461</v>
      </c>
      <c r="G202" s="6"/>
      <c r="H202" s="1804" t="s">
        <v>2443</v>
      </c>
      <c r="I202" s="1799">
        <v>70</v>
      </c>
      <c r="J202" s="1717" t="s">
        <v>2441</v>
      </c>
      <c r="K202" s="1683">
        <v>5000</v>
      </c>
      <c r="L202" s="310">
        <f>IF(OR($H$78="no",K202=0),0,  K202*IF(OR(H202="FC",H202="FW"),1,POWER((1+'2. TaxData'!$I$65),(I202-'1. AgeData'!$D$31))))</f>
        <v>6729.3416916206461</v>
      </c>
    </row>
    <row r="203" spans="1:12" x14ac:dyDescent="0.25">
      <c r="A203" s="307">
        <v>4</v>
      </c>
      <c r="B203" s="1798" t="s">
        <v>2443</v>
      </c>
      <c r="C203" s="1799">
        <v>70</v>
      </c>
      <c r="D203" s="1717" t="s">
        <v>2442</v>
      </c>
      <c r="E203" s="1683">
        <v>3000</v>
      </c>
      <c r="F203" s="310">
        <f>IF(OR($H$78="no",E203=0),0,E203*IF(OR(B203="FC",B203="FW"),1,POWER((1+'2. TaxData'!$I$65),(C203-'1. AgeData'!$D$30))))</f>
        <v>3656.9832599842712</v>
      </c>
      <c r="G203" s="6"/>
      <c r="H203" s="1804" t="s">
        <v>2443</v>
      </c>
      <c r="I203" s="1799">
        <v>70</v>
      </c>
      <c r="J203" s="1717" t="s">
        <v>2442</v>
      </c>
      <c r="K203" s="1683">
        <v>1500</v>
      </c>
      <c r="L203" s="310">
        <f>IF(OR($H$78="no",K203=0),0,  K203*IF(OR(H203="FC",H203="FW"),1,POWER((1+'2. TaxData'!$I$65),(I203-'1. AgeData'!$D$31))))</f>
        <v>2018.8025074861939</v>
      </c>
    </row>
    <row r="204" spans="1:12" x14ac:dyDescent="0.25">
      <c r="A204" s="307">
        <v>5</v>
      </c>
      <c r="B204" s="1798" t="s">
        <v>2443</v>
      </c>
      <c r="C204" s="1799">
        <v>75</v>
      </c>
      <c r="D204" s="1717" t="s">
        <v>2442</v>
      </c>
      <c r="E204" s="1683">
        <v>3000</v>
      </c>
      <c r="F204" s="310">
        <f>IF(OR($H$78="no",E204=0),0,E204*IF(OR(B204="FC",B204="FW"),1,POWER((1+'2. TaxData'!$I$65),(C204-'1. AgeData'!$D$30))))</f>
        <v>4037.6050149723878</v>
      </c>
      <c r="G204" s="6"/>
      <c r="H204" s="1804" t="s">
        <v>2443</v>
      </c>
      <c r="I204" s="1799">
        <v>55</v>
      </c>
      <c r="J204" s="1717" t="s">
        <v>2440</v>
      </c>
      <c r="K204" s="1683">
        <v>1500</v>
      </c>
      <c r="L204" s="310">
        <f>IF(OR($H$78="no",K204=0),0,  K204*IF(OR(H204="FC",H204="FW"),1,POWER((1+'2. TaxData'!$I$65),(I204-'1. AgeData'!$D$31))))</f>
        <v>1500</v>
      </c>
    </row>
    <row r="205" spans="1:12" x14ac:dyDescent="0.25">
      <c r="A205" s="307">
        <v>6</v>
      </c>
      <c r="B205" s="1798" t="s">
        <v>2443</v>
      </c>
      <c r="C205" s="1799">
        <v>60</v>
      </c>
      <c r="D205" s="1717" t="s">
        <v>2440</v>
      </c>
      <c r="E205" s="1683">
        <v>1500</v>
      </c>
      <c r="F205" s="310">
        <f>IF(OR($H$78="no",E205=0),0,E205*IF(OR(B205="FC",B205="FW"),1,POWER((1+'2. TaxData'!$I$65),(C205-'1. AgeData'!$D$30))))</f>
        <v>1500</v>
      </c>
      <c r="G205" s="6"/>
      <c r="H205" s="1804" t="s">
        <v>2443</v>
      </c>
      <c r="I205" s="3228">
        <v>74</v>
      </c>
      <c r="J205" s="1718" t="s">
        <v>2449</v>
      </c>
      <c r="K205" s="1903">
        <v>30000</v>
      </c>
      <c r="L205" s="310">
        <f>IF(OR($H$78="no",K205=0),0,  K205*IF(OR(H205="FC",H205="FW"),1,POWER((1+'2. TaxData'!$I$65),(I205-'1. AgeData'!$D$31))))</f>
        <v>43704.335175833941</v>
      </c>
    </row>
    <row r="206" spans="1:12" ht="24.75" x14ac:dyDescent="0.25">
      <c r="A206" s="307">
        <v>7</v>
      </c>
      <c r="B206" s="1798" t="s">
        <v>2444</v>
      </c>
      <c r="C206" s="1799">
        <v>60</v>
      </c>
      <c r="D206" s="1717" t="s">
        <v>2464</v>
      </c>
      <c r="E206" s="1683">
        <v>1400</v>
      </c>
      <c r="F206" s="310">
        <f>IF(OR($H$78="no",E206=0),0,E206*IF(OR(B206="FC",B206="FW"),1,POWER((1+'2. TaxData'!$I$65),(C206-'1. AgeData'!$D$30))))</f>
        <v>1400</v>
      </c>
      <c r="G206" s="6"/>
      <c r="H206" s="1804" t="s">
        <v>2444</v>
      </c>
      <c r="I206" s="1799">
        <v>57</v>
      </c>
      <c r="J206" s="1717" t="s">
        <v>2464</v>
      </c>
      <c r="K206" s="1683">
        <v>1000</v>
      </c>
      <c r="L206" s="310">
        <f>IF(OR($H$78="no",K206=0),0,  K206*IF(OR(H206="FC",H206="FW"),1,POWER((1+'2. TaxData'!$I$65),(I206-'1. AgeData'!$D$31))))</f>
        <v>1040.4000000000001</v>
      </c>
    </row>
    <row r="207" spans="1:12" x14ac:dyDescent="0.25">
      <c r="A207" s="307">
        <v>8</v>
      </c>
      <c r="B207" s="1798" t="s">
        <v>2443</v>
      </c>
      <c r="C207" s="1799">
        <v>70</v>
      </c>
      <c r="D207" s="1717" t="s">
        <v>2440</v>
      </c>
      <c r="E207" s="1683">
        <v>5000</v>
      </c>
      <c r="F207" s="310">
        <f>IF(OR($H$78="no",E207=0),0,E207*IF(OR(B207="FC",B207="FW"),1,POWER((1+'2. TaxData'!$I$65),(C207-'1. AgeData'!$D$30))))</f>
        <v>6094.9720999737856</v>
      </c>
      <c r="G207" s="6"/>
      <c r="H207" s="1804" t="s">
        <v>220</v>
      </c>
      <c r="I207" s="1799">
        <v>0</v>
      </c>
      <c r="J207" s="1717"/>
      <c r="K207" s="1683">
        <v>0</v>
      </c>
      <c r="L207" s="310">
        <f>IF(OR($H$78="no",K207=0),0,  K207*IF(OR(H207="FC",H207="FW"),1,POWER((1+'2. TaxData'!$I$65),(I207-'1. AgeData'!$D$31))))</f>
        <v>0</v>
      </c>
    </row>
    <row r="208" spans="1:12" x14ac:dyDescent="0.25">
      <c r="A208" s="307">
        <v>9</v>
      </c>
      <c r="B208" s="1798" t="s">
        <v>2443</v>
      </c>
      <c r="C208" s="1799">
        <v>71</v>
      </c>
      <c r="D208" s="1717" t="s">
        <v>2449</v>
      </c>
      <c r="E208" s="1683">
        <v>30000</v>
      </c>
      <c r="F208" s="310">
        <f>IF(OR($H$78="no",E208=0),0,E208*IF(OR(B208="FC",B208="FW"),1,POWER((1+'2. TaxData'!$I$65),(C208-'1. AgeData'!$D$30))))</f>
        <v>37301.229251839562</v>
      </c>
      <c r="G208" s="6"/>
      <c r="H208" s="1804" t="s">
        <v>2443</v>
      </c>
      <c r="I208" s="1799">
        <v>61</v>
      </c>
      <c r="J208" s="1717" t="s">
        <v>2451</v>
      </c>
      <c r="K208" s="1683">
        <v>2500</v>
      </c>
      <c r="L208" s="310">
        <f>IF(OR($H$78="no",K208=0),0,  K208*IF(OR(H208="FC",H208="FW"),1,POWER((1+'2. TaxData'!$I$65),(I208-'1. AgeData'!$D$31))))</f>
        <v>2815.40604816</v>
      </c>
    </row>
    <row r="209" spans="1:12" x14ac:dyDescent="0.25">
      <c r="A209" s="307">
        <v>10</v>
      </c>
      <c r="B209" s="1798" t="s">
        <v>2443</v>
      </c>
      <c r="C209" s="1799">
        <v>61</v>
      </c>
      <c r="D209" s="1717" t="s">
        <v>2450</v>
      </c>
      <c r="E209" s="1683">
        <v>1234</v>
      </c>
      <c r="F209" s="310">
        <f>IF(OR($H$78="no",E209=0),0,E209*IF(OR(B209="FC",B209="FW"),1,POWER((1+'2. TaxData'!$I$65),(C209-'1. AgeData'!$D$30))))</f>
        <v>1258.68</v>
      </c>
      <c r="G209" s="6"/>
      <c r="H209" s="1804" t="s">
        <v>220</v>
      </c>
      <c r="I209" s="1799">
        <v>0</v>
      </c>
      <c r="J209" s="1717"/>
      <c r="K209" s="1683">
        <v>0</v>
      </c>
      <c r="L209" s="310">
        <f>IF(OR($H$78="no",K209=0),0,  K209*IF(OR(H209="FC",H209="FW"),1,POWER((1+'2. TaxData'!$I$65),(I209-'1. AgeData'!$D$31))))</f>
        <v>0</v>
      </c>
    </row>
    <row r="210" spans="1:12" x14ac:dyDescent="0.25">
      <c r="A210" s="307">
        <v>11</v>
      </c>
      <c r="B210" s="1798" t="s">
        <v>2443</v>
      </c>
      <c r="C210" s="1799">
        <v>66</v>
      </c>
      <c r="D210" s="1717" t="s">
        <v>2451</v>
      </c>
      <c r="E210" s="1683">
        <v>4000</v>
      </c>
      <c r="F210" s="310">
        <f>IF(OR($H$78="no",E210=0),0,E210*IF(OR(B210="FC",B210="FW"),1,POWER((1+'2. TaxData'!$I$65),(C210-'1. AgeData'!$D$30))))</f>
        <v>4504.6496770560007</v>
      </c>
      <c r="G210" s="6"/>
      <c r="H210" s="1804" t="s">
        <v>220</v>
      </c>
      <c r="I210" s="1799">
        <v>0</v>
      </c>
      <c r="J210" s="1717"/>
      <c r="K210" s="1683">
        <v>0</v>
      </c>
      <c r="L210" s="310">
        <f>IF(OR($H$78="no",K210=0),0,  K210*IF(OR(H210="FC",H210="FW"),1,POWER((1+'2. TaxData'!$I$65),(I210-'1. AgeData'!$D$31))))</f>
        <v>0</v>
      </c>
    </row>
    <row r="211" spans="1:12" x14ac:dyDescent="0.25">
      <c r="A211" s="307">
        <v>12</v>
      </c>
      <c r="B211" s="1798" t="s">
        <v>2443</v>
      </c>
      <c r="C211" s="1799">
        <v>67</v>
      </c>
      <c r="D211" s="1717" t="s">
        <v>2451</v>
      </c>
      <c r="E211" s="1683">
        <v>6100</v>
      </c>
      <c r="F211" s="310">
        <f>IF(OR($H$78="no",E211=0),0,E211*IF(OR(B211="FC",B211="FW"),1,POWER((1+'2. TaxData'!$I$65),(C211-'1. AgeData'!$D$30))))</f>
        <v>7006.9825726606068</v>
      </c>
      <c r="G211" s="6"/>
      <c r="H211" s="1804" t="s">
        <v>220</v>
      </c>
      <c r="I211" s="1799">
        <v>0</v>
      </c>
      <c r="J211" s="1717"/>
      <c r="K211" s="1683">
        <v>0</v>
      </c>
      <c r="L211" s="310">
        <f>IF(OR($H$78="no",K211=0),0,  K211*IF(OR(H211="FC",H211="FW"),1,POWER((1+'2. TaxData'!$I$65),(I211-'1. AgeData'!$D$31))))</f>
        <v>0</v>
      </c>
    </row>
    <row r="212" spans="1:12" x14ac:dyDescent="0.25">
      <c r="A212" s="307">
        <v>13</v>
      </c>
      <c r="B212" s="1798" t="s">
        <v>2443</v>
      </c>
      <c r="C212" s="3228">
        <v>61</v>
      </c>
      <c r="D212" s="1718" t="s">
        <v>2446</v>
      </c>
      <c r="E212" s="1903">
        <v>1000</v>
      </c>
      <c r="F212" s="310">
        <f>IF(OR($H$78="no",E212=0),0,E212*IF(OR(B212="FC",B212="FW"),1,POWER((1+'2. TaxData'!$I$65),(C212-'1. AgeData'!$D$30))))</f>
        <v>1020</v>
      </c>
      <c r="G212" s="6"/>
      <c r="H212" s="1804" t="s">
        <v>220</v>
      </c>
      <c r="I212" s="1799">
        <v>0</v>
      </c>
      <c r="J212" s="1717"/>
      <c r="K212" s="1683">
        <v>0</v>
      </c>
      <c r="L212" s="310">
        <f>IF(OR($H$78="no",K212=0),0,  K212*IF(OR(H212="FC",H212="FW"),1,POWER((1+'2. TaxData'!$I$65),(I212-'1. AgeData'!$D$31))))</f>
        <v>0</v>
      </c>
    </row>
    <row r="213" spans="1:12" x14ac:dyDescent="0.25">
      <c r="A213" s="307">
        <v>14</v>
      </c>
      <c r="B213" s="1798" t="s">
        <v>2443</v>
      </c>
      <c r="C213" s="1799">
        <v>68</v>
      </c>
      <c r="D213" s="1717" t="s">
        <v>2451</v>
      </c>
      <c r="E213" s="1683">
        <v>3000</v>
      </c>
      <c r="F213" s="310">
        <f>IF(OR($H$78="no",E213=0),0,E213*IF(OR(B213="FC",B213="FW"),1,POWER((1+'2. TaxData'!$I$65),(C213-'1. AgeData'!$D$30))))</f>
        <v>3514.9781430067965</v>
      </c>
      <c r="G213" s="6"/>
      <c r="H213" s="1804" t="s">
        <v>220</v>
      </c>
      <c r="I213" s="1799">
        <v>0</v>
      </c>
      <c r="J213" s="1717"/>
      <c r="K213" s="1683">
        <v>0</v>
      </c>
      <c r="L213" s="310">
        <f>IF(OR($H$78="no",K213=0),0,  K213*IF(OR(H213="FC",H213="FW"),1,POWER((1+'2. TaxData'!$I$65),(I213-'1. AgeData'!$D$31))))</f>
        <v>0</v>
      </c>
    </row>
    <row r="214" spans="1:12" x14ac:dyDescent="0.25">
      <c r="A214" s="307">
        <v>15</v>
      </c>
      <c r="B214" s="1798" t="s">
        <v>2443</v>
      </c>
      <c r="C214" s="1799">
        <v>70</v>
      </c>
      <c r="D214" s="1717" t="s">
        <v>2452</v>
      </c>
      <c r="E214" s="1683">
        <v>1000</v>
      </c>
      <c r="F214" s="310">
        <f>IF(OR($H$78="no",E214=0),0,E214*IF(OR(B214="FC",B214="FW"),1,POWER((1+'2. TaxData'!$I$65),(C214-'1. AgeData'!$D$30))))</f>
        <v>1218.9944199947572</v>
      </c>
      <c r="G214" s="6"/>
      <c r="H214" s="1804" t="s">
        <v>2443</v>
      </c>
      <c r="I214" s="1799">
        <v>65</v>
      </c>
      <c r="J214" s="1717" t="s">
        <v>2452</v>
      </c>
      <c r="K214" s="1683">
        <v>5000</v>
      </c>
      <c r="L214" s="310">
        <f>IF(OR($H$78="no",K214=0),0,  K214*IF(OR(H214="FC",H214="FW"),1,POWER((1+'2. TaxData'!$I$65),(I214-'1. AgeData'!$D$31))))</f>
        <v>6094.9720999737856</v>
      </c>
    </row>
    <row r="215" spans="1:12" x14ac:dyDescent="0.25">
      <c r="A215" s="307">
        <v>16</v>
      </c>
      <c r="B215" s="1798" t="s">
        <v>2443</v>
      </c>
      <c r="C215" s="1799">
        <v>72</v>
      </c>
      <c r="D215" s="1717" t="s">
        <v>2453</v>
      </c>
      <c r="E215" s="1683">
        <v>10000</v>
      </c>
      <c r="F215" s="310">
        <f>IF(OR($H$78="no",E215=0),0,E215*IF(OR(B215="FC",B215="FW"),1,POWER((1+'2. TaxData'!$I$65),(C215-'1. AgeData'!$D$30))))</f>
        <v>12682.417945625453</v>
      </c>
      <c r="G215" s="6"/>
      <c r="H215" s="1804" t="s">
        <v>2443</v>
      </c>
      <c r="I215" s="1799">
        <v>67</v>
      </c>
      <c r="J215" s="1717" t="s">
        <v>2453</v>
      </c>
      <c r="K215" s="1683">
        <v>5000</v>
      </c>
      <c r="L215" s="310">
        <f>IF(OR($H$78="no",K215=0),0,  K215*IF(OR(H215="FC",H215="FW"),1,POWER((1+'2. TaxData'!$I$65),(I215-'1. AgeData'!$D$31))))</f>
        <v>6341.2089728127266</v>
      </c>
    </row>
    <row r="216" spans="1:12" x14ac:dyDescent="0.25">
      <c r="A216" s="307">
        <v>17</v>
      </c>
      <c r="B216" s="1798" t="s">
        <v>220</v>
      </c>
      <c r="C216" s="1799">
        <v>0</v>
      </c>
      <c r="D216" s="1717"/>
      <c r="E216" s="1683">
        <v>0</v>
      </c>
      <c r="F216" s="310">
        <f>IF(OR($H$78="no",E216=0),0,E216*IF(OR(B216="FC",B216="FW"),1,POWER((1+'2. TaxData'!$I$65),(C216-'1. AgeData'!$D$30))))</f>
        <v>0</v>
      </c>
      <c r="G216" s="6"/>
      <c r="H216" s="3650" t="s">
        <v>220</v>
      </c>
      <c r="I216" s="1799">
        <v>0</v>
      </c>
      <c r="J216" s="1717"/>
      <c r="K216" s="1683">
        <v>0</v>
      </c>
      <c r="L216" s="310">
        <f>IF(OR($H$78="no",K216=0),0,  K216*IF(OR(H216="FC",H216="FW"),1,POWER((1+'2. TaxData'!$I$65),(I216-'1. AgeData'!$D$31))))</f>
        <v>0</v>
      </c>
    </row>
    <row r="217" spans="1:12" ht="24.75" x14ac:dyDescent="0.25">
      <c r="A217" s="307">
        <v>18</v>
      </c>
      <c r="B217" s="1798" t="s">
        <v>2443</v>
      </c>
      <c r="C217" s="3228">
        <v>61</v>
      </c>
      <c r="D217" s="1718" t="s">
        <v>2454</v>
      </c>
      <c r="E217" s="1903">
        <v>17000</v>
      </c>
      <c r="F217" s="310">
        <f>IF(OR($H$78="no",E217=0),0,E217*IF(OR(B217="FC",B217="FW"),1,POWER((1+'2. TaxData'!$I$65),(C217-'1. AgeData'!$D$30))))</f>
        <v>17340</v>
      </c>
      <c r="G217" s="6"/>
      <c r="H217" s="3650" t="s">
        <v>2443</v>
      </c>
      <c r="I217" s="3228">
        <v>56</v>
      </c>
      <c r="J217" s="1718" t="s">
        <v>2454</v>
      </c>
      <c r="K217" s="1903">
        <v>17000</v>
      </c>
      <c r="L217" s="310">
        <f>IF(OR($H$78="no",K217=0),0,  K217*IF(OR(H217="FC",H217="FW"),1,POWER((1+'2. TaxData'!$I$65),(I217-'1. AgeData'!$D$31))))</f>
        <v>17340</v>
      </c>
    </row>
    <row r="218" spans="1:12" ht="24.75" x14ac:dyDescent="0.25">
      <c r="A218" s="307">
        <v>19</v>
      </c>
      <c r="B218" s="1798" t="s">
        <v>2443</v>
      </c>
      <c r="C218" s="3228">
        <v>62</v>
      </c>
      <c r="D218" s="1718" t="s">
        <v>2455</v>
      </c>
      <c r="E218" s="1903">
        <v>17000</v>
      </c>
      <c r="F218" s="310">
        <f>IF(OR($H$78="no",E218=0),0,E218*IF(OR(B218="FC",B218="FW"),1,POWER((1+'2. TaxData'!$I$65),(C218-'1. AgeData'!$D$30))))</f>
        <v>17686.8</v>
      </c>
      <c r="G218" s="6"/>
      <c r="H218" s="3650" t="s">
        <v>2443</v>
      </c>
      <c r="I218" s="3228">
        <v>57</v>
      </c>
      <c r="J218" s="1718" t="s">
        <v>2455</v>
      </c>
      <c r="K218" s="1903">
        <v>17000</v>
      </c>
      <c r="L218" s="310">
        <f>IF(OR($H$78="no",K218=0),0,  K218*IF(OR(H218="FC",H218="FW"),1,POWER((1+'2. TaxData'!$I$65),(I218-'1. AgeData'!$D$31))))</f>
        <v>17686.8</v>
      </c>
    </row>
    <row r="219" spans="1:12" ht="24.75" x14ac:dyDescent="0.25">
      <c r="A219" s="307">
        <v>20</v>
      </c>
      <c r="B219" s="1798" t="s">
        <v>2443</v>
      </c>
      <c r="C219" s="1799">
        <v>63</v>
      </c>
      <c r="D219" s="1718" t="s">
        <v>2456</v>
      </c>
      <c r="E219" s="1903">
        <v>17000</v>
      </c>
      <c r="F219" s="310">
        <f>IF(OR($H$78="no",E219=0),0,E219*IF(OR(B219="FC",B219="FW"),1,POWER((1+'2. TaxData'!$I$65),(C219-'1. AgeData'!$D$30))))</f>
        <v>18040.536</v>
      </c>
      <c r="G219" s="6"/>
      <c r="H219" s="3650" t="s">
        <v>2443</v>
      </c>
      <c r="I219" s="3228">
        <v>58</v>
      </c>
      <c r="J219" s="1718" t="s">
        <v>2456</v>
      </c>
      <c r="K219" s="1903">
        <v>17000</v>
      </c>
      <c r="L219" s="310">
        <f>IF(OR($H$78="no",K219=0),0,  K219*IF(OR(H219="FC",H219="FW"),1,POWER((1+'2. TaxData'!$I$65),(I219-'1. AgeData'!$D$31))))</f>
        <v>18040.536</v>
      </c>
    </row>
    <row r="220" spans="1:12" ht="24.75" x14ac:dyDescent="0.25">
      <c r="A220" s="307">
        <v>21</v>
      </c>
      <c r="B220" s="1798" t="s">
        <v>2443</v>
      </c>
      <c r="C220" s="1799">
        <v>64</v>
      </c>
      <c r="D220" s="1718" t="s">
        <v>2457</v>
      </c>
      <c r="E220" s="1903">
        <v>17000</v>
      </c>
      <c r="F220" s="310">
        <f>IF(OR($H$78="no",E220=0),0,E220*IF(OR(B220="FC",B220="FW"),1,POWER((1+'2. TaxData'!$I$65),(C220-'1. AgeData'!$D$30))))</f>
        <v>18401.346720000001</v>
      </c>
      <c r="G220" s="6"/>
      <c r="H220" s="3650" t="s">
        <v>2443</v>
      </c>
      <c r="I220" s="3228">
        <v>59</v>
      </c>
      <c r="J220" s="1718" t="s">
        <v>2457</v>
      </c>
      <c r="K220" s="1903">
        <v>17000</v>
      </c>
      <c r="L220" s="310">
        <f>IF(OR($H$78="no",K220=0),0,  K220*IF(OR(H220="FC",H220="FW"),1,POWER((1+'2. TaxData'!$I$65),(I220-'1. AgeData'!$D$31))))</f>
        <v>18401.346720000001</v>
      </c>
    </row>
    <row r="221" spans="1:12" x14ac:dyDescent="0.25">
      <c r="A221" s="307">
        <v>22</v>
      </c>
      <c r="B221" s="1798" t="s">
        <v>220</v>
      </c>
      <c r="C221" s="1799">
        <v>0</v>
      </c>
      <c r="D221" s="1717"/>
      <c r="E221" s="1683">
        <v>0</v>
      </c>
      <c r="F221" s="310">
        <f>IF(OR($H$78="no",E221=0),0,E221*IF(OR(B221="FC",B221="FW"),1,POWER((1+'2. TaxData'!$I$65),(C221-'1. AgeData'!$D$30))))</f>
        <v>0</v>
      </c>
      <c r="G221" s="6"/>
      <c r="H221" s="3650" t="s">
        <v>220</v>
      </c>
      <c r="I221" s="1799">
        <v>0</v>
      </c>
      <c r="J221" s="1717"/>
      <c r="K221" s="1683">
        <v>0</v>
      </c>
      <c r="L221" s="310">
        <f>IF(OR($H$78="no",K221=0),0,  K221*IF(OR(H221="FC",H221="FW"),1,POWER((1+'2. TaxData'!$I$65),(I221-'1. AgeData'!$D$31))))</f>
        <v>0</v>
      </c>
    </row>
    <row r="222" spans="1:12" x14ac:dyDescent="0.25">
      <c r="A222" s="307">
        <v>23</v>
      </c>
      <c r="B222" s="1798" t="s">
        <v>220</v>
      </c>
      <c r="C222" s="1799">
        <v>0</v>
      </c>
      <c r="D222" s="1717"/>
      <c r="E222" s="1683">
        <v>0</v>
      </c>
      <c r="F222" s="310">
        <f>IF(OR($H$78="no",E222=0),0,E222*IF(OR(B222="FC",B222="FW"),1,POWER((1+'2. TaxData'!$I$65),(C222-'1. AgeData'!$D$30))))</f>
        <v>0</v>
      </c>
      <c r="G222" s="6"/>
      <c r="H222" s="3650" t="s">
        <v>220</v>
      </c>
      <c r="I222" s="1799">
        <v>0</v>
      </c>
      <c r="J222" s="1717"/>
      <c r="K222" s="1683">
        <v>0</v>
      </c>
      <c r="L222" s="310">
        <f>IF(OR($H$78="no",K222=0),0,  K222*IF(OR(H222="FC",H222="FW"),1,POWER((1+'2. TaxData'!$I$65),(I222-'1. AgeData'!$D$31))))</f>
        <v>0</v>
      </c>
    </row>
    <row r="223" spans="1:12" ht="24.75" x14ac:dyDescent="0.25">
      <c r="A223" s="307">
        <v>24</v>
      </c>
      <c r="B223" s="1798" t="s">
        <v>2443</v>
      </c>
      <c r="C223" s="1799">
        <v>63</v>
      </c>
      <c r="D223" s="1718" t="s">
        <v>2458</v>
      </c>
      <c r="E223" s="1903">
        <v>17000</v>
      </c>
      <c r="F223" s="310">
        <f>IF(OR($H$78="no",E223=0),0,E223*IF(OR(B223="FC",B223="FW"),1,POWER((1+'2. TaxData'!$I$65),(C223-'1. AgeData'!$D$30))))</f>
        <v>18040.536</v>
      </c>
      <c r="G223" s="6"/>
      <c r="H223" s="3650" t="s">
        <v>2443</v>
      </c>
      <c r="I223" s="1799">
        <v>58</v>
      </c>
      <c r="J223" s="1718" t="s">
        <v>2458</v>
      </c>
      <c r="K223" s="1903">
        <v>17000</v>
      </c>
      <c r="L223" s="310">
        <f>IF(OR($H$78="no",K223=0),0,  K223*IF(OR(H223="FC",H223="FW"),1,POWER((1+'2. TaxData'!$I$65),(I223-'1. AgeData'!$D$31))))</f>
        <v>18040.536</v>
      </c>
    </row>
    <row r="224" spans="1:12" ht="24.75" x14ac:dyDescent="0.25">
      <c r="A224" s="307">
        <v>25</v>
      </c>
      <c r="B224" s="1798" t="s">
        <v>2443</v>
      </c>
      <c r="C224" s="1799">
        <v>64</v>
      </c>
      <c r="D224" s="1718" t="s">
        <v>2459</v>
      </c>
      <c r="E224" s="1903">
        <v>17000</v>
      </c>
      <c r="F224" s="310">
        <f>IF(OR($H$78="no",E224=0),0,E224*IF(OR(B224="FC",B224="FW"),1,POWER((1+'2. TaxData'!$I$65),(C224-'1. AgeData'!$D$30))))</f>
        <v>18401.346720000001</v>
      </c>
      <c r="G224" s="6"/>
      <c r="H224" s="3650" t="s">
        <v>2443</v>
      </c>
      <c r="I224" s="1799">
        <v>59</v>
      </c>
      <c r="J224" s="1718" t="s">
        <v>2459</v>
      </c>
      <c r="K224" s="1903">
        <v>17000</v>
      </c>
      <c r="L224" s="310">
        <f>IF(OR($H$78="no",K224=0),0,  K224*IF(OR(H224="FC",H224="FW"),1,POWER((1+'2. TaxData'!$I$65),(I224-'1. AgeData'!$D$31))))</f>
        <v>18401.346720000001</v>
      </c>
    </row>
    <row r="225" spans="1:12" ht="24.75" x14ac:dyDescent="0.25">
      <c r="A225" s="307">
        <v>26</v>
      </c>
      <c r="B225" s="1798" t="s">
        <v>2443</v>
      </c>
      <c r="C225" s="1799">
        <v>65</v>
      </c>
      <c r="D225" s="1718" t="s">
        <v>2460</v>
      </c>
      <c r="E225" s="1903">
        <v>17000</v>
      </c>
      <c r="F225" s="310">
        <f>IF(OR($H$78="no",E225=0),0,E225*IF(OR(B225="FC",B225="FW"),1,POWER((1+'2. TaxData'!$I$65),(C225-'1. AgeData'!$D$30))))</f>
        <v>18769.373654399998</v>
      </c>
      <c r="G225" s="6"/>
      <c r="H225" s="3650" t="s">
        <v>2443</v>
      </c>
      <c r="I225" s="1799">
        <v>60</v>
      </c>
      <c r="J225" s="1718" t="s">
        <v>2460</v>
      </c>
      <c r="K225" s="1903">
        <v>17000</v>
      </c>
      <c r="L225" s="310">
        <f>IF(OR($H$78="no",K225=0),0,  K225*IF(OR(H225="FC",H225="FW"),1,POWER((1+'2. TaxData'!$I$65),(I225-'1. AgeData'!$D$31))))</f>
        <v>18769.373654399998</v>
      </c>
    </row>
    <row r="226" spans="1:12" ht="24.75" x14ac:dyDescent="0.25">
      <c r="A226" s="307">
        <v>27</v>
      </c>
      <c r="B226" s="1798" t="s">
        <v>2443</v>
      </c>
      <c r="C226" s="1799">
        <v>66</v>
      </c>
      <c r="D226" s="1718" t="s">
        <v>2461</v>
      </c>
      <c r="E226" s="1903">
        <v>17000</v>
      </c>
      <c r="F226" s="310">
        <f>IF(OR($H$78="no",E226=0),0,E226*IF(OR(B226="FC",B226="FW"),1,POWER((1+'2. TaxData'!$I$65),(C226-'1. AgeData'!$D$30))))</f>
        <v>19144.761127488</v>
      </c>
      <c r="G226" s="6"/>
      <c r="H226" s="3650" t="s">
        <v>2443</v>
      </c>
      <c r="I226" s="1799">
        <v>61</v>
      </c>
      <c r="J226" s="1718" t="s">
        <v>2461</v>
      </c>
      <c r="K226" s="1903">
        <v>17000</v>
      </c>
      <c r="L226" s="310">
        <f>IF(OR($H$78="no",K226=0),0,  K226*IF(OR(H226="FC",H226="FW"),1,POWER((1+'2. TaxData'!$I$65),(I226-'1. AgeData'!$D$31))))</f>
        <v>19144.761127488</v>
      </c>
    </row>
    <row r="227" spans="1:12" x14ac:dyDescent="0.25">
      <c r="A227" s="307">
        <v>28</v>
      </c>
      <c r="B227" s="1798" t="s">
        <v>220</v>
      </c>
      <c r="C227" s="1799">
        <v>0</v>
      </c>
      <c r="D227" s="1717"/>
      <c r="E227" s="1683">
        <v>0</v>
      </c>
      <c r="F227" s="310">
        <f>IF(OR($H$78="no",E227=0),0,E227*IF(OR(B227="FC",B227="FW"),1,POWER((1+'2. TaxData'!$I$65),(C227-'1. AgeData'!$D$30))))</f>
        <v>0</v>
      </c>
      <c r="G227" s="6"/>
      <c r="H227" s="3650" t="s">
        <v>220</v>
      </c>
      <c r="I227" s="1799">
        <v>0</v>
      </c>
      <c r="J227" s="1717"/>
      <c r="K227" s="1683">
        <v>0</v>
      </c>
      <c r="L227" s="310">
        <f>IF(OR($H$78="no",K227=0),0,  K227*IF(OR(H227="FC",H227="FW"),1,POWER((1+'2. TaxData'!$I$65),(I227-'1. AgeData'!$D$31))))</f>
        <v>0</v>
      </c>
    </row>
    <row r="228" spans="1:12" x14ac:dyDescent="0.25">
      <c r="A228" s="307">
        <v>29</v>
      </c>
      <c r="B228" s="1798" t="s">
        <v>220</v>
      </c>
      <c r="C228" s="1799">
        <v>0</v>
      </c>
      <c r="D228" s="1717"/>
      <c r="E228" s="1683">
        <v>0</v>
      </c>
      <c r="F228" s="310">
        <f>IF(OR($H$78="no",E228=0),0,E228*IF(OR(B228="FC",B228="FW"),1,POWER((1+'2. TaxData'!$I$65),(C228-'1. AgeData'!$D$30))))</f>
        <v>0</v>
      </c>
      <c r="G228" s="6"/>
      <c r="H228" s="3650" t="s">
        <v>220</v>
      </c>
      <c r="I228" s="1799">
        <v>0</v>
      </c>
      <c r="J228" s="1717"/>
      <c r="K228" s="1683">
        <v>0</v>
      </c>
      <c r="L228" s="310">
        <f>IF(OR($H$78="no",K228=0),0,  K228*IF(OR(H228="FC",H228="FW"),1,POWER((1+'2. TaxData'!$I$65),(I228-'1. AgeData'!$D$31))))</f>
        <v>0</v>
      </c>
    </row>
    <row r="229" spans="1:12" ht="24.75" x14ac:dyDescent="0.25">
      <c r="A229" s="307">
        <v>30</v>
      </c>
      <c r="B229" s="1798" t="s">
        <v>2465</v>
      </c>
      <c r="C229" s="1799">
        <v>60</v>
      </c>
      <c r="D229" s="1717" t="s">
        <v>2462</v>
      </c>
      <c r="E229" s="1683">
        <v>3000</v>
      </c>
      <c r="F229" s="310">
        <f>IF(OR($H$78="no",E229=0),0,E229*IF(OR(B229="FC",B229="FW"),1,POWER((1+'2. TaxData'!$I$65),(C229-'1. AgeData'!$D$30))))</f>
        <v>3000</v>
      </c>
      <c r="G229" s="6"/>
      <c r="H229" s="3650" t="s">
        <v>2465</v>
      </c>
      <c r="I229" s="1799">
        <v>55</v>
      </c>
      <c r="J229" s="1717" t="s">
        <v>2462</v>
      </c>
      <c r="K229" s="1683">
        <v>3000</v>
      </c>
      <c r="L229" s="310">
        <f>IF(OR($H$78="no",K229=0),0,  K229*IF(OR(H229="FC",H229="FW"),1,POWER((1+'2. TaxData'!$I$65),(I229-'1. AgeData'!$D$31))))</f>
        <v>3000</v>
      </c>
    </row>
    <row r="230" spans="1:12" ht="24.75" x14ac:dyDescent="0.25">
      <c r="A230" s="307">
        <v>31</v>
      </c>
      <c r="B230" s="1798" t="s">
        <v>2465</v>
      </c>
      <c r="C230" s="1799">
        <v>61</v>
      </c>
      <c r="D230" s="1717" t="s">
        <v>2462</v>
      </c>
      <c r="E230" s="1683">
        <v>3000</v>
      </c>
      <c r="F230" s="310">
        <f>IF(OR($H$78="no",E230=0),0,E230*IF(OR(B230="FC",B230="FW"),1,POWER((1+'2. TaxData'!$I$65),(C230-'1. AgeData'!$D$30))))</f>
        <v>3000</v>
      </c>
      <c r="G230" s="6"/>
      <c r="H230" s="3650" t="s">
        <v>2465</v>
      </c>
      <c r="I230" s="1799">
        <v>56</v>
      </c>
      <c r="J230" s="1717" t="s">
        <v>2462</v>
      </c>
      <c r="K230" s="1683">
        <v>3000</v>
      </c>
      <c r="L230" s="310">
        <f>IF(OR($H$78="no",K230=0),0,  K230*IF(OR(H230="FC",H230="FW"),1,POWER((1+'2. TaxData'!$I$65),(I230-'1. AgeData'!$D$31))))</f>
        <v>3000</v>
      </c>
    </row>
    <row r="231" spans="1:12" ht="24.75" x14ac:dyDescent="0.25">
      <c r="A231" s="307">
        <v>32</v>
      </c>
      <c r="B231" s="1798" t="s">
        <v>2465</v>
      </c>
      <c r="C231" s="1799">
        <v>62</v>
      </c>
      <c r="D231" s="1717" t="s">
        <v>2462</v>
      </c>
      <c r="E231" s="1683">
        <v>3000</v>
      </c>
      <c r="F231" s="310">
        <f>IF(OR($H$78="no",E231=0),0,E231*IF(OR(B231="FC",B231="FW"),1,POWER((1+'2. TaxData'!$I$65),(C231-'1. AgeData'!$D$30))))</f>
        <v>3000</v>
      </c>
      <c r="G231" s="6"/>
      <c r="H231" s="3650" t="s">
        <v>2465</v>
      </c>
      <c r="I231" s="1799">
        <v>57</v>
      </c>
      <c r="J231" s="1717" t="s">
        <v>2462</v>
      </c>
      <c r="K231" s="1683">
        <v>3000</v>
      </c>
      <c r="L231" s="310">
        <f>IF(OR($H$78="no",K231=0),0,  K231*IF(OR(H231="FC",H231="FW"),1,POWER((1+'2. TaxData'!$I$65),(I231-'1. AgeData'!$D$31))))</f>
        <v>3000</v>
      </c>
    </row>
    <row r="232" spans="1:12" ht="24.75" x14ac:dyDescent="0.25">
      <c r="A232" s="307">
        <v>33</v>
      </c>
      <c r="B232" s="1798" t="s">
        <v>2465</v>
      </c>
      <c r="C232" s="1799">
        <v>63</v>
      </c>
      <c r="D232" s="1717" t="s">
        <v>2462</v>
      </c>
      <c r="E232" s="1683">
        <v>3000</v>
      </c>
      <c r="F232" s="310">
        <f>IF(OR($H$78="no",E232=0),0,E232*IF(OR(B232="FC",B232="FW"),1,POWER((1+'2. TaxData'!$I$65),(C232-'1. AgeData'!$D$30))))</f>
        <v>3000</v>
      </c>
      <c r="G232" s="6"/>
      <c r="H232" s="3650" t="s">
        <v>2465</v>
      </c>
      <c r="I232" s="1799">
        <v>58</v>
      </c>
      <c r="J232" s="1717" t="s">
        <v>2462</v>
      </c>
      <c r="K232" s="1683">
        <v>3000</v>
      </c>
      <c r="L232" s="310">
        <f>IF(OR($H$78="no",K232=0),0,  K232*IF(OR(H232="FC",H232="FW"),1,POWER((1+'2. TaxData'!$I$65),(I232-'1. AgeData'!$D$31))))</f>
        <v>3000</v>
      </c>
    </row>
    <row r="233" spans="1:12" ht="24.75" x14ac:dyDescent="0.25">
      <c r="A233" s="307">
        <v>34</v>
      </c>
      <c r="B233" s="1798" t="s">
        <v>2465</v>
      </c>
      <c r="C233" s="1799">
        <v>64</v>
      </c>
      <c r="D233" s="1717" t="s">
        <v>2462</v>
      </c>
      <c r="E233" s="1683">
        <v>3000</v>
      </c>
      <c r="F233" s="310">
        <f>IF(OR($H$78="no",E233=0),0,E233*IF(OR(B233="FC",B233="FW"),1,POWER((1+'2. TaxData'!$I$65),(C233-'1. AgeData'!$D$30))))</f>
        <v>3000</v>
      </c>
      <c r="G233" s="6"/>
      <c r="H233" s="3650" t="s">
        <v>2465</v>
      </c>
      <c r="I233" s="1799">
        <v>59</v>
      </c>
      <c r="J233" s="1717" t="s">
        <v>2462</v>
      </c>
      <c r="K233" s="1683">
        <v>3000</v>
      </c>
      <c r="L233" s="310">
        <f>IF(OR($H$78="no",K233=0),0,  K233*IF(OR(H233="FC",H233="FW"),1,POWER((1+'2. TaxData'!$I$65),(I233-'1. AgeData'!$D$31))))</f>
        <v>3000</v>
      </c>
    </row>
    <row r="234" spans="1:12" ht="24.75" x14ac:dyDescent="0.25">
      <c r="A234" s="307">
        <v>35</v>
      </c>
      <c r="B234" s="1798" t="s">
        <v>2465</v>
      </c>
      <c r="C234" s="1799">
        <v>65</v>
      </c>
      <c r="D234" s="1717" t="s">
        <v>2462</v>
      </c>
      <c r="E234" s="1683">
        <v>3000</v>
      </c>
      <c r="F234" s="310">
        <f>IF(OR($H$78="no",E234=0),0,E234*IF(OR(B234="FC",B234="FW"),1,POWER((1+'2. TaxData'!$I$65),(C234-'1. AgeData'!$D$30))))</f>
        <v>3000</v>
      </c>
      <c r="G234" s="6"/>
      <c r="H234" s="3650" t="s">
        <v>2465</v>
      </c>
      <c r="I234" s="1799">
        <v>60</v>
      </c>
      <c r="J234" s="1717" t="s">
        <v>2462</v>
      </c>
      <c r="K234" s="1683">
        <v>3000</v>
      </c>
      <c r="L234" s="310">
        <f>IF(OR($H$78="no",K234=0),0,  K234*IF(OR(H234="FC",H234="FW"),1,POWER((1+'2. TaxData'!$I$65),(I234-'1. AgeData'!$D$31))))</f>
        <v>3000</v>
      </c>
    </row>
    <row r="235" spans="1:12" ht="24.75" x14ac:dyDescent="0.25">
      <c r="A235" s="307">
        <v>36</v>
      </c>
      <c r="B235" s="1798" t="s">
        <v>2465</v>
      </c>
      <c r="C235" s="1799">
        <v>66</v>
      </c>
      <c r="D235" s="1717" t="s">
        <v>2462</v>
      </c>
      <c r="E235" s="1683">
        <v>3000</v>
      </c>
      <c r="F235" s="310">
        <f>IF(OR($H$78="no",E235=0),0,E235*IF(OR(B235="FC",B235="FW"),1,POWER((1+'2. TaxData'!$I$65),(C235-'1. AgeData'!$D$30))))</f>
        <v>3000</v>
      </c>
      <c r="G235" s="6"/>
      <c r="H235" s="3650" t="s">
        <v>2465</v>
      </c>
      <c r="I235" s="1799">
        <v>61</v>
      </c>
      <c r="J235" s="1717" t="s">
        <v>2462</v>
      </c>
      <c r="K235" s="1683">
        <v>3000</v>
      </c>
      <c r="L235" s="310">
        <f>IF(OR($H$78="no",K235=0),0,  K235*IF(OR(H235="FC",H235="FW"),1,POWER((1+'2. TaxData'!$I$65),(I235-'1. AgeData'!$D$31))))</f>
        <v>3000</v>
      </c>
    </row>
    <row r="236" spans="1:12" ht="24.75" x14ac:dyDescent="0.25">
      <c r="A236" s="307">
        <v>37</v>
      </c>
      <c r="B236" s="1798" t="s">
        <v>2465</v>
      </c>
      <c r="C236" s="1799">
        <v>67</v>
      </c>
      <c r="D236" s="1717" t="s">
        <v>2462</v>
      </c>
      <c r="E236" s="1683">
        <v>3000</v>
      </c>
      <c r="F236" s="310">
        <f>IF(OR($H$78="no",E236=0),0,E236*IF(OR(B236="FC",B236="FW"),1,POWER((1+'2. TaxData'!$I$65),(C236-'1. AgeData'!$D$30))))</f>
        <v>3000</v>
      </c>
      <c r="G236" s="6"/>
      <c r="H236" s="3650" t="s">
        <v>2465</v>
      </c>
      <c r="I236" s="1799">
        <v>62</v>
      </c>
      <c r="J236" s="1717" t="s">
        <v>2462</v>
      </c>
      <c r="K236" s="1683">
        <v>3000</v>
      </c>
      <c r="L236" s="310">
        <f>IF(OR($H$78="no",K236=0),0,  K236*IF(OR(H236="FC",H236="FW"),1,POWER((1+'2. TaxData'!$I$65),(I236-'1. AgeData'!$D$31))))</f>
        <v>3000</v>
      </c>
    </row>
    <row r="237" spans="1:12" ht="24.75" x14ac:dyDescent="0.25">
      <c r="A237" s="307">
        <v>38</v>
      </c>
      <c r="B237" s="1798" t="s">
        <v>2465</v>
      </c>
      <c r="C237" s="1799">
        <v>68</v>
      </c>
      <c r="D237" s="1717" t="s">
        <v>2462</v>
      </c>
      <c r="E237" s="1683">
        <v>3000</v>
      </c>
      <c r="F237" s="310">
        <f>IF(OR($H$78="no",E237=0),0,E237*IF(OR(B237="FC",B237="FW"),1,POWER((1+'2. TaxData'!$I$65),(C237-'1. AgeData'!$D$30))))</f>
        <v>3000</v>
      </c>
      <c r="G237" s="6"/>
      <c r="H237" s="3650" t="s">
        <v>2465</v>
      </c>
      <c r="I237" s="1799">
        <v>63</v>
      </c>
      <c r="J237" s="1717" t="s">
        <v>2462</v>
      </c>
      <c r="K237" s="1683">
        <v>3000</v>
      </c>
      <c r="L237" s="310">
        <f>IF(OR($H$78="no",K237=0),0,  K237*IF(OR(H237="FC",H237="FW"),1,POWER((1+'2. TaxData'!$I$65),(I237-'1. AgeData'!$D$31))))</f>
        <v>3000</v>
      </c>
    </row>
    <row r="238" spans="1:12" ht="24.75" x14ac:dyDescent="0.25">
      <c r="A238" s="307">
        <v>39</v>
      </c>
      <c r="B238" s="1798" t="s">
        <v>2465</v>
      </c>
      <c r="C238" s="1799">
        <v>69</v>
      </c>
      <c r="D238" s="1717" t="s">
        <v>2462</v>
      </c>
      <c r="E238" s="1683">
        <v>3000</v>
      </c>
      <c r="F238" s="310">
        <f>IF(OR($H$78="no",E238=0),0,E238*IF(OR(B238="FC",B238="FW"),1,POWER((1+'2. TaxData'!$I$65),(C238-'1. AgeData'!$D$30))))</f>
        <v>3000</v>
      </c>
      <c r="G238" s="6"/>
      <c r="H238" s="3650" t="s">
        <v>2465</v>
      </c>
      <c r="I238" s="1799">
        <v>64</v>
      </c>
      <c r="J238" s="1717" t="s">
        <v>2462</v>
      </c>
      <c r="K238" s="1683">
        <v>3000</v>
      </c>
      <c r="L238" s="310">
        <f>IF(OR($H$78="no",K238=0),0,  K238*IF(OR(H238="FC",H238="FW"),1,POWER((1+'2. TaxData'!$I$65),(I238-'1. AgeData'!$D$31))))</f>
        <v>3000</v>
      </c>
    </row>
    <row r="239" spans="1:12" ht="24.75" x14ac:dyDescent="0.25">
      <c r="A239" s="307">
        <v>40</v>
      </c>
      <c r="B239" s="1798" t="s">
        <v>2465</v>
      </c>
      <c r="C239" s="1799">
        <v>70</v>
      </c>
      <c r="D239" s="1717" t="s">
        <v>2462</v>
      </c>
      <c r="E239" s="1683">
        <v>3000</v>
      </c>
      <c r="F239" s="310">
        <f>IF(OR($H$78="no",E239=0),0,E239*IF(OR(B239="FC",B239="FW"),1,POWER((1+'2. TaxData'!$I$65),(C239-'1. AgeData'!$D$30))))</f>
        <v>3000</v>
      </c>
      <c r="G239" s="6"/>
      <c r="H239" s="3650" t="s">
        <v>2465</v>
      </c>
      <c r="I239" s="1799">
        <v>65</v>
      </c>
      <c r="J239" s="1717" t="s">
        <v>2462</v>
      </c>
      <c r="K239" s="1683">
        <v>3000</v>
      </c>
      <c r="L239" s="310">
        <f>IF(OR($H$78="no",K239=0),0,  K239*IF(OR(H239="FC",H239="FW"),1,POWER((1+'2. TaxData'!$I$65),(I239-'1. AgeData'!$D$31))))</f>
        <v>3000</v>
      </c>
    </row>
    <row r="240" spans="1:12" ht="24.75" x14ac:dyDescent="0.25">
      <c r="A240" s="307">
        <v>41</v>
      </c>
      <c r="B240" s="1798" t="s">
        <v>2465</v>
      </c>
      <c r="C240" s="1799">
        <v>71</v>
      </c>
      <c r="D240" s="1717" t="s">
        <v>2462</v>
      </c>
      <c r="E240" s="1683">
        <v>3000</v>
      </c>
      <c r="F240" s="310">
        <f>IF(OR($H$78="no",E240=0),0,E240*IF(OR(B240="FC",B240="FW"),1,POWER((1+'2. TaxData'!$I$65),(C240-'1. AgeData'!$D$30))))</f>
        <v>3000</v>
      </c>
      <c r="G240" s="6"/>
      <c r="H240" s="3650" t="s">
        <v>2465</v>
      </c>
      <c r="I240" s="1799">
        <v>66</v>
      </c>
      <c r="J240" s="1717" t="s">
        <v>2462</v>
      </c>
      <c r="K240" s="1683">
        <v>3000</v>
      </c>
      <c r="L240" s="310">
        <f>IF(OR($H$78="no",K240=0),0,  K240*IF(OR(H240="FC",H240="FW"),1,POWER((1+'2. TaxData'!$I$65),(I240-'1. AgeData'!$D$31))))</f>
        <v>3000</v>
      </c>
    </row>
    <row r="241" spans="1:12" ht="24.75" x14ac:dyDescent="0.25">
      <c r="A241" s="307">
        <v>42</v>
      </c>
      <c r="B241" s="1798" t="s">
        <v>2465</v>
      </c>
      <c r="C241" s="1799">
        <v>72</v>
      </c>
      <c r="D241" s="1717" t="s">
        <v>2462</v>
      </c>
      <c r="E241" s="1683">
        <v>3000</v>
      </c>
      <c r="F241" s="310">
        <f>IF(OR($H$78="no",E241=0),0,E241*IF(OR(B241="FC",B241="FW"),1,POWER((1+'2. TaxData'!$I$65),(C241-'1. AgeData'!$D$30))))</f>
        <v>3000</v>
      </c>
      <c r="G241" s="6"/>
      <c r="H241" s="3650" t="s">
        <v>2465</v>
      </c>
      <c r="I241" s="1799">
        <v>67</v>
      </c>
      <c r="J241" s="1717" t="s">
        <v>2462</v>
      </c>
      <c r="K241" s="1683">
        <v>3000</v>
      </c>
      <c r="L241" s="310">
        <f>IF(OR($H$78="no",K241=0),0,  K241*IF(OR(H241="FC",H241="FW"),1,POWER((1+'2. TaxData'!$I$65),(I241-'1. AgeData'!$D$31))))</f>
        <v>3000</v>
      </c>
    </row>
    <row r="242" spans="1:12" ht="24.75" x14ac:dyDescent="0.25">
      <c r="A242" s="307">
        <v>43</v>
      </c>
      <c r="B242" s="1798" t="s">
        <v>2465</v>
      </c>
      <c r="C242" s="1799">
        <v>73</v>
      </c>
      <c r="D242" s="1717" t="s">
        <v>2462</v>
      </c>
      <c r="E242" s="1683">
        <v>3000</v>
      </c>
      <c r="F242" s="310">
        <f>IF(OR($H$78="no",E242=0),0,E242*IF(OR(B242="FC",B242="FW"),1,POWER((1+'2. TaxData'!$I$65),(C242-'1. AgeData'!$D$30))))</f>
        <v>3000</v>
      </c>
      <c r="G242" s="6"/>
      <c r="H242" s="3650" t="s">
        <v>2465</v>
      </c>
      <c r="I242" s="1799">
        <v>68</v>
      </c>
      <c r="J242" s="1717" t="s">
        <v>2462</v>
      </c>
      <c r="K242" s="1683">
        <v>3000</v>
      </c>
      <c r="L242" s="310">
        <f>IF(OR($H$78="no",K242=0),0,  K242*IF(OR(H242="FC",H242="FW"),1,POWER((1+'2. TaxData'!$I$65),(I242-'1. AgeData'!$D$31))))</f>
        <v>3000</v>
      </c>
    </row>
    <row r="243" spans="1:12" ht="24.75" x14ac:dyDescent="0.25">
      <c r="A243" s="307">
        <v>44</v>
      </c>
      <c r="B243" s="1798" t="s">
        <v>2465</v>
      </c>
      <c r="C243" s="1799">
        <v>74</v>
      </c>
      <c r="D243" s="1717" t="s">
        <v>2462</v>
      </c>
      <c r="E243" s="1683">
        <v>3000</v>
      </c>
      <c r="F243" s="310">
        <f>IF(OR($H$78="no",E243=0),0,E243*IF(OR(B243="FC",B243="FW"),1,POWER((1+'2. TaxData'!$I$65),(C243-'1. AgeData'!$D$30))))</f>
        <v>3000</v>
      </c>
      <c r="G243" s="6"/>
      <c r="H243" s="3650" t="s">
        <v>2465</v>
      </c>
      <c r="I243" s="1799">
        <v>69</v>
      </c>
      <c r="J243" s="1717" t="s">
        <v>2462</v>
      </c>
      <c r="K243" s="1683">
        <v>3000</v>
      </c>
      <c r="L243" s="310">
        <f>IF(OR($H$78="no",K243=0),0,  K243*IF(OR(H243="FC",H243="FW"),1,POWER((1+'2. TaxData'!$I$65),(I243-'1. AgeData'!$D$31))))</f>
        <v>3000</v>
      </c>
    </row>
    <row r="244" spans="1:12" ht="24.75" x14ac:dyDescent="0.25">
      <c r="A244" s="307">
        <v>45</v>
      </c>
      <c r="B244" s="1798" t="s">
        <v>2465</v>
      </c>
      <c r="C244" s="1799">
        <v>75</v>
      </c>
      <c r="D244" s="1717" t="s">
        <v>2462</v>
      </c>
      <c r="E244" s="1683">
        <v>3000</v>
      </c>
      <c r="F244" s="310">
        <f>IF(OR($H$78="no",E244=0),0,E244*IF(OR(B244="FC",B244="FW"),1,POWER((1+'2. TaxData'!$I$65),(C244-'1. AgeData'!$D$30))))</f>
        <v>3000</v>
      </c>
      <c r="G244" s="6"/>
      <c r="H244" s="3650" t="s">
        <v>2465</v>
      </c>
      <c r="I244" s="1799">
        <v>70</v>
      </c>
      <c r="J244" s="1717" t="s">
        <v>2462</v>
      </c>
      <c r="K244" s="1683">
        <v>3000</v>
      </c>
      <c r="L244" s="310">
        <f>IF(OR($H$78="no",K244=0),0,  K244*IF(OR(H244="FC",H244="FW"),1,POWER((1+'2. TaxData'!$I$65),(I244-'1. AgeData'!$D$31))))</f>
        <v>3000</v>
      </c>
    </row>
    <row r="245" spans="1:12" x14ac:dyDescent="0.25">
      <c r="A245" s="307">
        <v>46</v>
      </c>
      <c r="B245" s="1798" t="s">
        <v>2465</v>
      </c>
      <c r="C245" s="1799">
        <v>0</v>
      </c>
      <c r="D245" s="1717"/>
      <c r="E245" s="1683">
        <v>0</v>
      </c>
      <c r="F245" s="310">
        <f>IF(OR($H$78="no",E245=0),0,E245*IF(OR(B245="FC",B245="FW"),1,POWER((1+'2. TaxData'!$I$65),(C245-'1. AgeData'!$D$30))))</f>
        <v>0</v>
      </c>
      <c r="G245" s="6"/>
      <c r="H245" s="3650" t="s">
        <v>2465</v>
      </c>
      <c r="I245" s="1799">
        <v>0</v>
      </c>
      <c r="J245" s="1717"/>
      <c r="K245" s="1683">
        <v>0</v>
      </c>
      <c r="L245" s="310">
        <f>IF(OR($H$78="no",K245=0),0,  K245*IF(OR(H245="FC",H245="FW"),1,POWER((1+'2. TaxData'!$I$65),(I245-'1. AgeData'!$D$31))))</f>
        <v>0</v>
      </c>
    </row>
    <row r="246" spans="1:12" x14ac:dyDescent="0.25">
      <c r="A246" s="307">
        <v>47</v>
      </c>
      <c r="B246" s="1798" t="s">
        <v>2800</v>
      </c>
      <c r="C246" s="1799">
        <v>62</v>
      </c>
      <c r="D246" s="1717" t="s">
        <v>2463</v>
      </c>
      <c r="E246" s="1683">
        <v>1000</v>
      </c>
      <c r="F246" s="310">
        <f>IF(OR($H$78="no",E246=0),0,E246*IF(OR(B246="FC",B246="FW"),1,POWER((1+'2. TaxData'!$I$65),(C246-'1. AgeData'!$D$30))))</f>
        <v>1000</v>
      </c>
      <c r="G246" s="6"/>
      <c r="H246" s="3650" t="s">
        <v>2800</v>
      </c>
      <c r="I246" s="1799">
        <v>60</v>
      </c>
      <c r="J246" s="1717" t="s">
        <v>2463</v>
      </c>
      <c r="K246" s="1683">
        <v>1500</v>
      </c>
      <c r="L246" s="310">
        <f>IF(OR($H$78="no",K246=0),0,  K246*IF(OR(H246="FC",H246="FW"),1,POWER((1+'2. TaxData'!$I$65),(I246-'1. AgeData'!$D$31))))</f>
        <v>1500</v>
      </c>
    </row>
    <row r="247" spans="1:12" ht="24.75" x14ac:dyDescent="0.25">
      <c r="A247" s="307">
        <v>48</v>
      </c>
      <c r="B247" s="1798" t="s">
        <v>2800</v>
      </c>
      <c r="C247" s="1799">
        <v>65</v>
      </c>
      <c r="D247" s="1717" t="s">
        <v>2464</v>
      </c>
      <c r="E247" s="1683">
        <v>1000</v>
      </c>
      <c r="F247" s="310">
        <f>IF(OR($H$78="no",E247=0),0,E247*IF(OR(B247="FC",B247="FW"),1,POWER((1+'2. TaxData'!$I$65),(C247-'1. AgeData'!$D$30))))</f>
        <v>1000</v>
      </c>
      <c r="G247" s="6"/>
      <c r="H247" s="3650" t="s">
        <v>2800</v>
      </c>
      <c r="I247" s="1799">
        <v>64</v>
      </c>
      <c r="J247" s="1717" t="s">
        <v>2464</v>
      </c>
      <c r="K247" s="1683">
        <v>1500</v>
      </c>
      <c r="L247" s="310">
        <f>IF(OR($H$78="no",K247=0),0,  K247*IF(OR(H247="FC",H247="FW"),1,POWER((1+'2. TaxData'!$I$65),(I247-'1. AgeData'!$D$31))))</f>
        <v>1500</v>
      </c>
    </row>
    <row r="248" spans="1:12" x14ac:dyDescent="0.25">
      <c r="A248" s="307">
        <v>49</v>
      </c>
      <c r="B248" s="1798" t="s">
        <v>220</v>
      </c>
      <c r="C248" s="1799">
        <v>0</v>
      </c>
      <c r="D248" s="1717"/>
      <c r="E248" s="1683">
        <v>0</v>
      </c>
      <c r="F248" s="310">
        <f>IF(OR($H$78="no",E248=0),0,E248*IF(OR(B248="FC",B248="FW"),1,POWER((1+'2. TaxData'!$I$65),(C248-'1. AgeData'!$D$30))))</f>
        <v>0</v>
      </c>
      <c r="G248" s="6"/>
      <c r="H248" s="3650" t="s">
        <v>220</v>
      </c>
      <c r="I248" s="1799">
        <v>0</v>
      </c>
      <c r="J248" s="1717"/>
      <c r="K248" s="1683">
        <v>0</v>
      </c>
      <c r="L248" s="310">
        <f>IF(OR($H$78="no",K248=0),0,  K248*IF(OR(H248="FC",H248="FW"),1,POWER((1+'2. TaxData'!$I$65),(I248-'1. AgeData'!$D$31))))</f>
        <v>0</v>
      </c>
    </row>
    <row r="249" spans="1:12" x14ac:dyDescent="0.25">
      <c r="A249" s="307">
        <v>50</v>
      </c>
      <c r="B249" s="1798" t="s">
        <v>220</v>
      </c>
      <c r="C249" s="1799">
        <v>0</v>
      </c>
      <c r="D249" s="1717"/>
      <c r="E249" s="1683">
        <v>0</v>
      </c>
      <c r="F249" s="310">
        <f>IF(OR($H$78="no",E249=0),0,E249*IF(OR(B249="FC",B249="FW"),1,POWER((1+'2. TaxData'!$I$65),(C249-'1. AgeData'!$D$30))))</f>
        <v>0</v>
      </c>
      <c r="G249" s="6"/>
      <c r="H249" s="3650" t="s">
        <v>220</v>
      </c>
      <c r="I249" s="1799">
        <v>0</v>
      </c>
      <c r="J249" s="1717"/>
      <c r="K249" s="1683">
        <v>0</v>
      </c>
      <c r="L249" s="310">
        <f>IF(OR($H$78="no",K249=0),0,  K249*IF(OR(H249="FC",H249="FW"),1,POWER((1+'2. TaxData'!$I$65),(I249-'1. AgeData'!$D$31))))</f>
        <v>0</v>
      </c>
    </row>
    <row r="250" spans="1:12" x14ac:dyDescent="0.25">
      <c r="A250" s="307">
        <v>51</v>
      </c>
      <c r="B250" s="1798" t="s">
        <v>220</v>
      </c>
      <c r="C250" s="1799">
        <v>0</v>
      </c>
      <c r="D250" s="1717"/>
      <c r="E250" s="1683">
        <v>0</v>
      </c>
      <c r="F250" s="310">
        <f>IF(OR($H$78="no",E250=0),0,E250*IF(OR(B250="FC",B250="FW"),1,POWER((1+'2. TaxData'!$I$65),(C250-'1. AgeData'!$D$30))))</f>
        <v>0</v>
      </c>
      <c r="G250" s="6"/>
      <c r="H250" s="3650" t="s">
        <v>220</v>
      </c>
      <c r="I250" s="1799">
        <v>0</v>
      </c>
      <c r="J250" s="1717"/>
      <c r="K250" s="1683">
        <v>0</v>
      </c>
      <c r="L250" s="310">
        <f>IF(OR($H$78="no",K250=0),0,  K250*IF(OR(H250="FC",H250="FW"),1,POWER((1+'2. TaxData'!$I$65),(I250-'1. AgeData'!$D$31))))</f>
        <v>0</v>
      </c>
    </row>
    <row r="251" spans="1:12" x14ac:dyDescent="0.25">
      <c r="A251" s="307">
        <v>52</v>
      </c>
      <c r="B251" s="1798" t="s">
        <v>220</v>
      </c>
      <c r="C251" s="1799">
        <v>0</v>
      </c>
      <c r="D251" s="1717"/>
      <c r="E251" s="1683">
        <v>0</v>
      </c>
      <c r="F251" s="310">
        <f>IF(OR($H$78="no",E251=0),0,E251*IF(OR(B251="FC",B251="FW"),1,POWER((1+'2. TaxData'!$I$65),(C251-'1. AgeData'!$D$30))))</f>
        <v>0</v>
      </c>
      <c r="G251" s="6"/>
      <c r="H251" s="3650" t="s">
        <v>220</v>
      </c>
      <c r="I251" s="1799">
        <v>0</v>
      </c>
      <c r="J251" s="1717"/>
      <c r="K251" s="1683">
        <v>0</v>
      </c>
      <c r="L251" s="310">
        <f>IF(OR($H$78="no",K251=0),0,  K251*IF(OR(H251="FC",H251="FW"),1,POWER((1+'2. TaxData'!$I$65),(I251-'1. AgeData'!$D$31))))</f>
        <v>0</v>
      </c>
    </row>
    <row r="252" spans="1:12" x14ac:dyDescent="0.25">
      <c r="A252" s="307">
        <v>53</v>
      </c>
      <c r="B252" s="1798" t="s">
        <v>220</v>
      </c>
      <c r="C252" s="1799">
        <v>0</v>
      </c>
      <c r="D252" s="1717"/>
      <c r="E252" s="1683">
        <v>0</v>
      </c>
      <c r="F252" s="310">
        <f>IF(OR($H$78="no",E252=0),0,E252*IF(OR(B252="FC",B252="FW"),1,POWER((1+'2. TaxData'!$I$65),(C252-'1. AgeData'!$D$30))))</f>
        <v>0</v>
      </c>
      <c r="G252" s="6"/>
      <c r="H252" s="3650" t="s">
        <v>220</v>
      </c>
      <c r="I252" s="1799">
        <v>0</v>
      </c>
      <c r="J252" s="1717"/>
      <c r="K252" s="1683">
        <v>0</v>
      </c>
      <c r="L252" s="310">
        <f>IF(OR($H$78="no",K252=0),0,  K252*IF(OR(H252="FC",H252="FW"),1,POWER((1+'2. TaxData'!$I$65),(I252-'1. AgeData'!$D$31))))</f>
        <v>0</v>
      </c>
    </row>
    <row r="253" spans="1:12" x14ac:dyDescent="0.25">
      <c r="A253" s="307">
        <v>54</v>
      </c>
      <c r="B253" s="1798" t="s">
        <v>220</v>
      </c>
      <c r="C253" s="1799">
        <v>0</v>
      </c>
      <c r="D253" s="1717"/>
      <c r="E253" s="1683">
        <v>0</v>
      </c>
      <c r="F253" s="310">
        <f>IF(OR($H$78="no",E253=0),0,E253*IF(OR(B253="FC",B253="FW"),1,POWER((1+'2. TaxData'!$I$65),(C253-'1. AgeData'!$D$30))))</f>
        <v>0</v>
      </c>
      <c r="G253" s="6"/>
      <c r="H253" s="3650" t="s">
        <v>220</v>
      </c>
      <c r="I253" s="1799">
        <v>0</v>
      </c>
      <c r="J253" s="1717"/>
      <c r="K253" s="1683">
        <v>0</v>
      </c>
      <c r="L253" s="310">
        <f>IF(OR($H$78="no",K253=0),0,  K253*IF(OR(H253="FC",H253="FW"),1,POWER((1+'2. TaxData'!$I$65),(I253-'1. AgeData'!$D$31))))</f>
        <v>0</v>
      </c>
    </row>
    <row r="254" spans="1:12" x14ac:dyDescent="0.25">
      <c r="A254" s="307">
        <v>55</v>
      </c>
      <c r="B254" s="1798" t="s">
        <v>220</v>
      </c>
      <c r="C254" s="1799">
        <v>0</v>
      </c>
      <c r="D254" s="1717"/>
      <c r="E254" s="1683">
        <v>0</v>
      </c>
      <c r="F254" s="310">
        <f>IF(OR($H$78="no",E254=0),0,E254*IF(OR(B254="FC",B254="FW"),1,POWER((1+'2. TaxData'!$I$65),(C254-'1. AgeData'!$D$30))))</f>
        <v>0</v>
      </c>
      <c r="G254" s="6"/>
      <c r="H254" s="3650" t="s">
        <v>220</v>
      </c>
      <c r="I254" s="1799">
        <v>0</v>
      </c>
      <c r="J254" s="1717"/>
      <c r="K254" s="1683">
        <v>0</v>
      </c>
      <c r="L254" s="310">
        <f>IF(OR($H$78="no",K254=0),0,  K254*IF(OR(H254="FC",H254="FW"),1,POWER((1+'2. TaxData'!$I$65),(I254-'1. AgeData'!$D$31))))</f>
        <v>0</v>
      </c>
    </row>
    <row r="255" spans="1:12" x14ac:dyDescent="0.25">
      <c r="A255" s="307">
        <v>56</v>
      </c>
      <c r="B255" s="1798" t="s">
        <v>220</v>
      </c>
      <c r="C255" s="1799">
        <v>0</v>
      </c>
      <c r="D255" s="1717"/>
      <c r="E255" s="1683">
        <v>0</v>
      </c>
      <c r="F255" s="310">
        <f>IF(OR($H$78="no",E255=0),0,E255*IF(OR(B255="FC",B255="FW"),1,POWER((1+'2. TaxData'!$I$65),(C255-'1. AgeData'!$D$30))))</f>
        <v>0</v>
      </c>
      <c r="G255" s="6"/>
      <c r="H255" s="3650" t="s">
        <v>220</v>
      </c>
      <c r="I255" s="1799">
        <v>0</v>
      </c>
      <c r="J255" s="1717"/>
      <c r="K255" s="1683">
        <v>0</v>
      </c>
      <c r="L255" s="310">
        <f>IF(OR($H$78="no",K255=0),0,  K255*IF(OR(H255="FC",H255="FW"),1,POWER((1+'2. TaxData'!$I$65),(I255-'1. AgeData'!$D$31))))</f>
        <v>0</v>
      </c>
    </row>
    <row r="256" spans="1:12" x14ac:dyDescent="0.25">
      <c r="A256" s="307">
        <v>57</v>
      </c>
      <c r="B256" s="1798" t="s">
        <v>220</v>
      </c>
      <c r="C256" s="1799">
        <v>0</v>
      </c>
      <c r="D256" s="1717"/>
      <c r="E256" s="1683">
        <v>0</v>
      </c>
      <c r="F256" s="310">
        <f>IF(OR($H$78="no",E256=0),0,E256*IF(OR(B256="FC",B256="FW"),1,POWER((1+'2. TaxData'!$I$65),(C256-'1. AgeData'!$D$30))))</f>
        <v>0</v>
      </c>
      <c r="G256" s="6"/>
      <c r="H256" s="3650" t="s">
        <v>220</v>
      </c>
      <c r="I256" s="1799">
        <v>0</v>
      </c>
      <c r="J256" s="1717"/>
      <c r="K256" s="1683">
        <v>0</v>
      </c>
      <c r="L256" s="310">
        <f>IF(OR($H$78="no",K256=0),0,  K256*IF(OR(H256="FC",H256="FW"),1,POWER((1+'2. TaxData'!$I$65),(I256-'1. AgeData'!$D$31))))</f>
        <v>0</v>
      </c>
    </row>
    <row r="257" spans="1:12" x14ac:dyDescent="0.25">
      <c r="A257" s="307">
        <v>58</v>
      </c>
      <c r="B257" s="1798" t="s">
        <v>220</v>
      </c>
      <c r="C257" s="1799">
        <v>0</v>
      </c>
      <c r="D257" s="1717"/>
      <c r="E257" s="1683">
        <v>0</v>
      </c>
      <c r="F257" s="310">
        <f>IF(OR($H$78="no",E257=0),0,E257*IF(OR(B257="FC",B257="FW"),1,POWER((1+'2. TaxData'!$I$65),(C257-'1. AgeData'!$D$30))))</f>
        <v>0</v>
      </c>
      <c r="G257" s="6"/>
      <c r="H257" s="3650" t="s">
        <v>220</v>
      </c>
      <c r="I257" s="1799">
        <v>0</v>
      </c>
      <c r="J257" s="1717"/>
      <c r="K257" s="1683">
        <v>0</v>
      </c>
      <c r="L257" s="310">
        <f>IF(OR($H$78="no",K257=0),0,  K257*IF(OR(H257="FC",H257="FW"),1,POWER((1+'2. TaxData'!$I$65),(I257-'1. AgeData'!$D$31))))</f>
        <v>0</v>
      </c>
    </row>
    <row r="258" spans="1:12" x14ac:dyDescent="0.25">
      <c r="A258" s="307">
        <v>59</v>
      </c>
      <c r="B258" s="1798" t="s">
        <v>220</v>
      </c>
      <c r="C258" s="1799">
        <v>0</v>
      </c>
      <c r="D258" s="1717"/>
      <c r="E258" s="1683">
        <v>0</v>
      </c>
      <c r="F258" s="310">
        <f>IF(OR($H$78="no",E258=0),0,E258*IF(OR(B258="FC",B258="FW"),1,POWER((1+'2. TaxData'!$I$65),(C258-'1. AgeData'!$D$30))))</f>
        <v>0</v>
      </c>
      <c r="G258" s="6"/>
      <c r="H258" s="3650" t="s">
        <v>220</v>
      </c>
      <c r="I258" s="1799">
        <v>0</v>
      </c>
      <c r="J258" s="1717"/>
      <c r="K258" s="1683">
        <v>0</v>
      </c>
      <c r="L258" s="310">
        <f>IF(OR($H$78="no",K258=0),0,  K258*IF(OR(H258="FC",H258="FW"),1,POWER((1+'2. TaxData'!$I$65),(I258-'1. AgeData'!$D$31))))</f>
        <v>0</v>
      </c>
    </row>
    <row r="259" spans="1:12" x14ac:dyDescent="0.25">
      <c r="A259" s="307">
        <v>60</v>
      </c>
      <c r="B259" s="1798" t="s">
        <v>220</v>
      </c>
      <c r="C259" s="1799">
        <v>0</v>
      </c>
      <c r="D259" s="1717"/>
      <c r="E259" s="1683">
        <v>0</v>
      </c>
      <c r="F259" s="310">
        <f>IF(OR($H$78="no",E259=0),0,E259*IF(OR(B259="FC",B259="FW"),1,POWER((1+'2. TaxData'!$I$65),(C259-'1. AgeData'!$D$30))))</f>
        <v>0</v>
      </c>
      <c r="G259" s="6"/>
      <c r="H259" s="3650" t="s">
        <v>220</v>
      </c>
      <c r="I259" s="1799">
        <v>0</v>
      </c>
      <c r="J259" s="1717"/>
      <c r="K259" s="1683">
        <v>0</v>
      </c>
      <c r="L259" s="310">
        <f>IF(OR($H$78="no",K259=0),0,  K259*IF(OR(H259="FC",H259="FW"),1,POWER((1+'2. TaxData'!$I$65),(I259-'1. AgeData'!$D$31))))</f>
        <v>0</v>
      </c>
    </row>
    <row r="260" spans="1:12" x14ac:dyDescent="0.25">
      <c r="A260" s="307">
        <v>61</v>
      </c>
      <c r="B260" s="1798" t="s">
        <v>220</v>
      </c>
      <c r="C260" s="1799">
        <v>0</v>
      </c>
      <c r="D260" s="1717"/>
      <c r="E260" s="1683">
        <v>0</v>
      </c>
      <c r="F260" s="310">
        <f>IF(OR($H$78="no",E260=0),0,E260*IF(OR(B260="FC",B260="FW"),1,POWER((1+'2. TaxData'!$I$65),(C260-'1. AgeData'!$D$30))))</f>
        <v>0</v>
      </c>
      <c r="G260" s="6"/>
      <c r="H260" s="3650" t="s">
        <v>220</v>
      </c>
      <c r="I260" s="1799">
        <v>0</v>
      </c>
      <c r="J260" s="1717"/>
      <c r="K260" s="1683">
        <v>0</v>
      </c>
      <c r="L260" s="310">
        <f>IF(OR($H$78="no",K260=0),0,  K260*IF(OR(H260="FC",H260="FW"),1,POWER((1+'2. TaxData'!$I$65),(I260-'1. AgeData'!$D$31))))</f>
        <v>0</v>
      </c>
    </row>
    <row r="261" spans="1:12" x14ac:dyDescent="0.25">
      <c r="A261" s="307">
        <v>62</v>
      </c>
      <c r="B261" s="1798" t="s">
        <v>220</v>
      </c>
      <c r="C261" s="1799">
        <v>0</v>
      </c>
      <c r="D261" s="1717"/>
      <c r="E261" s="1683">
        <v>0</v>
      </c>
      <c r="F261" s="310">
        <f>IF(OR($H$78="no",E261=0),0,E261*IF(OR(B261="FC",B261="FW"),1,POWER((1+'2. TaxData'!$I$65),(C261-'1. AgeData'!$D$30))))</f>
        <v>0</v>
      </c>
      <c r="G261" s="6"/>
      <c r="H261" s="3650" t="s">
        <v>220</v>
      </c>
      <c r="I261" s="1799">
        <v>0</v>
      </c>
      <c r="J261" s="1717"/>
      <c r="K261" s="1683">
        <v>0</v>
      </c>
      <c r="L261" s="310">
        <f>IF(OR($H$78="no",K261=0),0,  K261*IF(OR(H261="FC",H261="FW"),1,POWER((1+'2. TaxData'!$I$65),(I261-'1. AgeData'!$D$31))))</f>
        <v>0</v>
      </c>
    </row>
    <row r="262" spans="1:12" x14ac:dyDescent="0.25">
      <c r="A262" s="307">
        <v>63</v>
      </c>
      <c r="B262" s="1798" t="s">
        <v>220</v>
      </c>
      <c r="C262" s="1799">
        <v>0</v>
      </c>
      <c r="D262" s="1717"/>
      <c r="E262" s="1683">
        <v>0</v>
      </c>
      <c r="F262" s="310">
        <f>IF(OR($H$78="no",E262=0),0,E262*IF(OR(B262="FC",B262="FW"),1,POWER((1+'2. TaxData'!$I$65),(C262-'1. AgeData'!$D$30))))</f>
        <v>0</v>
      </c>
      <c r="G262" s="6"/>
      <c r="H262" s="3650" t="s">
        <v>220</v>
      </c>
      <c r="I262" s="1799">
        <v>0</v>
      </c>
      <c r="J262" s="1717"/>
      <c r="K262" s="1683">
        <v>0</v>
      </c>
      <c r="L262" s="310">
        <f>IF(OR($H$78="no",K262=0),0,  K262*IF(OR(H262="FC",H262="FW"),1,POWER((1+'2. TaxData'!$I$65),(I262-'1. AgeData'!$D$31))))</f>
        <v>0</v>
      </c>
    </row>
    <row r="263" spans="1:12" x14ac:dyDescent="0.25">
      <c r="A263" s="307">
        <v>64</v>
      </c>
      <c r="B263" s="1798" t="s">
        <v>220</v>
      </c>
      <c r="C263" s="1799">
        <v>0</v>
      </c>
      <c r="D263" s="1717"/>
      <c r="E263" s="1683">
        <v>0</v>
      </c>
      <c r="F263" s="310">
        <f>IF(OR($H$78="no",E263=0),0,E263*IF(OR(B263="FC",B263="FW"),1,POWER((1+'2. TaxData'!$I$65),(C263-'1. AgeData'!$D$30))))</f>
        <v>0</v>
      </c>
      <c r="G263" s="6"/>
      <c r="H263" s="3650" t="s">
        <v>220</v>
      </c>
      <c r="I263" s="1799">
        <v>0</v>
      </c>
      <c r="J263" s="1717"/>
      <c r="K263" s="1683">
        <v>0</v>
      </c>
      <c r="L263" s="310">
        <f>IF(OR($H$78="no",K263=0),0,  K263*IF(OR(H263="FC",H263="FW"),1,POWER((1+'2. TaxData'!$I$65),(I263-'1. AgeData'!$D$31))))</f>
        <v>0</v>
      </c>
    </row>
    <row r="264" spans="1:12" x14ac:dyDescent="0.25">
      <c r="A264" s="307">
        <v>65</v>
      </c>
      <c r="B264" s="1798" t="s">
        <v>220</v>
      </c>
      <c r="C264" s="1799">
        <v>0</v>
      </c>
      <c r="D264" s="1717"/>
      <c r="E264" s="1683">
        <v>0</v>
      </c>
      <c r="F264" s="310">
        <f>IF(OR($H$78="no",E264=0),0,E264*IF(OR(B264="FC",B264="FW"),1,POWER((1+'2. TaxData'!$I$65),(C264-'1. AgeData'!$D$30))))</f>
        <v>0</v>
      </c>
      <c r="G264" s="6"/>
      <c r="H264" s="3650" t="s">
        <v>220</v>
      </c>
      <c r="I264" s="1799">
        <v>0</v>
      </c>
      <c r="J264" s="1717"/>
      <c r="K264" s="1683">
        <v>0</v>
      </c>
      <c r="L264" s="310">
        <f>IF(OR($H$78="no",K264=0),0,  K264*IF(OR(H264="FC",H264="FW"),1,POWER((1+'2. TaxData'!$I$65),(I264-'1. AgeData'!$D$31))))</f>
        <v>0</v>
      </c>
    </row>
    <row r="265" spans="1:12" x14ac:dyDescent="0.25">
      <c r="A265" s="307">
        <v>66</v>
      </c>
      <c r="B265" s="1798" t="s">
        <v>220</v>
      </c>
      <c r="C265" s="1799">
        <v>0</v>
      </c>
      <c r="D265" s="1717"/>
      <c r="E265" s="1683">
        <v>0</v>
      </c>
      <c r="F265" s="310">
        <f>IF(OR($H$78="no",E265=0),0,E265*IF(OR(B265="FC",B265="FW"),1,POWER((1+'2. TaxData'!$I$65),(C265-'1. AgeData'!$D$30))))</f>
        <v>0</v>
      </c>
      <c r="G265" s="6"/>
      <c r="H265" s="3650" t="s">
        <v>220</v>
      </c>
      <c r="I265" s="1799">
        <v>0</v>
      </c>
      <c r="J265" s="1717"/>
      <c r="K265" s="1683">
        <v>0</v>
      </c>
      <c r="L265" s="310">
        <f>IF(OR($H$78="no",K265=0),0,  K265*IF(OR(H265="FC",H265="FW"),1,POWER((1+'2. TaxData'!$I$65),(I265-'1. AgeData'!$D$31))))</f>
        <v>0</v>
      </c>
    </row>
    <row r="266" spans="1:12" x14ac:dyDescent="0.25">
      <c r="A266" s="307">
        <v>67</v>
      </c>
      <c r="B266" s="1798" t="s">
        <v>220</v>
      </c>
      <c r="C266" s="1799">
        <v>0</v>
      </c>
      <c r="D266" s="1717"/>
      <c r="E266" s="1683">
        <v>0</v>
      </c>
      <c r="F266" s="310">
        <f>IF(OR($H$78="no",E266=0),0,E266*IF(OR(B266="FC",B266="FW"),1,POWER((1+'2. TaxData'!$I$65),(C266-'1. AgeData'!$D$30))))</f>
        <v>0</v>
      </c>
      <c r="G266" s="6"/>
      <c r="H266" s="3650" t="s">
        <v>220</v>
      </c>
      <c r="I266" s="1799">
        <v>0</v>
      </c>
      <c r="J266" s="1717"/>
      <c r="K266" s="1683">
        <v>0</v>
      </c>
      <c r="L266" s="310">
        <f>IF(OR($H$78="no",K266=0),0,  K266*IF(OR(H266="FC",H266="FW"),1,POWER((1+'2. TaxData'!$I$65),(I266-'1. AgeData'!$D$31))))</f>
        <v>0</v>
      </c>
    </row>
    <row r="267" spans="1:12" x14ac:dyDescent="0.25">
      <c r="A267" s="307">
        <v>68</v>
      </c>
      <c r="B267" s="1798" t="s">
        <v>220</v>
      </c>
      <c r="C267" s="1799">
        <v>0</v>
      </c>
      <c r="D267" s="1717"/>
      <c r="E267" s="1683">
        <v>0</v>
      </c>
      <c r="F267" s="310">
        <f>IF(OR($H$78="no",E267=0),0,E267*IF(OR(B267="FC",B267="FW"),1,POWER((1+'2. TaxData'!$I$65),(C267-'1. AgeData'!$D$30))))</f>
        <v>0</v>
      </c>
      <c r="G267" s="6"/>
      <c r="H267" s="3650" t="s">
        <v>220</v>
      </c>
      <c r="I267" s="1799">
        <v>0</v>
      </c>
      <c r="J267" s="1717"/>
      <c r="K267" s="1683">
        <v>0</v>
      </c>
      <c r="L267" s="310">
        <f>IF(OR($H$78="no",K267=0),0,  K267*IF(OR(H267="FC",H267="FW"),1,POWER((1+'2. TaxData'!$I$65),(I267-'1. AgeData'!$D$31))))</f>
        <v>0</v>
      </c>
    </row>
    <row r="268" spans="1:12" x14ac:dyDescent="0.25">
      <c r="A268" s="307">
        <v>69</v>
      </c>
      <c r="B268" s="1798" t="s">
        <v>220</v>
      </c>
      <c r="C268" s="1799">
        <v>0</v>
      </c>
      <c r="D268" s="1717"/>
      <c r="E268" s="1683">
        <v>0</v>
      </c>
      <c r="F268" s="310">
        <f>IF(OR($H$78="no",E268=0),0,E268*IF(OR(B268="FC",B268="FW"),1,POWER((1+'2. TaxData'!$I$65),(C268-'1. AgeData'!$D$30))))</f>
        <v>0</v>
      </c>
      <c r="G268" s="6"/>
      <c r="H268" s="3650" t="s">
        <v>220</v>
      </c>
      <c r="I268" s="1799">
        <v>0</v>
      </c>
      <c r="J268" s="1717"/>
      <c r="K268" s="1683">
        <v>0</v>
      </c>
      <c r="L268" s="310">
        <f>IF(OR($H$78="no",K268=0),0,  K268*IF(OR(H268="FC",H268="FW"),1,POWER((1+'2. TaxData'!$I$65),(I268-'1. AgeData'!$D$31))))</f>
        <v>0</v>
      </c>
    </row>
    <row r="269" spans="1:12" x14ac:dyDescent="0.25">
      <c r="A269" s="307">
        <v>70</v>
      </c>
      <c r="B269" s="1798" t="s">
        <v>220</v>
      </c>
      <c r="C269" s="1799">
        <v>0</v>
      </c>
      <c r="D269" s="1717"/>
      <c r="E269" s="1683">
        <v>0</v>
      </c>
      <c r="F269" s="310">
        <f>IF(OR($H$78="no",E269=0),0,E269*IF(OR(B269="FC",B269="FW"),1,POWER((1+'2. TaxData'!$I$65),(C269-'1. AgeData'!$D$30))))</f>
        <v>0</v>
      </c>
      <c r="G269" s="6"/>
      <c r="H269" s="3650" t="s">
        <v>220</v>
      </c>
      <c r="I269" s="1799">
        <v>0</v>
      </c>
      <c r="J269" s="1717"/>
      <c r="K269" s="1683">
        <v>0</v>
      </c>
      <c r="L269" s="310">
        <f>IF(OR($H$78="no",K269=0),0,  K269*IF(OR(H269="FC",H269="FW"),1,POWER((1+'2. TaxData'!$I$65),(I269-'1. AgeData'!$D$31))))</f>
        <v>0</v>
      </c>
    </row>
    <row r="270" spans="1:12" x14ac:dyDescent="0.25">
      <c r="A270" s="307">
        <v>71</v>
      </c>
      <c r="B270" s="1798" t="s">
        <v>220</v>
      </c>
      <c r="C270" s="1799">
        <v>0</v>
      </c>
      <c r="D270" s="1717"/>
      <c r="E270" s="1683">
        <v>0</v>
      </c>
      <c r="F270" s="310">
        <f>IF(OR($H$78="no",E270=0),0,E270*IF(OR(B270="FC",B270="FW"),1,POWER((1+'2. TaxData'!$I$65),(C270-'1. AgeData'!$D$30))))</f>
        <v>0</v>
      </c>
      <c r="G270" s="6"/>
      <c r="H270" s="3650" t="s">
        <v>220</v>
      </c>
      <c r="I270" s="1799">
        <v>0</v>
      </c>
      <c r="J270" s="1717"/>
      <c r="K270" s="1683">
        <v>0</v>
      </c>
      <c r="L270" s="310">
        <f>IF(OR($H$78="no",K270=0),0,  K270*IF(OR(H270="FC",H270="FW"),1,POWER((1+'2. TaxData'!$I$65),(I270-'1. AgeData'!$D$31))))</f>
        <v>0</v>
      </c>
    </row>
    <row r="271" spans="1:12" x14ac:dyDescent="0.25">
      <c r="A271" s="307">
        <v>72</v>
      </c>
      <c r="B271" s="1798" t="s">
        <v>220</v>
      </c>
      <c r="C271" s="1799">
        <v>0</v>
      </c>
      <c r="D271" s="1717"/>
      <c r="E271" s="1683">
        <v>0</v>
      </c>
      <c r="F271" s="310">
        <f>IF(OR($H$78="no",E271=0),0,E271*IF(OR(B271="FC",B271="FW"),1,POWER((1+'2. TaxData'!$I$65),(C271-'1. AgeData'!$D$30))))</f>
        <v>0</v>
      </c>
      <c r="G271" s="6"/>
      <c r="H271" s="3650" t="s">
        <v>220</v>
      </c>
      <c r="I271" s="1799">
        <v>0</v>
      </c>
      <c r="J271" s="1717"/>
      <c r="K271" s="1683">
        <v>0</v>
      </c>
      <c r="L271" s="310">
        <f>IF(OR($H$78="no",K271=0),0,  K271*IF(OR(H271="FC",H271="FW"),1,POWER((1+'2. TaxData'!$I$65),(I271-'1. AgeData'!$D$31))))</f>
        <v>0</v>
      </c>
    </row>
    <row r="272" spans="1:12" x14ac:dyDescent="0.25">
      <c r="A272" s="307">
        <v>73</v>
      </c>
      <c r="B272" s="1798" t="s">
        <v>220</v>
      </c>
      <c r="C272" s="1799">
        <v>0</v>
      </c>
      <c r="D272" s="1717"/>
      <c r="E272" s="1683">
        <v>0</v>
      </c>
      <c r="F272" s="310">
        <f>IF(OR($H$78="no",E272=0),0,E272*IF(OR(B272="FC",B272="FW"),1,POWER((1+'2. TaxData'!$I$65),(C272-'1. AgeData'!$D$30))))</f>
        <v>0</v>
      </c>
      <c r="G272" s="6"/>
      <c r="H272" s="3650" t="s">
        <v>220</v>
      </c>
      <c r="I272" s="1799">
        <v>0</v>
      </c>
      <c r="J272" s="1717"/>
      <c r="K272" s="1683">
        <v>0</v>
      </c>
      <c r="L272" s="310">
        <f>IF(OR($H$78="no",K272=0),0,  K272*IF(OR(H272="FC",H272="FW"),1,POWER((1+'2. TaxData'!$I$65),(I272-'1. AgeData'!$D$31))))</f>
        <v>0</v>
      </c>
    </row>
    <row r="273" spans="1:12" x14ac:dyDescent="0.25">
      <c r="A273" s="307">
        <v>74</v>
      </c>
      <c r="B273" s="1798" t="s">
        <v>220</v>
      </c>
      <c r="C273" s="1799">
        <v>0</v>
      </c>
      <c r="D273" s="1717"/>
      <c r="E273" s="1683">
        <v>0</v>
      </c>
      <c r="F273" s="310">
        <f>IF(OR($H$78="no",E273=0),0,E273*IF(OR(B273="FC",B273="FW"),1,POWER((1+'2. TaxData'!$I$65),(C273-'1. AgeData'!$D$30))))</f>
        <v>0</v>
      </c>
      <c r="G273" s="6"/>
      <c r="H273" s="3650" t="s">
        <v>220</v>
      </c>
      <c r="I273" s="1799">
        <v>0</v>
      </c>
      <c r="J273" s="1717"/>
      <c r="K273" s="1683">
        <v>0</v>
      </c>
      <c r="L273" s="310">
        <f>IF(OR($H$78="no",K273=0),0,  K273*IF(OR(H273="FC",H273="FW"),1,POWER((1+'2. TaxData'!$I$65),(I273-'1. AgeData'!$D$31))))</f>
        <v>0</v>
      </c>
    </row>
    <row r="274" spans="1:12" x14ac:dyDescent="0.25">
      <c r="A274" s="307">
        <v>75</v>
      </c>
      <c r="B274" s="1798" t="s">
        <v>220</v>
      </c>
      <c r="C274" s="1799">
        <v>0</v>
      </c>
      <c r="D274" s="1717"/>
      <c r="E274" s="1683">
        <v>0</v>
      </c>
      <c r="F274" s="310">
        <f>IF(OR($H$78="no",E274=0),0,E274*IF(OR(B274="FC",B274="FW"),1,POWER((1+'2. TaxData'!$I$65),(C274-'1. AgeData'!$D$30))))</f>
        <v>0</v>
      </c>
      <c r="G274" s="6"/>
      <c r="H274" s="3650" t="s">
        <v>220</v>
      </c>
      <c r="I274" s="1799">
        <v>0</v>
      </c>
      <c r="J274" s="1717"/>
      <c r="K274" s="1683">
        <v>0</v>
      </c>
      <c r="L274" s="310">
        <f>IF(OR($H$78="no",K274=0),0,  K274*IF(OR(H274="FC",H274="FW"),1,POWER((1+'2. TaxData'!$I$65),(I274-'1. AgeData'!$D$31))))</f>
        <v>0</v>
      </c>
    </row>
    <row r="275" spans="1:12" x14ac:dyDescent="0.25">
      <c r="A275" s="307">
        <v>76</v>
      </c>
      <c r="B275" s="1798" t="s">
        <v>220</v>
      </c>
      <c r="C275" s="1799">
        <v>0</v>
      </c>
      <c r="D275" s="1717"/>
      <c r="E275" s="1683">
        <v>0</v>
      </c>
      <c r="F275" s="310">
        <f>IF(OR($H$78="no",E275=0),0,E275*IF(OR(B275="FC",B275="FW"),1,POWER((1+'2. TaxData'!$I$65),(C275-'1. AgeData'!$D$30))))</f>
        <v>0</v>
      </c>
      <c r="G275" s="6"/>
      <c r="H275" s="3650" t="s">
        <v>220</v>
      </c>
      <c r="I275" s="1799">
        <v>0</v>
      </c>
      <c r="J275" s="1717"/>
      <c r="K275" s="1683">
        <v>0</v>
      </c>
      <c r="L275" s="310">
        <f>IF(OR($H$78="no",K275=0),0,  K275*IF(OR(H275="FC",H275="FW"),1,POWER((1+'2. TaxData'!$I$65),(I275-'1. AgeData'!$D$31))))</f>
        <v>0</v>
      </c>
    </row>
    <row r="276" spans="1:12" x14ac:dyDescent="0.25">
      <c r="A276" s="307">
        <v>77</v>
      </c>
      <c r="B276" s="1798" t="s">
        <v>220</v>
      </c>
      <c r="C276" s="1799">
        <v>0</v>
      </c>
      <c r="D276" s="1717"/>
      <c r="E276" s="1683">
        <v>0</v>
      </c>
      <c r="F276" s="310">
        <f>IF(OR($H$78="no",E276=0),0,E276*IF(OR(B276="FC",B276="FW"),1,POWER((1+'2. TaxData'!$I$65),(C276-'1. AgeData'!$D$30))))</f>
        <v>0</v>
      </c>
      <c r="G276" s="6"/>
      <c r="H276" s="3650" t="s">
        <v>220</v>
      </c>
      <c r="I276" s="1799">
        <v>0</v>
      </c>
      <c r="J276" s="1717"/>
      <c r="K276" s="1683">
        <v>0</v>
      </c>
      <c r="L276" s="310">
        <f>IF(OR($H$78="no",K276=0),0,  K276*IF(OR(H276="FC",H276="FW"),1,POWER((1+'2. TaxData'!$I$65),(I276-'1. AgeData'!$D$31))))</f>
        <v>0</v>
      </c>
    </row>
    <row r="277" spans="1:12" x14ac:dyDescent="0.25">
      <c r="A277" s="307">
        <v>78</v>
      </c>
      <c r="B277" s="1798" t="s">
        <v>220</v>
      </c>
      <c r="C277" s="1799">
        <v>0</v>
      </c>
      <c r="D277" s="1717"/>
      <c r="E277" s="1683">
        <v>0</v>
      </c>
      <c r="F277" s="310">
        <f>IF(OR($H$78="no",E277=0),0,E277*IF(OR(B277="FC",B277="FW"),1,POWER((1+'2. TaxData'!$I$65),(C277-'1. AgeData'!$D$30))))</f>
        <v>0</v>
      </c>
      <c r="G277" s="6"/>
      <c r="H277" s="3650" t="s">
        <v>220</v>
      </c>
      <c r="I277" s="1799">
        <v>0</v>
      </c>
      <c r="J277" s="1717"/>
      <c r="K277" s="1683">
        <v>0</v>
      </c>
      <c r="L277" s="310">
        <f>IF(OR($H$78="no",K277=0),0,  K277*IF(OR(H277="FC",H277="FW"),1,POWER((1+'2. TaxData'!$I$65),(I277-'1. AgeData'!$D$31))))</f>
        <v>0</v>
      </c>
    </row>
    <row r="278" spans="1:12" x14ac:dyDescent="0.25">
      <c r="A278" s="307">
        <v>79</v>
      </c>
      <c r="B278" s="1798" t="s">
        <v>220</v>
      </c>
      <c r="C278" s="1799">
        <v>0</v>
      </c>
      <c r="D278" s="1717"/>
      <c r="E278" s="1683">
        <v>0</v>
      </c>
      <c r="F278" s="310">
        <f>IF(OR($H$78="no",E278=0),0,E278*IF(OR(B278="FC",B278="FW"),1,POWER((1+'2. TaxData'!$I$65),(C278-'1. AgeData'!$D$30))))</f>
        <v>0</v>
      </c>
      <c r="G278" s="6"/>
      <c r="H278" s="3650" t="s">
        <v>220</v>
      </c>
      <c r="I278" s="1799">
        <v>0</v>
      </c>
      <c r="J278" s="1717"/>
      <c r="K278" s="1683">
        <v>0</v>
      </c>
      <c r="L278" s="310">
        <f>IF(OR($H$78="no",K278=0),0,  K278*IF(OR(H278="FC",H278="FW"),1,POWER((1+'2. TaxData'!$I$65),(I278-'1. AgeData'!$D$31))))</f>
        <v>0</v>
      </c>
    </row>
    <row r="279" spans="1:12" x14ac:dyDescent="0.25">
      <c r="A279" s="307">
        <v>80</v>
      </c>
      <c r="B279" s="1798" t="s">
        <v>220</v>
      </c>
      <c r="C279" s="1799">
        <v>0</v>
      </c>
      <c r="D279" s="1717"/>
      <c r="E279" s="1683">
        <v>0</v>
      </c>
      <c r="F279" s="310">
        <f>IF(OR($H$78="no",E279=0),0,E279*IF(OR(B279="FC",B279="FW"),1,POWER((1+'2. TaxData'!$I$65),(C279-'1. AgeData'!$D$30))))</f>
        <v>0</v>
      </c>
      <c r="G279" s="6"/>
      <c r="H279" s="3650" t="s">
        <v>220</v>
      </c>
      <c r="I279" s="1799">
        <v>0</v>
      </c>
      <c r="J279" s="1717"/>
      <c r="K279" s="1683">
        <v>0</v>
      </c>
      <c r="L279" s="310">
        <f>IF(OR($H$78="no",K279=0),0,  K279*IF(OR(H279="FC",H279="FW"),1,POWER((1+'2. TaxData'!$I$65),(I279-'1. AgeData'!$D$31))))</f>
        <v>0</v>
      </c>
    </row>
    <row r="280" spans="1:12" x14ac:dyDescent="0.25">
      <c r="A280" s="307">
        <v>81</v>
      </c>
      <c r="B280" s="1798" t="s">
        <v>220</v>
      </c>
      <c r="C280" s="1799">
        <v>0</v>
      </c>
      <c r="D280" s="1717"/>
      <c r="E280" s="1683">
        <v>0</v>
      </c>
      <c r="F280" s="310">
        <f>IF(OR($H$78="no",E280=0),0,E280*IF(OR(B280="FC",B280="FW"),1,POWER((1+'2. TaxData'!$I$65),(C280-'1. AgeData'!$D$30))))</f>
        <v>0</v>
      </c>
      <c r="G280" s="6"/>
      <c r="H280" s="3650" t="s">
        <v>220</v>
      </c>
      <c r="I280" s="1799">
        <v>0</v>
      </c>
      <c r="J280" s="1717"/>
      <c r="K280" s="1683">
        <v>0</v>
      </c>
      <c r="L280" s="310">
        <f>IF(OR($H$78="no",K280=0),0,  K280*IF(OR(H280="FC",H280="FW"),1,POWER((1+'2. TaxData'!$I$65),(I280-'1. AgeData'!$D$31))))</f>
        <v>0</v>
      </c>
    </row>
    <row r="281" spans="1:12" x14ac:dyDescent="0.25">
      <c r="A281" s="307">
        <v>82</v>
      </c>
      <c r="B281" s="1798" t="s">
        <v>220</v>
      </c>
      <c r="C281" s="1799">
        <v>0</v>
      </c>
      <c r="D281" s="1717"/>
      <c r="E281" s="1683">
        <v>0</v>
      </c>
      <c r="F281" s="310">
        <f>IF(OR($H$78="no",E281=0),0,E281*IF(OR(B281="FC",B281="FW"),1,POWER((1+'2. TaxData'!$I$65),(C281-'1. AgeData'!$D$30))))</f>
        <v>0</v>
      </c>
      <c r="G281" s="6"/>
      <c r="H281" s="3650" t="s">
        <v>220</v>
      </c>
      <c r="I281" s="1799">
        <v>0</v>
      </c>
      <c r="J281" s="1717"/>
      <c r="K281" s="1683">
        <v>0</v>
      </c>
      <c r="L281" s="310">
        <f>IF(OR($H$78="no",K281=0),0,  K281*IF(OR(H281="FC",H281="FW"),1,POWER((1+'2. TaxData'!$I$65),(I281-'1. AgeData'!$D$31))))</f>
        <v>0</v>
      </c>
    </row>
    <row r="282" spans="1:12" x14ac:dyDescent="0.25">
      <c r="A282" s="307">
        <v>83</v>
      </c>
      <c r="B282" s="1798" t="s">
        <v>220</v>
      </c>
      <c r="C282" s="1799">
        <v>0</v>
      </c>
      <c r="D282" s="1717"/>
      <c r="E282" s="1683">
        <v>0</v>
      </c>
      <c r="F282" s="310">
        <f>IF(OR($H$78="no",E282=0),0,E282*IF(OR(B282="FC",B282="FW"),1,POWER((1+'2. TaxData'!$I$65),(C282-'1. AgeData'!$D$30))))</f>
        <v>0</v>
      </c>
      <c r="G282" s="6"/>
      <c r="H282" s="3650" t="s">
        <v>220</v>
      </c>
      <c r="I282" s="1799">
        <v>0</v>
      </c>
      <c r="J282" s="1717"/>
      <c r="K282" s="1683">
        <v>0</v>
      </c>
      <c r="L282" s="310">
        <f>IF(OR($H$78="no",K282=0),0,  K282*IF(OR(H282="FC",H282="FW"),1,POWER((1+'2. TaxData'!$I$65),(I282-'1. AgeData'!$D$31))))</f>
        <v>0</v>
      </c>
    </row>
    <row r="283" spans="1:12" x14ac:dyDescent="0.25">
      <c r="A283" s="307">
        <v>84</v>
      </c>
      <c r="B283" s="1798" t="s">
        <v>220</v>
      </c>
      <c r="C283" s="1799">
        <v>0</v>
      </c>
      <c r="D283" s="1717"/>
      <c r="E283" s="1683">
        <v>0</v>
      </c>
      <c r="F283" s="310">
        <f>IF(OR($H$78="no",E283=0),0,E283*IF(OR(B283="FC",B283="FW"),1,POWER((1+'2. TaxData'!$I$65),(C283-'1. AgeData'!$D$30))))</f>
        <v>0</v>
      </c>
      <c r="G283" s="6"/>
      <c r="H283" s="3650" t="s">
        <v>220</v>
      </c>
      <c r="I283" s="1799">
        <v>0</v>
      </c>
      <c r="J283" s="1717"/>
      <c r="K283" s="1683">
        <v>0</v>
      </c>
      <c r="L283" s="310">
        <f>IF(OR($H$78="no",K283=0),0,  K283*IF(OR(H283="FC",H283="FW"),1,POWER((1+'2. TaxData'!$I$65),(I283-'1. AgeData'!$D$31))))</f>
        <v>0</v>
      </c>
    </row>
    <row r="284" spans="1:12" x14ac:dyDescent="0.25">
      <c r="A284" s="307">
        <v>85</v>
      </c>
      <c r="B284" s="1798" t="s">
        <v>220</v>
      </c>
      <c r="C284" s="1799">
        <v>0</v>
      </c>
      <c r="D284" s="1717"/>
      <c r="E284" s="1683">
        <v>0</v>
      </c>
      <c r="F284" s="310">
        <f>IF(OR($H$78="no",E284=0),0,E284*IF(OR(B284="FC",B284="FW"),1,POWER((1+'2. TaxData'!$I$65),(C284-'1. AgeData'!$D$30))))</f>
        <v>0</v>
      </c>
      <c r="G284" s="6"/>
      <c r="H284" s="3650" t="s">
        <v>220</v>
      </c>
      <c r="I284" s="1799">
        <v>0</v>
      </c>
      <c r="J284" s="1717"/>
      <c r="K284" s="1683">
        <v>0</v>
      </c>
      <c r="L284" s="310">
        <f>IF(OR($H$78="no",K284=0),0,  K284*IF(OR(H284="FC",H284="FW"),1,POWER((1+'2. TaxData'!$I$65),(I284-'1. AgeData'!$D$31))))</f>
        <v>0</v>
      </c>
    </row>
    <row r="285" spans="1:12" x14ac:dyDescent="0.25">
      <c r="A285" s="307">
        <v>86</v>
      </c>
      <c r="B285" s="1798" t="s">
        <v>220</v>
      </c>
      <c r="C285" s="1799">
        <v>0</v>
      </c>
      <c r="D285" s="1717"/>
      <c r="E285" s="1683">
        <v>0</v>
      </c>
      <c r="F285" s="310">
        <f>IF(OR($H$78="no",E285=0),0,E285*IF(OR(B285="FC",B285="FW"),1,POWER((1+'2. TaxData'!$I$65),(C285-'1. AgeData'!$D$30))))</f>
        <v>0</v>
      </c>
      <c r="G285" s="6"/>
      <c r="H285" s="3650" t="s">
        <v>220</v>
      </c>
      <c r="I285" s="1799">
        <v>0</v>
      </c>
      <c r="J285" s="1717"/>
      <c r="K285" s="1683">
        <v>0</v>
      </c>
      <c r="L285" s="310">
        <f>IF(OR($H$78="no",K285=0),0,  K285*IF(OR(H285="FC",H285="FW"),1,POWER((1+'2. TaxData'!$I$65),(I285-'1. AgeData'!$D$31))))</f>
        <v>0</v>
      </c>
    </row>
    <row r="286" spans="1:12" x14ac:dyDescent="0.25">
      <c r="A286" s="307">
        <v>87</v>
      </c>
      <c r="B286" s="1798" t="s">
        <v>220</v>
      </c>
      <c r="C286" s="1799">
        <v>0</v>
      </c>
      <c r="D286" s="1717"/>
      <c r="E286" s="1683">
        <v>0</v>
      </c>
      <c r="F286" s="310">
        <f>IF(OR($H$78="no",E286=0),0,E286*IF(OR(B286="FC",B286="FW"),1,POWER((1+'2. TaxData'!$I$65),(C286-'1. AgeData'!$D$30))))</f>
        <v>0</v>
      </c>
      <c r="G286" s="6"/>
      <c r="H286" s="3650" t="s">
        <v>220</v>
      </c>
      <c r="I286" s="1799">
        <v>0</v>
      </c>
      <c r="J286" s="1717"/>
      <c r="K286" s="1683">
        <v>0</v>
      </c>
      <c r="L286" s="310">
        <f>IF(OR($H$78="no",K286=0),0,  K286*IF(OR(H286="FC",H286="FW"),1,POWER((1+'2. TaxData'!$I$65),(I286-'1. AgeData'!$D$31))))</f>
        <v>0</v>
      </c>
    </row>
    <row r="287" spans="1:12" x14ac:dyDescent="0.25">
      <c r="A287" s="307">
        <v>88</v>
      </c>
      <c r="B287" s="1798" t="s">
        <v>220</v>
      </c>
      <c r="C287" s="1799">
        <v>0</v>
      </c>
      <c r="D287" s="1717"/>
      <c r="E287" s="1683">
        <v>0</v>
      </c>
      <c r="F287" s="310">
        <f>IF(OR($H$78="no",E287=0),0,E287*IF(OR(B287="FC",B287="FW"),1,POWER((1+'2. TaxData'!$I$65),(C287-'1. AgeData'!$D$30))))</f>
        <v>0</v>
      </c>
      <c r="G287" s="6"/>
      <c r="H287" s="3650" t="s">
        <v>220</v>
      </c>
      <c r="I287" s="1799">
        <v>0</v>
      </c>
      <c r="J287" s="1717"/>
      <c r="K287" s="1683">
        <v>0</v>
      </c>
      <c r="L287" s="310">
        <f>IF(OR($H$78="no",K287=0),0,  K287*IF(OR(H287="FC",H287="FW"),1,POWER((1+'2. TaxData'!$I$65),(I287-'1. AgeData'!$D$31))))</f>
        <v>0</v>
      </c>
    </row>
    <row r="288" spans="1:12" x14ac:dyDescent="0.25">
      <c r="A288" s="307">
        <v>89</v>
      </c>
      <c r="B288" s="1798" t="s">
        <v>220</v>
      </c>
      <c r="C288" s="1799">
        <v>0</v>
      </c>
      <c r="D288" s="1717"/>
      <c r="E288" s="1683">
        <v>0</v>
      </c>
      <c r="F288" s="310">
        <f>IF(OR($H$78="no",E288=0),0,E288*IF(OR(B288="FC",B288="FW"),1,POWER((1+'2. TaxData'!$I$65),(C288-'1. AgeData'!$D$30))))</f>
        <v>0</v>
      </c>
      <c r="G288" s="6"/>
      <c r="H288" s="3650" t="s">
        <v>220</v>
      </c>
      <c r="I288" s="1799">
        <v>0</v>
      </c>
      <c r="J288" s="1717"/>
      <c r="K288" s="1683">
        <v>0</v>
      </c>
      <c r="L288" s="310">
        <f>IF(OR($H$78="no",K288=0),0,  K288*IF(OR(H288="FC",H288="FW"),1,POWER((1+'2. TaxData'!$I$65),(I288-'1. AgeData'!$D$31))))</f>
        <v>0</v>
      </c>
    </row>
    <row r="289" spans="1:12" x14ac:dyDescent="0.25">
      <c r="A289" s="307">
        <v>90</v>
      </c>
      <c r="B289" s="1798" t="s">
        <v>220</v>
      </c>
      <c r="C289" s="1799">
        <v>0</v>
      </c>
      <c r="D289" s="1717"/>
      <c r="E289" s="1683">
        <v>0</v>
      </c>
      <c r="F289" s="310">
        <f>IF(OR($H$78="no",E289=0),0,E289*IF(OR(B289="FC",B289="FW"),1,POWER((1+'2. TaxData'!$I$65),(C289-'1. AgeData'!$D$30))))</f>
        <v>0</v>
      </c>
      <c r="G289" s="6"/>
      <c r="H289" s="3650" t="s">
        <v>220</v>
      </c>
      <c r="I289" s="1799">
        <v>0</v>
      </c>
      <c r="J289" s="1717"/>
      <c r="K289" s="1683">
        <v>0</v>
      </c>
      <c r="L289" s="310">
        <f>IF(OR($H$78="no",K289=0),0,  K289*IF(OR(H289="FC",H289="FW"),1,POWER((1+'2. TaxData'!$I$65),(I289-'1. AgeData'!$D$31))))</f>
        <v>0</v>
      </c>
    </row>
    <row r="290" spans="1:12" x14ac:dyDescent="0.25">
      <c r="A290" s="307">
        <v>91</v>
      </c>
      <c r="B290" s="1798" t="s">
        <v>220</v>
      </c>
      <c r="C290" s="1799">
        <v>0</v>
      </c>
      <c r="D290" s="1717"/>
      <c r="E290" s="1683">
        <v>0</v>
      </c>
      <c r="F290" s="310">
        <f>IF(OR($H$78="no",E290=0),0,E290*IF(OR(B290="FC",B290="FW"),1,POWER((1+'2. TaxData'!$I$65),(C290-'1. AgeData'!$D$30))))</f>
        <v>0</v>
      </c>
      <c r="G290" s="6"/>
      <c r="H290" s="3650" t="s">
        <v>220</v>
      </c>
      <c r="I290" s="1799">
        <v>0</v>
      </c>
      <c r="J290" s="1717"/>
      <c r="K290" s="1683">
        <v>0</v>
      </c>
      <c r="L290" s="310">
        <f>IF(OR($H$78="no",K290=0),0,  K290*IF(OR(H290="FC",H290="FW"),1,POWER((1+'2. TaxData'!$I$65),(I290-'1. AgeData'!$D$31))))</f>
        <v>0</v>
      </c>
    </row>
    <row r="291" spans="1:12" x14ac:dyDescent="0.25">
      <c r="A291" s="307">
        <v>92</v>
      </c>
      <c r="B291" s="1798" t="s">
        <v>220</v>
      </c>
      <c r="C291" s="1799">
        <v>0</v>
      </c>
      <c r="D291" s="1717"/>
      <c r="E291" s="1683">
        <v>0</v>
      </c>
      <c r="F291" s="310">
        <f>IF(OR($H$78="no",E291=0),0,E291*IF(OR(B291="FC",B291="FW"),1,POWER((1+'2. TaxData'!$I$65),(C291-'1. AgeData'!$D$30))))</f>
        <v>0</v>
      </c>
      <c r="G291" s="6"/>
      <c r="H291" s="3650" t="s">
        <v>220</v>
      </c>
      <c r="I291" s="1799">
        <v>0</v>
      </c>
      <c r="J291" s="1717"/>
      <c r="K291" s="1683">
        <v>0</v>
      </c>
      <c r="L291" s="310">
        <f>IF(OR($H$78="no",K291=0),0,  K291*IF(OR(H291="FC",H291="FW"),1,POWER((1+'2. TaxData'!$I$65),(I291-'1. AgeData'!$D$31))))</f>
        <v>0</v>
      </c>
    </row>
    <row r="292" spans="1:12" x14ac:dyDescent="0.25">
      <c r="A292" s="307">
        <v>93</v>
      </c>
      <c r="B292" s="1798" t="s">
        <v>220</v>
      </c>
      <c r="C292" s="1799">
        <v>0</v>
      </c>
      <c r="D292" s="1717"/>
      <c r="E292" s="1683">
        <v>0</v>
      </c>
      <c r="F292" s="310">
        <f>IF(OR($H$78="no",E292=0),0,E292*IF(OR(B292="FC",B292="FW"),1,POWER((1+'2. TaxData'!$I$65),(C292-'1. AgeData'!$D$30))))</f>
        <v>0</v>
      </c>
      <c r="G292" s="6"/>
      <c r="H292" s="3650" t="s">
        <v>220</v>
      </c>
      <c r="I292" s="1799">
        <v>0</v>
      </c>
      <c r="J292" s="1717"/>
      <c r="K292" s="1683">
        <v>0</v>
      </c>
      <c r="L292" s="310">
        <f>IF(OR($H$78="no",K292=0),0,  K292*IF(OR(H292="FC",H292="FW"),1,POWER((1+'2. TaxData'!$I$65),(I292-'1. AgeData'!$D$31))))</f>
        <v>0</v>
      </c>
    </row>
    <row r="293" spans="1:12" x14ac:dyDescent="0.25">
      <c r="A293" s="307">
        <v>94</v>
      </c>
      <c r="B293" s="1798" t="s">
        <v>220</v>
      </c>
      <c r="C293" s="1799">
        <v>0</v>
      </c>
      <c r="D293" s="1717"/>
      <c r="E293" s="1683">
        <v>0</v>
      </c>
      <c r="F293" s="310">
        <f>IF(OR($H$78="no",E293=0),0,E293*IF(OR(B293="FC",B293="FW"),1,POWER((1+'2. TaxData'!$I$65),(C293-'1. AgeData'!$D$30))))</f>
        <v>0</v>
      </c>
      <c r="G293" s="6"/>
      <c r="H293" s="3650" t="s">
        <v>220</v>
      </c>
      <c r="I293" s="1799">
        <v>0</v>
      </c>
      <c r="J293" s="1717"/>
      <c r="K293" s="1683">
        <v>0</v>
      </c>
      <c r="L293" s="310">
        <f>IF(OR($H$78="no",K293=0),0,  K293*IF(OR(H293="FC",H293="FW"),1,POWER((1+'2. TaxData'!$I$65),(I293-'1. AgeData'!$D$31))))</f>
        <v>0</v>
      </c>
    </row>
    <row r="294" spans="1:12" x14ac:dyDescent="0.25">
      <c r="A294" s="307">
        <v>95</v>
      </c>
      <c r="B294" s="1798" t="s">
        <v>220</v>
      </c>
      <c r="C294" s="1799">
        <v>0</v>
      </c>
      <c r="D294" s="1717"/>
      <c r="E294" s="1683">
        <v>0</v>
      </c>
      <c r="F294" s="310">
        <f>IF(OR($H$78="no",E294=0),0,E294*IF(OR(B294="FC",B294="FW"),1,POWER((1+'2. TaxData'!$I$65),(C294-'1. AgeData'!$D$30))))</f>
        <v>0</v>
      </c>
      <c r="G294" s="6"/>
      <c r="H294" s="3650" t="s">
        <v>220</v>
      </c>
      <c r="I294" s="1799">
        <v>0</v>
      </c>
      <c r="J294" s="1717"/>
      <c r="K294" s="1683">
        <v>0</v>
      </c>
      <c r="L294" s="310">
        <f>IF(OR($H$78="no",K294=0),0,  K294*IF(OR(H294="FC",H294="FW"),1,POWER((1+'2. TaxData'!$I$65),(I294-'1. AgeData'!$D$31))))</f>
        <v>0</v>
      </c>
    </row>
    <row r="295" spans="1:12" x14ac:dyDescent="0.25">
      <c r="A295" s="307">
        <v>96</v>
      </c>
      <c r="B295" s="1798" t="s">
        <v>220</v>
      </c>
      <c r="C295" s="1799">
        <v>0</v>
      </c>
      <c r="D295" s="1717"/>
      <c r="E295" s="1683">
        <v>0</v>
      </c>
      <c r="F295" s="310">
        <f>IF(OR($H$78="no",E295=0),0,E295*IF(OR(B295="FC",B295="FW"),1,POWER((1+'2. TaxData'!$I$65),(C295-'1. AgeData'!$D$30))))</f>
        <v>0</v>
      </c>
      <c r="G295" s="6"/>
      <c r="H295" s="3650" t="s">
        <v>220</v>
      </c>
      <c r="I295" s="1799">
        <v>0</v>
      </c>
      <c r="J295" s="1717"/>
      <c r="K295" s="1683">
        <v>0</v>
      </c>
      <c r="L295" s="310">
        <f>IF(OR($H$78="no",K295=0),0,  K295*IF(OR(H295="FC",H295="FW"),1,POWER((1+'2. TaxData'!$I$65),(I295-'1. AgeData'!$D$31))))</f>
        <v>0</v>
      </c>
    </row>
    <row r="296" spans="1:12" x14ac:dyDescent="0.25">
      <c r="A296" s="307">
        <v>97</v>
      </c>
      <c r="B296" s="1798" t="s">
        <v>220</v>
      </c>
      <c r="C296" s="1799">
        <v>0</v>
      </c>
      <c r="D296" s="1717"/>
      <c r="E296" s="1683">
        <v>0</v>
      </c>
      <c r="F296" s="310">
        <f>IF(OR($H$78="no",E296=0),0,E296*IF(OR(B296="FC",B296="FW"),1,POWER((1+'2. TaxData'!$I$65),(C296-'1. AgeData'!$D$30))))</f>
        <v>0</v>
      </c>
      <c r="G296" s="6"/>
      <c r="H296" s="3650" t="s">
        <v>220</v>
      </c>
      <c r="I296" s="1799">
        <v>0</v>
      </c>
      <c r="J296" s="1717"/>
      <c r="K296" s="1683">
        <v>0</v>
      </c>
      <c r="L296" s="310">
        <f>IF(OR($H$78="no",K296=0),0,  K296*IF(OR(H296="FC",H296="FW"),1,POWER((1+'2. TaxData'!$I$65),(I296-'1. AgeData'!$D$31))))</f>
        <v>0</v>
      </c>
    </row>
    <row r="297" spans="1:12" x14ac:dyDescent="0.25">
      <c r="A297" s="307">
        <v>98</v>
      </c>
      <c r="B297" s="1798" t="s">
        <v>220</v>
      </c>
      <c r="C297" s="1799">
        <v>0</v>
      </c>
      <c r="D297" s="1717"/>
      <c r="E297" s="1683">
        <v>0</v>
      </c>
      <c r="F297" s="310">
        <f>IF(OR($H$78="no",E297=0),0,E297*IF(OR(B297="FC",B297="FW"),1,POWER((1+'2. TaxData'!$I$65),(C297-'1. AgeData'!$D$30))))</f>
        <v>0</v>
      </c>
      <c r="G297" s="6"/>
      <c r="H297" s="1804" t="s">
        <v>220</v>
      </c>
      <c r="I297" s="1799">
        <v>0</v>
      </c>
      <c r="J297" s="1717"/>
      <c r="K297" s="1683">
        <v>0</v>
      </c>
      <c r="L297" s="310">
        <f>IF(OR($H$78="no",K297=0),0,  K297*IF(OR(H297="FC",H297="FW"),1,POWER((1+'2. TaxData'!$I$65),(I297-'1. AgeData'!$D$31))))</f>
        <v>0</v>
      </c>
    </row>
    <row r="298" spans="1:12" x14ac:dyDescent="0.25">
      <c r="A298" s="307">
        <v>99</v>
      </c>
      <c r="B298" s="1798" t="s">
        <v>220</v>
      </c>
      <c r="C298" s="1799">
        <v>0</v>
      </c>
      <c r="D298" s="1717"/>
      <c r="E298" s="1683">
        <v>0</v>
      </c>
      <c r="F298" s="310">
        <f>IF(OR($H$78="no",E298=0),0,E298*IF(OR(B298="FC",B298="FW"),1,POWER((1+'2. TaxData'!$I$65),(C298-'1. AgeData'!$D$30))))</f>
        <v>0</v>
      </c>
      <c r="G298" s="6"/>
      <c r="H298" s="1804" t="s">
        <v>220</v>
      </c>
      <c r="I298" s="1799">
        <v>0</v>
      </c>
      <c r="J298" s="1717"/>
      <c r="K298" s="1683">
        <v>0</v>
      </c>
      <c r="L298" s="310">
        <f>IF(OR($H$78="no",K298=0),0,  K298*IF(OR(H298="FC",H298="FW"),1,POWER((1+'2. TaxData'!$I$65),(I298-'1. AgeData'!$D$31))))</f>
        <v>0</v>
      </c>
    </row>
    <row r="299" spans="1:12" x14ac:dyDescent="0.25">
      <c r="A299" s="307">
        <v>100</v>
      </c>
      <c r="B299" s="1798" t="s">
        <v>220</v>
      </c>
      <c r="C299" s="1799">
        <v>0</v>
      </c>
      <c r="D299" s="1717"/>
      <c r="E299" s="1683">
        <v>0</v>
      </c>
      <c r="F299" s="310">
        <f>IF(OR($H$78="no",E299=0),0,E299*IF(OR(B299="FC",B299="FW"),1,POWER((1+'2. TaxData'!$I$65),(C299-'1. AgeData'!$D$30))))</f>
        <v>0</v>
      </c>
      <c r="G299" s="6"/>
      <c r="H299" s="1804" t="s">
        <v>220</v>
      </c>
      <c r="I299" s="1799">
        <v>0</v>
      </c>
      <c r="J299" s="1717"/>
      <c r="K299" s="1683">
        <v>0</v>
      </c>
      <c r="L299" s="310">
        <f>IF(OR($H$78="no",K299=0),0,  K299*IF(OR(H299="FC",H299="FW"),1,POWER((1+'2. TaxData'!$I$65),(I299-'1. AgeData'!$D$31))))</f>
        <v>0</v>
      </c>
    </row>
    <row r="300" spans="1:12" x14ac:dyDescent="0.25">
      <c r="A300" s="307">
        <v>101</v>
      </c>
      <c r="B300" s="1798" t="s">
        <v>220</v>
      </c>
      <c r="C300" s="1799">
        <v>0</v>
      </c>
      <c r="D300" s="1717"/>
      <c r="E300" s="1683">
        <v>0</v>
      </c>
      <c r="F300" s="310">
        <f>IF(OR($H$78="no",E300=0),0,E300*IF(OR(B300="FC",B300="FW"),1,POWER((1+'2. TaxData'!$I$65),(C300-'1. AgeData'!$D$30))))</f>
        <v>0</v>
      </c>
      <c r="G300" s="6"/>
      <c r="H300" s="1804" t="s">
        <v>220</v>
      </c>
      <c r="I300" s="1799">
        <v>0</v>
      </c>
      <c r="J300" s="1717"/>
      <c r="K300" s="1683">
        <v>0</v>
      </c>
      <c r="L300" s="310">
        <f>IF(OR($H$78="no",K300=0),0,  K300*IF(OR(H300="FC",H300="FW"),1,POWER((1+'2. TaxData'!$I$65),(I300-'1. AgeData'!$D$31))))</f>
        <v>0</v>
      </c>
    </row>
    <row r="301" spans="1:12" x14ac:dyDescent="0.25">
      <c r="A301" s="307">
        <v>102</v>
      </c>
      <c r="B301" s="1798" t="s">
        <v>220</v>
      </c>
      <c r="C301" s="1799">
        <v>0</v>
      </c>
      <c r="D301" s="1717"/>
      <c r="E301" s="1683">
        <v>0</v>
      </c>
      <c r="F301" s="310">
        <f>IF(OR($H$78="no",E301=0),0,E301*IF(OR(B301="FC",B301="FW"),1,POWER((1+'2. TaxData'!$I$65),(C301-'1. AgeData'!$D$30))))</f>
        <v>0</v>
      </c>
      <c r="G301" s="6"/>
      <c r="H301" s="1804" t="s">
        <v>220</v>
      </c>
      <c r="I301" s="1799">
        <v>0</v>
      </c>
      <c r="J301" s="1717"/>
      <c r="K301" s="1683">
        <v>0</v>
      </c>
      <c r="L301" s="310">
        <f>IF(OR($H$78="no",K301=0),0,  K301*IF(OR(H301="FC",H301="FW"),1,POWER((1+'2. TaxData'!$I$65),(I301-'1. AgeData'!$D$31))))</f>
        <v>0</v>
      </c>
    </row>
    <row r="302" spans="1:12" ht="15.75" thickBot="1" x14ac:dyDescent="0.3">
      <c r="A302" s="1852">
        <v>103</v>
      </c>
      <c r="B302" s="1871" t="s">
        <v>220</v>
      </c>
      <c r="C302" s="1801">
        <v>0</v>
      </c>
      <c r="D302" s="1802"/>
      <c r="E302" s="1803">
        <v>0</v>
      </c>
      <c r="F302" s="1872">
        <f>IF(OR($H$78="no",E302=0),0,E302*IF(OR(B302="FC",B302="FW"),1,POWER((1+'2. TaxData'!$I$65),(C302-'1. AgeData'!$D$30))))</f>
        <v>0</v>
      </c>
      <c r="G302" s="1314"/>
      <c r="H302" s="1873" t="s">
        <v>220</v>
      </c>
      <c r="I302" s="1801">
        <v>0</v>
      </c>
      <c r="J302" s="1802"/>
      <c r="K302" s="1803">
        <v>0</v>
      </c>
      <c r="L302" s="1872">
        <f>IF(OR($H$78="no",K302=0),0,  K302*IF(OR(H302="FC",H302="FW"),1,POWER((1+'2. TaxData'!$I$65),(I302-'1. AgeData'!$D$31))))</f>
        <v>0</v>
      </c>
    </row>
    <row r="303" spans="1:12" ht="15.75" thickTop="1" x14ac:dyDescent="0.25">
      <c r="A303" s="133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</row>
    <row r="304" spans="1:12" ht="15.75" thickBot="1" x14ac:dyDescent="0.3">
      <c r="A304" s="133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</row>
    <row r="305" spans="1:12" ht="19.5" thickBot="1" x14ac:dyDescent="0.35">
      <c r="A305" s="1571" t="s">
        <v>1263</v>
      </c>
      <c r="B305" s="1572"/>
      <c r="C305" s="1573"/>
      <c r="D305" s="1573"/>
      <c r="E305" s="1572"/>
      <c r="F305" s="1572"/>
      <c r="G305" s="1572"/>
      <c r="H305" s="1572"/>
      <c r="I305" s="1572"/>
      <c r="J305" s="1572"/>
      <c r="K305" s="1575"/>
      <c r="L305" s="1577"/>
    </row>
    <row r="306" spans="1:12" ht="15.75" thickBot="1" x14ac:dyDescent="0.3">
      <c r="A306" s="38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1314"/>
    </row>
    <row r="307" spans="1:12" ht="19.5" thickTop="1" x14ac:dyDescent="0.3">
      <c r="A307" s="265" t="s">
        <v>604</v>
      </c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6"/>
    </row>
    <row r="308" spans="1:12" x14ac:dyDescent="0.25">
      <c r="A308" s="139" t="s">
        <v>479</v>
      </c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39"/>
    </row>
    <row r="309" spans="1:12" x14ac:dyDescent="0.25">
      <c r="A309" s="139" t="s">
        <v>114</v>
      </c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39"/>
    </row>
    <row r="310" spans="1:12" x14ac:dyDescent="0.25">
      <c r="A310" s="139" t="s">
        <v>191</v>
      </c>
      <c r="B310" s="6"/>
      <c r="C310" s="6"/>
      <c r="D310" s="1298"/>
      <c r="E310" s="215"/>
      <c r="F310" s="1299"/>
      <c r="G310" s="1295"/>
      <c r="H310" s="1295"/>
      <c r="I310" s="1295"/>
      <c r="J310" s="1295"/>
      <c r="K310" s="33"/>
      <c r="L310" s="553"/>
    </row>
    <row r="311" spans="1:12" ht="15.75" thickBot="1" x14ac:dyDescent="0.3">
      <c r="A311" s="139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39"/>
    </row>
    <row r="312" spans="1:12" ht="19.5" thickBot="1" x14ac:dyDescent="0.35">
      <c r="A312" s="139"/>
      <c r="B312" s="1881" t="str">
        <f>'S. Setup'!$J$61</f>
        <v>yes</v>
      </c>
      <c r="C312" s="1880" t="str">
        <f>IF('S. Setup'!$J$61="no"," - IGNORING irregular Savings (Contributions - Withdrawals) by using $0"," - USING irregular Savings (Contributions - Withdrawals)")</f>
        <v xml:space="preserve"> - USING irregular Savings (Contributions - Withdrawals)</v>
      </c>
      <c r="D312" s="716"/>
      <c r="E312" s="716"/>
      <c r="F312" s="716"/>
      <c r="G312" s="715"/>
      <c r="H312" s="715"/>
      <c r="I312" s="715"/>
      <c r="J312" s="715"/>
      <c r="K312" s="716"/>
      <c r="L312" s="39"/>
    </row>
    <row r="313" spans="1:12" ht="15.75" x14ac:dyDescent="0.25">
      <c r="A313" s="38"/>
      <c r="B313" s="1095" t="s">
        <v>179</v>
      </c>
      <c r="C313" s="1095"/>
      <c r="D313" s="1095"/>
      <c r="E313" s="1095"/>
      <c r="F313" s="1095"/>
      <c r="G313" s="1095"/>
      <c r="H313" s="1095"/>
      <c r="I313" s="1473" t="s">
        <v>1104</v>
      </c>
      <c r="J313" s="6"/>
      <c r="K313" s="6"/>
      <c r="L313" s="39"/>
    </row>
    <row r="314" spans="1:12" ht="15.75" thickBot="1" x14ac:dyDescent="0.3">
      <c r="A314" s="139"/>
      <c r="B314" s="66"/>
      <c r="C314" s="66"/>
      <c r="D314" s="6"/>
      <c r="E314" s="6"/>
      <c r="F314" s="6"/>
      <c r="G314" s="6"/>
      <c r="H314" s="6"/>
      <c r="I314" s="6"/>
      <c r="J314" s="6"/>
      <c r="K314" s="6"/>
      <c r="L314" s="39"/>
    </row>
    <row r="315" spans="1:12" ht="74.25" thickTop="1" thickBot="1" x14ac:dyDescent="0.3">
      <c r="A315" s="313" t="s">
        <v>142</v>
      </c>
      <c r="B315" s="407" t="s">
        <v>143</v>
      </c>
      <c r="C315" s="512" t="s">
        <v>450</v>
      </c>
      <c r="D315" s="512" t="s">
        <v>451</v>
      </c>
      <c r="E315" s="2173" t="s">
        <v>255</v>
      </c>
      <c r="F315" s="2173" t="s">
        <v>256</v>
      </c>
      <c r="G315" s="2168" t="s">
        <v>35</v>
      </c>
      <c r="H315" s="2168" t="s">
        <v>257</v>
      </c>
      <c r="I315" s="2167" t="s">
        <v>36</v>
      </c>
      <c r="J315" s="2167" t="s">
        <v>37</v>
      </c>
      <c r="K315" s="453" t="s">
        <v>38</v>
      </c>
      <c r="L315" s="670" t="s">
        <v>39</v>
      </c>
    </row>
    <row r="316" spans="1:12" ht="15.75" thickTop="1" x14ac:dyDescent="0.25">
      <c r="A316" s="61">
        <f>'1. AgeData'!$D$30</f>
        <v>60</v>
      </c>
      <c r="B316" s="31">
        <f>'1. AgeData'!$D$31</f>
        <v>55</v>
      </c>
      <c r="C316" s="917">
        <f t="shared" ref="C316:C352" si="2">IF($B$312="no",0,SUMIF($B$411:$B$513,("="&amp;A316),$C$411:$C$513))</f>
        <v>1400</v>
      </c>
      <c r="D316" s="918">
        <f t="shared" ref="D316:D352" si="3">IF($B$312="no",0,SUMIF($F$411:$F$513,("="&amp;B316),$G$411:$G$513))</f>
        <v>0</v>
      </c>
      <c r="E316" s="917">
        <f t="shared" ref="E316:E352" si="4">IF($B$312="no",0,SUMIF($D$411:$D$513,("="&amp;A316),$E$411:$E$513))</f>
        <v>10500</v>
      </c>
      <c r="F316" s="1130">
        <f t="shared" ref="F316:F352" si="5">IF($B$312="no",0,SUMIF($H$411:$H$513,("="&amp;B316),$I$411:$I$513))</f>
        <v>1500</v>
      </c>
      <c r="G316" s="909">
        <f>C316-E316</f>
        <v>-9100</v>
      </c>
      <c r="H316" s="906">
        <f>D316-F316</f>
        <v>-1500</v>
      </c>
      <c r="I316" s="909">
        <f>G364</f>
        <v>1000</v>
      </c>
      <c r="J316" s="911">
        <f>H364</f>
        <v>0</v>
      </c>
      <c r="K316" s="906">
        <f t="shared" ref="K316:K350" si="6">G316+I316</f>
        <v>-8100</v>
      </c>
      <c r="L316" s="912">
        <f t="shared" ref="L316:L350" si="7">H316+J316</f>
        <v>-1500</v>
      </c>
    </row>
    <row r="317" spans="1:12" x14ac:dyDescent="0.25">
      <c r="A317" s="61">
        <f>A316+1</f>
        <v>61</v>
      </c>
      <c r="B317" s="31">
        <f>B316+1</f>
        <v>56</v>
      </c>
      <c r="C317" s="917">
        <f t="shared" si="2"/>
        <v>0</v>
      </c>
      <c r="D317" s="918">
        <f t="shared" si="3"/>
        <v>0</v>
      </c>
      <c r="E317" s="917">
        <f t="shared" si="4"/>
        <v>22618.68</v>
      </c>
      <c r="F317" s="1130">
        <f t="shared" si="5"/>
        <v>17340</v>
      </c>
      <c r="G317" s="909">
        <f>C317-E317</f>
        <v>-22618.68</v>
      </c>
      <c r="H317" s="906">
        <f>D317-F317</f>
        <v>-17340</v>
      </c>
      <c r="I317" s="909">
        <f t="shared" ref="I317:I350" si="8">G365</f>
        <v>1010</v>
      </c>
      <c r="J317" s="911">
        <f t="shared" ref="J317:J350" si="9">H365</f>
        <v>0</v>
      </c>
      <c r="K317" s="906">
        <f t="shared" si="6"/>
        <v>-21608.68</v>
      </c>
      <c r="L317" s="912">
        <f t="shared" si="7"/>
        <v>-17340</v>
      </c>
    </row>
    <row r="318" spans="1:12" x14ac:dyDescent="0.25">
      <c r="A318" s="61">
        <f t="shared" ref="A318:B333" si="10">A317+1</f>
        <v>62</v>
      </c>
      <c r="B318" s="297">
        <f t="shared" si="10"/>
        <v>57</v>
      </c>
      <c r="C318" s="917">
        <f t="shared" si="2"/>
        <v>1000</v>
      </c>
      <c r="D318" s="918">
        <f t="shared" si="3"/>
        <v>1040.4000000000001</v>
      </c>
      <c r="E318" s="917">
        <f t="shared" si="4"/>
        <v>20686.8</v>
      </c>
      <c r="F318" s="1130">
        <f t="shared" si="5"/>
        <v>17686.8</v>
      </c>
      <c r="G318" s="909">
        <f t="shared" ref="G318:G352" si="11">C318-E318</f>
        <v>-19686.8</v>
      </c>
      <c r="H318" s="906">
        <f t="shared" ref="H318:H352" si="12">D318-F318</f>
        <v>-16646.399999999998</v>
      </c>
      <c r="I318" s="909">
        <f t="shared" si="8"/>
        <v>1020.1</v>
      </c>
      <c r="J318" s="911">
        <f t="shared" si="9"/>
        <v>0</v>
      </c>
      <c r="K318" s="906">
        <f t="shared" si="6"/>
        <v>-18666.7</v>
      </c>
      <c r="L318" s="912">
        <f t="shared" si="7"/>
        <v>-16646.399999999998</v>
      </c>
    </row>
    <row r="319" spans="1:12" x14ac:dyDescent="0.25">
      <c r="A319" s="685">
        <f t="shared" si="10"/>
        <v>63</v>
      </c>
      <c r="B319" s="31">
        <f t="shared" si="10"/>
        <v>58</v>
      </c>
      <c r="C319" s="917">
        <f t="shared" si="2"/>
        <v>0</v>
      </c>
      <c r="D319" s="918">
        <f t="shared" si="3"/>
        <v>0</v>
      </c>
      <c r="E319" s="917">
        <f t="shared" si="4"/>
        <v>39081.072</v>
      </c>
      <c r="F319" s="1130">
        <f t="shared" si="5"/>
        <v>36081.072</v>
      </c>
      <c r="G319" s="909">
        <f t="shared" si="11"/>
        <v>-39081.072</v>
      </c>
      <c r="H319" s="906">
        <f t="shared" si="12"/>
        <v>-36081.072</v>
      </c>
      <c r="I319" s="909">
        <f t="shared" si="8"/>
        <v>1030.3009999999999</v>
      </c>
      <c r="J319" s="911">
        <f t="shared" si="9"/>
        <v>1200</v>
      </c>
      <c r="K319" s="906">
        <f t="shared" si="6"/>
        <v>-38050.771000000001</v>
      </c>
      <c r="L319" s="912">
        <f t="shared" si="7"/>
        <v>-34881.072</v>
      </c>
    </row>
    <row r="320" spans="1:12" x14ac:dyDescent="0.25">
      <c r="A320" s="61">
        <f t="shared" si="10"/>
        <v>64</v>
      </c>
      <c r="B320" s="31">
        <f t="shared" si="10"/>
        <v>59</v>
      </c>
      <c r="C320" s="917">
        <f t="shared" si="2"/>
        <v>0</v>
      </c>
      <c r="D320" s="918">
        <f t="shared" si="3"/>
        <v>0</v>
      </c>
      <c r="E320" s="917">
        <f t="shared" si="4"/>
        <v>39802.693440000003</v>
      </c>
      <c r="F320" s="1130">
        <f t="shared" si="5"/>
        <v>36802.693440000003</v>
      </c>
      <c r="G320" s="909">
        <f t="shared" si="11"/>
        <v>-39802.693440000003</v>
      </c>
      <c r="H320" s="906">
        <f t="shared" si="12"/>
        <v>-36802.693440000003</v>
      </c>
      <c r="I320" s="909">
        <f t="shared" si="8"/>
        <v>0</v>
      </c>
      <c r="J320" s="911">
        <f t="shared" si="9"/>
        <v>1200</v>
      </c>
      <c r="K320" s="906">
        <f t="shared" si="6"/>
        <v>-39802.693440000003</v>
      </c>
      <c r="L320" s="912">
        <f t="shared" si="7"/>
        <v>-35602.693440000003</v>
      </c>
    </row>
    <row r="321" spans="1:12" x14ac:dyDescent="0.25">
      <c r="A321" s="61">
        <f t="shared" si="10"/>
        <v>65</v>
      </c>
      <c r="B321" s="31">
        <f t="shared" si="10"/>
        <v>60</v>
      </c>
      <c r="C321" s="917">
        <f t="shared" si="2"/>
        <v>1000</v>
      </c>
      <c r="D321" s="918">
        <f t="shared" si="3"/>
        <v>1500</v>
      </c>
      <c r="E321" s="917">
        <f t="shared" si="4"/>
        <v>21769.373654399998</v>
      </c>
      <c r="F321" s="1130">
        <f t="shared" si="5"/>
        <v>18769.373654399998</v>
      </c>
      <c r="G321" s="909">
        <f t="shared" si="11"/>
        <v>-20769.373654399998</v>
      </c>
      <c r="H321" s="906">
        <f t="shared" si="12"/>
        <v>-17269.373654399998</v>
      </c>
      <c r="I321" s="909">
        <f t="shared" si="8"/>
        <v>0</v>
      </c>
      <c r="J321" s="1244">
        <f t="shared" ref="J321:J341" si="13">H369</f>
        <v>531.55714725346536</v>
      </c>
      <c r="K321" s="906">
        <f t="shared" si="6"/>
        <v>-20769.373654399998</v>
      </c>
      <c r="L321" s="912">
        <f t="shared" ref="L321:L341" si="14">H321+J321</f>
        <v>-16737.816507146534</v>
      </c>
    </row>
    <row r="322" spans="1:12" x14ac:dyDescent="0.25">
      <c r="A322" s="61">
        <f t="shared" si="10"/>
        <v>66</v>
      </c>
      <c r="B322" s="31">
        <f t="shared" si="10"/>
        <v>61</v>
      </c>
      <c r="C322" s="917">
        <f t="shared" si="2"/>
        <v>0</v>
      </c>
      <c r="D322" s="918">
        <f t="shared" si="3"/>
        <v>0</v>
      </c>
      <c r="E322" s="917">
        <f t="shared" si="4"/>
        <v>26649.410804544001</v>
      </c>
      <c r="F322" s="1130">
        <f t="shared" si="5"/>
        <v>21960.167175647999</v>
      </c>
      <c r="G322" s="909">
        <f t="shared" si="11"/>
        <v>-26649.410804544001</v>
      </c>
      <c r="H322" s="906">
        <f t="shared" si="12"/>
        <v>-21960.167175647999</v>
      </c>
      <c r="I322" s="909">
        <f t="shared" si="8"/>
        <v>0</v>
      </c>
      <c r="J322" s="911">
        <f t="shared" si="13"/>
        <v>595.06740129800176</v>
      </c>
      <c r="K322" s="906">
        <f t="shared" si="6"/>
        <v>-26649.410804544001</v>
      </c>
      <c r="L322" s="912">
        <f t="shared" si="14"/>
        <v>-21365.099774349997</v>
      </c>
    </row>
    <row r="323" spans="1:12" x14ac:dyDescent="0.25">
      <c r="A323" s="686">
        <f t="shared" si="10"/>
        <v>67</v>
      </c>
      <c r="B323" s="684">
        <f t="shared" si="10"/>
        <v>62</v>
      </c>
      <c r="C323" s="1570">
        <f t="shared" si="2"/>
        <v>0</v>
      </c>
      <c r="D323" s="1130">
        <f t="shared" si="3"/>
        <v>0</v>
      </c>
      <c r="E323" s="1570">
        <f t="shared" si="4"/>
        <v>10006.982572660607</v>
      </c>
      <c r="F323" s="1130">
        <f t="shared" si="5"/>
        <v>0</v>
      </c>
      <c r="G323" s="1242">
        <f t="shared" si="11"/>
        <v>-10006.982572660607</v>
      </c>
      <c r="H323" s="1243">
        <f t="shared" si="12"/>
        <v>0</v>
      </c>
      <c r="I323" s="1242">
        <f t="shared" ref="I323:I336" si="15">G371</f>
        <v>-1278.2751420785116</v>
      </c>
      <c r="J323" s="1244">
        <f t="shared" si="13"/>
        <v>520.60166914065121</v>
      </c>
      <c r="K323" s="1243">
        <f t="shared" ref="K323:K336" si="16">G323+I323</f>
        <v>-11285.257714739118</v>
      </c>
      <c r="L323" s="912">
        <f t="shared" si="14"/>
        <v>520.60166914065121</v>
      </c>
    </row>
    <row r="324" spans="1:12" x14ac:dyDescent="0.25">
      <c r="A324" s="61">
        <f t="shared" si="10"/>
        <v>68</v>
      </c>
      <c r="B324" s="31">
        <f t="shared" si="10"/>
        <v>63</v>
      </c>
      <c r="C324" s="917">
        <f t="shared" si="2"/>
        <v>0</v>
      </c>
      <c r="D324" s="918">
        <f t="shared" si="3"/>
        <v>0</v>
      </c>
      <c r="E324" s="917">
        <f t="shared" si="4"/>
        <v>6514.978143006796</v>
      </c>
      <c r="F324" s="1130">
        <f t="shared" si="5"/>
        <v>0</v>
      </c>
      <c r="G324" s="909">
        <f t="shared" si="11"/>
        <v>-6514.978143006796</v>
      </c>
      <c r="H324" s="906">
        <f t="shared" si="12"/>
        <v>0</v>
      </c>
      <c r="I324" s="909">
        <f t="shared" si="15"/>
        <v>-1662.453636317477</v>
      </c>
      <c r="J324" s="911">
        <f t="shared" si="13"/>
        <v>469.04403021282269</v>
      </c>
      <c r="K324" s="906">
        <f t="shared" si="16"/>
        <v>-8177.4317793242735</v>
      </c>
      <c r="L324" s="912">
        <f t="shared" si="14"/>
        <v>469.04403021282269</v>
      </c>
    </row>
    <row r="325" spans="1:12" x14ac:dyDescent="0.25">
      <c r="A325" s="61">
        <f t="shared" si="10"/>
        <v>69</v>
      </c>
      <c r="B325" s="31">
        <f t="shared" si="10"/>
        <v>64</v>
      </c>
      <c r="C325" s="917">
        <f t="shared" si="2"/>
        <v>0</v>
      </c>
      <c r="D325" s="918">
        <f t="shared" si="3"/>
        <v>1500</v>
      </c>
      <c r="E325" s="917">
        <f t="shared" si="4"/>
        <v>3000</v>
      </c>
      <c r="F325" s="1130">
        <f t="shared" si="5"/>
        <v>7170.5554117338652</v>
      </c>
      <c r="G325" s="909">
        <f t="shared" si="11"/>
        <v>-3000</v>
      </c>
      <c r="H325" s="906">
        <f t="shared" si="12"/>
        <v>-5670.5554117338652</v>
      </c>
      <c r="I325" s="909">
        <f t="shared" si="15"/>
        <v>-1850.448407742502</v>
      </c>
      <c r="J325" s="911">
        <f t="shared" si="13"/>
        <v>275.37574613417291</v>
      </c>
      <c r="K325" s="906">
        <f t="shared" si="16"/>
        <v>-4850.4484077425022</v>
      </c>
      <c r="L325" s="912">
        <f t="shared" si="14"/>
        <v>-5395.1796655996923</v>
      </c>
    </row>
    <row r="326" spans="1:12" x14ac:dyDescent="0.25">
      <c r="A326" s="686">
        <f t="shared" si="10"/>
        <v>70</v>
      </c>
      <c r="B326" s="297">
        <f t="shared" si="10"/>
        <v>65</v>
      </c>
      <c r="C326" s="917">
        <f t="shared" si="2"/>
        <v>0</v>
      </c>
      <c r="D326" s="918">
        <f t="shared" si="3"/>
        <v>0</v>
      </c>
      <c r="E326" s="917">
        <f t="shared" si="4"/>
        <v>13970.949779952814</v>
      </c>
      <c r="F326" s="1130">
        <f t="shared" si="5"/>
        <v>6094.9720999737856</v>
      </c>
      <c r="G326" s="909">
        <f t="shared" si="11"/>
        <v>-13970.949779952814</v>
      </c>
      <c r="H326" s="906">
        <f t="shared" si="12"/>
        <v>-6094.9720999737856</v>
      </c>
      <c r="I326" s="909">
        <f t="shared" si="15"/>
        <v>-2259.8081113839116</v>
      </c>
      <c r="J326" s="911">
        <f t="shared" si="13"/>
        <v>191.46673309401228</v>
      </c>
      <c r="K326" s="906">
        <f t="shared" si="16"/>
        <v>-16230.757891336725</v>
      </c>
      <c r="L326" s="912">
        <f t="shared" si="14"/>
        <v>-5903.5053668797736</v>
      </c>
    </row>
    <row r="327" spans="1:12" x14ac:dyDescent="0.25">
      <c r="A327" s="61">
        <f t="shared" si="10"/>
        <v>71</v>
      </c>
      <c r="B327" s="31">
        <f t="shared" si="10"/>
        <v>66</v>
      </c>
      <c r="C327" s="917">
        <f t="shared" si="2"/>
        <v>0</v>
      </c>
      <c r="D327" s="918">
        <f t="shared" si="3"/>
        <v>0</v>
      </c>
      <c r="E327" s="917">
        <f t="shared" si="4"/>
        <v>45274.72648541817</v>
      </c>
      <c r="F327" s="1130">
        <f t="shared" si="5"/>
        <v>4973.4972335786078</v>
      </c>
      <c r="G327" s="909">
        <f t="shared" si="11"/>
        <v>-45274.72648541817</v>
      </c>
      <c r="H327" s="906">
        <f t="shared" si="12"/>
        <v>-4973.4972335786078</v>
      </c>
      <c r="I327" s="909">
        <f t="shared" si="15"/>
        <v>-2838.5791106699558</v>
      </c>
      <c r="J327" s="911">
        <f t="shared" si="13"/>
        <v>97.969947217224671</v>
      </c>
      <c r="K327" s="906">
        <f t="shared" si="16"/>
        <v>-48113.305596088125</v>
      </c>
      <c r="L327" s="912">
        <f t="shared" si="14"/>
        <v>-4875.5272863613827</v>
      </c>
    </row>
    <row r="328" spans="1:12" x14ac:dyDescent="0.25">
      <c r="A328" s="686">
        <f t="shared" si="10"/>
        <v>72</v>
      </c>
      <c r="B328" s="684">
        <f t="shared" si="10"/>
        <v>67</v>
      </c>
      <c r="C328" s="917">
        <f t="shared" si="2"/>
        <v>0</v>
      </c>
      <c r="D328" s="918">
        <f t="shared" si="3"/>
        <v>0</v>
      </c>
      <c r="E328" s="917">
        <f t="shared" si="4"/>
        <v>15682.417945625453</v>
      </c>
      <c r="F328" s="1130">
        <f t="shared" si="5"/>
        <v>6341.2089728127266</v>
      </c>
      <c r="G328" s="909">
        <f t="shared" si="11"/>
        <v>-15682.417945625453</v>
      </c>
      <c r="H328" s="906">
        <f t="shared" si="12"/>
        <v>-6341.2089728127266</v>
      </c>
      <c r="I328" s="909">
        <f t="shared" si="15"/>
        <v>-3483.0267272611986</v>
      </c>
      <c r="J328" s="911">
        <f t="shared" si="13"/>
        <v>-86.476253008102731</v>
      </c>
      <c r="K328" s="906">
        <f t="shared" si="16"/>
        <v>-19165.444672886653</v>
      </c>
      <c r="L328" s="912">
        <f t="shared" si="14"/>
        <v>-6427.6852258208291</v>
      </c>
    </row>
    <row r="329" spans="1:12" x14ac:dyDescent="0.25">
      <c r="A329" s="61">
        <f t="shared" si="10"/>
        <v>73</v>
      </c>
      <c r="B329" s="31">
        <f t="shared" si="10"/>
        <v>68</v>
      </c>
      <c r="C329" s="917">
        <f t="shared" si="2"/>
        <v>0</v>
      </c>
      <c r="D329" s="918">
        <f t="shared" si="3"/>
        <v>0</v>
      </c>
      <c r="E329" s="917">
        <f t="shared" si="4"/>
        <v>3000</v>
      </c>
      <c r="F329" s="1130">
        <f t="shared" si="5"/>
        <v>0</v>
      </c>
      <c r="G329" s="909">
        <f t="shared" si="11"/>
        <v>-3000</v>
      </c>
      <c r="H329" s="906">
        <f t="shared" si="12"/>
        <v>0</v>
      </c>
      <c r="I329" s="909">
        <f t="shared" si="15"/>
        <v>-3815.8676848759997</v>
      </c>
      <c r="J329" s="911">
        <f t="shared" si="13"/>
        <v>-413.77573768704133</v>
      </c>
      <c r="K329" s="906">
        <f t="shared" si="16"/>
        <v>-6815.8676848759997</v>
      </c>
      <c r="L329" s="912">
        <f t="shared" si="14"/>
        <v>-413.77573768704133</v>
      </c>
    </row>
    <row r="330" spans="1:12" x14ac:dyDescent="0.25">
      <c r="A330" s="61">
        <f t="shared" si="10"/>
        <v>74</v>
      </c>
      <c r="B330" s="31">
        <f t="shared" si="10"/>
        <v>69</v>
      </c>
      <c r="C330" s="917">
        <f t="shared" si="2"/>
        <v>0</v>
      </c>
      <c r="D330" s="918">
        <f t="shared" si="3"/>
        <v>0</v>
      </c>
      <c r="E330" s="917">
        <f t="shared" si="4"/>
        <v>3000</v>
      </c>
      <c r="F330" s="1130">
        <f t="shared" si="5"/>
        <v>0</v>
      </c>
      <c r="G330" s="909">
        <f t="shared" si="11"/>
        <v>-3000</v>
      </c>
      <c r="H330" s="906">
        <f t="shared" si="12"/>
        <v>0</v>
      </c>
      <c r="I330" s="909">
        <f t="shared" si="15"/>
        <v>-4161.3560905112163</v>
      </c>
      <c r="J330" s="911">
        <f t="shared" si="13"/>
        <v>-1955.622740355707</v>
      </c>
      <c r="K330" s="906">
        <f t="shared" si="16"/>
        <v>-7161.3560905112163</v>
      </c>
      <c r="L330" s="912">
        <f t="shared" si="14"/>
        <v>-1955.622740355707</v>
      </c>
    </row>
    <row r="331" spans="1:12" x14ac:dyDescent="0.25">
      <c r="A331" s="61">
        <f t="shared" si="10"/>
        <v>75</v>
      </c>
      <c r="B331" s="31">
        <f t="shared" si="10"/>
        <v>70</v>
      </c>
      <c r="C331" s="917">
        <f t="shared" si="2"/>
        <v>0</v>
      </c>
      <c r="D331" s="918">
        <f t="shared" si="3"/>
        <v>0</v>
      </c>
      <c r="E331" s="917">
        <f t="shared" si="4"/>
        <v>13766.946706593033</v>
      </c>
      <c r="F331" s="1130">
        <f t="shared" si="5"/>
        <v>8748.1441991068405</v>
      </c>
      <c r="G331" s="909">
        <f t="shared" si="11"/>
        <v>-13766.946706593033</v>
      </c>
      <c r="H331" s="906">
        <f t="shared" si="12"/>
        <v>-8748.1441991068405</v>
      </c>
      <c r="I331" s="909">
        <f t="shared" si="15"/>
        <v>-4514.9097710573924</v>
      </c>
      <c r="J331" s="911">
        <f t="shared" si="13"/>
        <v>-2295.5442238172291</v>
      </c>
      <c r="K331" s="906">
        <f t="shared" si="16"/>
        <v>-18281.856477650424</v>
      </c>
      <c r="L331" s="912">
        <f t="shared" si="14"/>
        <v>-11043.68842292407</v>
      </c>
    </row>
    <row r="332" spans="1:12" x14ac:dyDescent="0.25">
      <c r="A332" s="61">
        <f t="shared" si="10"/>
        <v>76</v>
      </c>
      <c r="B332" s="31">
        <f t="shared" si="10"/>
        <v>71</v>
      </c>
      <c r="C332" s="917">
        <f t="shared" si="2"/>
        <v>0</v>
      </c>
      <c r="D332" s="918">
        <f t="shared" si="3"/>
        <v>0</v>
      </c>
      <c r="E332" s="917">
        <f t="shared" si="4"/>
        <v>0</v>
      </c>
      <c r="F332" s="1130">
        <f t="shared" si="5"/>
        <v>0</v>
      </c>
      <c r="G332" s="909">
        <f t="shared" si="11"/>
        <v>0</v>
      </c>
      <c r="H332" s="906">
        <f t="shared" si="12"/>
        <v>0</v>
      </c>
      <c r="I332" s="909">
        <f t="shared" si="15"/>
        <v>-3900.2526203075686</v>
      </c>
      <c r="J332" s="911">
        <f t="shared" si="13"/>
        <v>-1669.1376346170464</v>
      </c>
      <c r="K332" s="906">
        <f t="shared" si="16"/>
        <v>-3900.2526203075686</v>
      </c>
      <c r="L332" s="912">
        <f t="shared" si="14"/>
        <v>-1669.1376346170464</v>
      </c>
    </row>
    <row r="333" spans="1:12" x14ac:dyDescent="0.25">
      <c r="A333" s="61">
        <f t="shared" si="10"/>
        <v>77</v>
      </c>
      <c r="B333" s="31">
        <f t="shared" si="10"/>
        <v>72</v>
      </c>
      <c r="C333" s="917">
        <f t="shared" si="2"/>
        <v>0</v>
      </c>
      <c r="D333" s="918">
        <f t="shared" si="3"/>
        <v>0</v>
      </c>
      <c r="E333" s="917">
        <f t="shared" si="4"/>
        <v>0</v>
      </c>
      <c r="F333" s="1130">
        <f t="shared" si="5"/>
        <v>0</v>
      </c>
      <c r="G333" s="909">
        <f t="shared" si="11"/>
        <v>0</v>
      </c>
      <c r="H333" s="906">
        <f t="shared" si="12"/>
        <v>0</v>
      </c>
      <c r="I333" s="909">
        <f t="shared" si="15"/>
        <v>-4210.7356262092089</v>
      </c>
      <c r="J333" s="911">
        <f t="shared" si="13"/>
        <v>-1866.2363529343072</v>
      </c>
      <c r="K333" s="906">
        <f t="shared" si="16"/>
        <v>-4210.7356262092089</v>
      </c>
      <c r="L333" s="912">
        <f t="shared" si="14"/>
        <v>-1866.2363529343072</v>
      </c>
    </row>
    <row r="334" spans="1:12" x14ac:dyDescent="0.25">
      <c r="A334" s="61">
        <f t="shared" ref="A334:B349" si="17">A333+1</f>
        <v>78</v>
      </c>
      <c r="B334" s="31">
        <f t="shared" si="17"/>
        <v>73</v>
      </c>
      <c r="C334" s="917">
        <f t="shared" si="2"/>
        <v>0</v>
      </c>
      <c r="D334" s="918">
        <f t="shared" si="3"/>
        <v>0</v>
      </c>
      <c r="E334" s="917">
        <f t="shared" si="4"/>
        <v>0</v>
      </c>
      <c r="F334" s="1130">
        <f t="shared" si="5"/>
        <v>0</v>
      </c>
      <c r="G334" s="909">
        <f t="shared" si="11"/>
        <v>0</v>
      </c>
      <c r="H334" s="906">
        <f t="shared" si="12"/>
        <v>0</v>
      </c>
      <c r="I334" s="909">
        <f t="shared" si="15"/>
        <v>-4552.3445193910247</v>
      </c>
      <c r="J334" s="911">
        <f t="shared" si="13"/>
        <v>-2082.9399566689144</v>
      </c>
      <c r="K334" s="906">
        <f t="shared" si="16"/>
        <v>-4552.3445193910247</v>
      </c>
      <c r="L334" s="912">
        <f t="shared" si="14"/>
        <v>-2082.9399566689144</v>
      </c>
    </row>
    <row r="335" spans="1:12" x14ac:dyDescent="0.25">
      <c r="A335" s="61">
        <f t="shared" si="17"/>
        <v>79</v>
      </c>
      <c r="B335" s="31">
        <f t="shared" si="17"/>
        <v>74</v>
      </c>
      <c r="C335" s="917">
        <f t="shared" si="2"/>
        <v>0</v>
      </c>
      <c r="D335" s="918">
        <f t="shared" si="3"/>
        <v>0</v>
      </c>
      <c r="E335" s="917">
        <f t="shared" si="4"/>
        <v>0</v>
      </c>
      <c r="F335" s="1130">
        <f t="shared" si="5"/>
        <v>43704.335175833941</v>
      </c>
      <c r="G335" s="909">
        <f t="shared" si="11"/>
        <v>0</v>
      </c>
      <c r="H335" s="906">
        <f t="shared" si="12"/>
        <v>-43704.335175833941</v>
      </c>
      <c r="I335" s="909">
        <f t="shared" si="15"/>
        <v>-4905.5841931410878</v>
      </c>
      <c r="J335" s="911">
        <f t="shared" si="13"/>
        <v>-2308.3500111124717</v>
      </c>
      <c r="K335" s="906">
        <f t="shared" si="16"/>
        <v>-4905.5841931410878</v>
      </c>
      <c r="L335" s="912">
        <f t="shared" si="14"/>
        <v>-46012.685186946415</v>
      </c>
    </row>
    <row r="336" spans="1:12" x14ac:dyDescent="0.25">
      <c r="A336" s="61">
        <f t="shared" si="17"/>
        <v>80</v>
      </c>
      <c r="B336" s="31">
        <f t="shared" si="17"/>
        <v>75</v>
      </c>
      <c r="C336" s="917">
        <f t="shared" si="2"/>
        <v>0</v>
      </c>
      <c r="D336" s="918">
        <f t="shared" si="3"/>
        <v>0</v>
      </c>
      <c r="E336" s="917">
        <f t="shared" si="4"/>
        <v>0</v>
      </c>
      <c r="F336" s="1130">
        <f t="shared" si="5"/>
        <v>0</v>
      </c>
      <c r="G336" s="909">
        <f t="shared" si="11"/>
        <v>0</v>
      </c>
      <c r="H336" s="906">
        <f t="shared" si="12"/>
        <v>0</v>
      </c>
      <c r="I336" s="909">
        <f t="shared" si="15"/>
        <v>-5212.6108970169953</v>
      </c>
      <c r="J336" s="911">
        <f t="shared" si="13"/>
        <v>-2466.0729505220261</v>
      </c>
      <c r="K336" s="906">
        <f t="shared" si="16"/>
        <v>-5212.6108970169953</v>
      </c>
      <c r="L336" s="912">
        <f t="shared" si="14"/>
        <v>-2466.0729505220261</v>
      </c>
    </row>
    <row r="337" spans="1:12" x14ac:dyDescent="0.25">
      <c r="A337" s="61">
        <f t="shared" si="17"/>
        <v>81</v>
      </c>
      <c r="B337" s="31">
        <f t="shared" si="17"/>
        <v>76</v>
      </c>
      <c r="C337" s="917">
        <f t="shared" si="2"/>
        <v>0</v>
      </c>
      <c r="D337" s="918">
        <f t="shared" si="3"/>
        <v>0</v>
      </c>
      <c r="E337" s="917">
        <f t="shared" si="4"/>
        <v>0</v>
      </c>
      <c r="F337" s="1130">
        <f t="shared" si="5"/>
        <v>0</v>
      </c>
      <c r="G337" s="909">
        <f t="shared" si="11"/>
        <v>0</v>
      </c>
      <c r="H337" s="906">
        <f t="shared" si="12"/>
        <v>0</v>
      </c>
      <c r="I337" s="909">
        <f t="shared" si="8"/>
        <v>-5529.2896399179945</v>
      </c>
      <c r="J337" s="911">
        <f t="shared" si="13"/>
        <v>-2648.9631901995831</v>
      </c>
      <c r="K337" s="906">
        <f t="shared" si="6"/>
        <v>-5529.2896399179945</v>
      </c>
      <c r="L337" s="912">
        <f t="shared" si="14"/>
        <v>-2648.9631901995831</v>
      </c>
    </row>
    <row r="338" spans="1:12" x14ac:dyDescent="0.25">
      <c r="A338" s="61">
        <f t="shared" si="17"/>
        <v>82</v>
      </c>
      <c r="B338" s="31">
        <f t="shared" si="17"/>
        <v>77</v>
      </c>
      <c r="C338" s="917">
        <f t="shared" si="2"/>
        <v>0</v>
      </c>
      <c r="D338" s="918">
        <f t="shared" si="3"/>
        <v>0</v>
      </c>
      <c r="E338" s="917">
        <f t="shared" si="4"/>
        <v>0</v>
      </c>
      <c r="F338" s="1130">
        <f t="shared" si="5"/>
        <v>0</v>
      </c>
      <c r="G338" s="909">
        <f t="shared" si="11"/>
        <v>0</v>
      </c>
      <c r="H338" s="906">
        <f t="shared" si="12"/>
        <v>0</v>
      </c>
      <c r="I338" s="909">
        <f t="shared" si="8"/>
        <v>-5855.8576690854934</v>
      </c>
      <c r="J338" s="911">
        <f t="shared" si="13"/>
        <v>-2825.1347226781636</v>
      </c>
      <c r="K338" s="906">
        <f t="shared" si="6"/>
        <v>-5855.8576690854934</v>
      </c>
      <c r="L338" s="912">
        <f t="shared" si="14"/>
        <v>-2825.1347226781636</v>
      </c>
    </row>
    <row r="339" spans="1:12" x14ac:dyDescent="0.25">
      <c r="A339" s="61">
        <f t="shared" si="17"/>
        <v>83</v>
      </c>
      <c r="B339" s="31">
        <f t="shared" si="17"/>
        <v>78</v>
      </c>
      <c r="C339" s="917">
        <f t="shared" si="2"/>
        <v>0</v>
      </c>
      <c r="D339" s="918">
        <f t="shared" si="3"/>
        <v>0</v>
      </c>
      <c r="E339" s="917">
        <f t="shared" si="4"/>
        <v>0</v>
      </c>
      <c r="F339" s="1130">
        <f t="shared" si="5"/>
        <v>0</v>
      </c>
      <c r="G339" s="909">
        <f t="shared" si="11"/>
        <v>0</v>
      </c>
      <c r="H339" s="906">
        <f t="shared" si="12"/>
        <v>0</v>
      </c>
      <c r="I339" s="909">
        <f t="shared" si="8"/>
        <v>-6192.6437691652955</v>
      </c>
      <c r="J339" s="911">
        <f t="shared" si="13"/>
        <v>-3007.3946596823585</v>
      </c>
      <c r="K339" s="906">
        <f t="shared" si="6"/>
        <v>-6192.6437691652955</v>
      </c>
      <c r="L339" s="912">
        <f t="shared" si="14"/>
        <v>-3007.3946596823585</v>
      </c>
    </row>
    <row r="340" spans="1:12" x14ac:dyDescent="0.25">
      <c r="A340" s="61">
        <f t="shared" si="17"/>
        <v>84</v>
      </c>
      <c r="B340" s="31">
        <f t="shared" si="17"/>
        <v>79</v>
      </c>
      <c r="C340" s="917">
        <f t="shared" si="2"/>
        <v>0</v>
      </c>
      <c r="D340" s="918">
        <f t="shared" si="3"/>
        <v>0</v>
      </c>
      <c r="E340" s="917">
        <f t="shared" si="4"/>
        <v>0</v>
      </c>
      <c r="F340" s="1130">
        <f t="shared" si="5"/>
        <v>0</v>
      </c>
      <c r="G340" s="909">
        <f t="shared" si="11"/>
        <v>0</v>
      </c>
      <c r="H340" s="906">
        <f t="shared" si="12"/>
        <v>0</v>
      </c>
      <c r="I340" s="909">
        <f t="shared" si="8"/>
        <v>-6539.9543712757923</v>
      </c>
      <c r="J340" s="911">
        <f t="shared" si="13"/>
        <v>-3196.2224763419003</v>
      </c>
      <c r="K340" s="906">
        <f t="shared" si="6"/>
        <v>-6539.9543712757923</v>
      </c>
      <c r="L340" s="912">
        <f t="shared" si="14"/>
        <v>-3196.2224763419003</v>
      </c>
    </row>
    <row r="341" spans="1:12" x14ac:dyDescent="0.25">
      <c r="A341" s="686">
        <f t="shared" si="17"/>
        <v>85</v>
      </c>
      <c r="B341" s="684">
        <f t="shared" si="17"/>
        <v>80</v>
      </c>
      <c r="C341" s="917">
        <f t="shared" si="2"/>
        <v>0</v>
      </c>
      <c r="D341" s="918">
        <f t="shared" si="3"/>
        <v>0</v>
      </c>
      <c r="E341" s="917">
        <f t="shared" si="4"/>
        <v>0</v>
      </c>
      <c r="F341" s="1130">
        <f t="shared" si="5"/>
        <v>0</v>
      </c>
      <c r="G341" s="909">
        <f t="shared" si="11"/>
        <v>0</v>
      </c>
      <c r="H341" s="906">
        <f t="shared" si="12"/>
        <v>0</v>
      </c>
      <c r="I341" s="909">
        <f t="shared" si="8"/>
        <v>-6898.1058121480955</v>
      </c>
      <c r="J341" s="911">
        <f t="shared" si="13"/>
        <v>-3391.5607930807446</v>
      </c>
      <c r="K341" s="906">
        <f t="shared" si="6"/>
        <v>-6898.1058121480955</v>
      </c>
      <c r="L341" s="912">
        <f t="shared" si="14"/>
        <v>-3391.5607930807446</v>
      </c>
    </row>
    <row r="342" spans="1:12" x14ac:dyDescent="0.25">
      <c r="A342" s="61">
        <f t="shared" si="17"/>
        <v>86</v>
      </c>
      <c r="B342" s="31">
        <f t="shared" si="17"/>
        <v>81</v>
      </c>
      <c r="C342" s="917">
        <f t="shared" si="2"/>
        <v>0</v>
      </c>
      <c r="D342" s="918">
        <f t="shared" si="3"/>
        <v>0</v>
      </c>
      <c r="E342" s="917">
        <f t="shared" si="4"/>
        <v>0</v>
      </c>
      <c r="F342" s="1130">
        <f t="shared" si="5"/>
        <v>0</v>
      </c>
      <c r="G342" s="909">
        <f t="shared" si="11"/>
        <v>0</v>
      </c>
      <c r="H342" s="906">
        <f t="shared" si="12"/>
        <v>0</v>
      </c>
      <c r="I342" s="909">
        <f t="shared" si="8"/>
        <v>0</v>
      </c>
      <c r="J342" s="911">
        <f t="shared" si="9"/>
        <v>-5181.6445149407891</v>
      </c>
      <c r="K342" s="906">
        <f t="shared" si="6"/>
        <v>0</v>
      </c>
      <c r="L342" s="912">
        <f t="shared" si="7"/>
        <v>-5181.6445149407891</v>
      </c>
    </row>
    <row r="343" spans="1:12" x14ac:dyDescent="0.25">
      <c r="A343" s="61">
        <f t="shared" si="17"/>
        <v>87</v>
      </c>
      <c r="B343" s="31">
        <f t="shared" si="17"/>
        <v>82</v>
      </c>
      <c r="C343" s="917">
        <f t="shared" si="2"/>
        <v>0</v>
      </c>
      <c r="D343" s="918">
        <f t="shared" si="3"/>
        <v>0</v>
      </c>
      <c r="E343" s="917">
        <f t="shared" si="4"/>
        <v>0</v>
      </c>
      <c r="F343" s="1130">
        <f t="shared" si="5"/>
        <v>0</v>
      </c>
      <c r="G343" s="909">
        <f t="shared" si="11"/>
        <v>0</v>
      </c>
      <c r="H343" s="906">
        <f t="shared" si="12"/>
        <v>0</v>
      </c>
      <c r="I343" s="909">
        <f t="shared" si="8"/>
        <v>0</v>
      </c>
      <c r="J343" s="911">
        <f t="shared" si="9"/>
        <v>-5277.5508513253544</v>
      </c>
      <c r="K343" s="906">
        <f t="shared" si="6"/>
        <v>0</v>
      </c>
      <c r="L343" s="912">
        <f t="shared" si="7"/>
        <v>-5277.5508513253544</v>
      </c>
    </row>
    <row r="344" spans="1:12" x14ac:dyDescent="0.25">
      <c r="A344" s="61">
        <f t="shared" si="17"/>
        <v>88</v>
      </c>
      <c r="B344" s="31">
        <f t="shared" si="17"/>
        <v>83</v>
      </c>
      <c r="C344" s="917">
        <f t="shared" si="2"/>
        <v>0</v>
      </c>
      <c r="D344" s="918">
        <f t="shared" si="3"/>
        <v>0</v>
      </c>
      <c r="E344" s="917">
        <f t="shared" si="4"/>
        <v>0</v>
      </c>
      <c r="F344" s="1130">
        <f t="shared" si="5"/>
        <v>0</v>
      </c>
      <c r="G344" s="909">
        <f t="shared" si="11"/>
        <v>0</v>
      </c>
      <c r="H344" s="906">
        <f t="shared" si="12"/>
        <v>0</v>
      </c>
      <c r="I344" s="909">
        <f t="shared" si="8"/>
        <v>0</v>
      </c>
      <c r="J344" s="911">
        <f t="shared" si="9"/>
        <v>-5373.7142497786217</v>
      </c>
      <c r="K344" s="906">
        <f t="shared" si="6"/>
        <v>0</v>
      </c>
      <c r="L344" s="912">
        <f t="shared" si="7"/>
        <v>-5373.7142497786217</v>
      </c>
    </row>
    <row r="345" spans="1:12" x14ac:dyDescent="0.25">
      <c r="A345" s="61">
        <f t="shared" si="17"/>
        <v>89</v>
      </c>
      <c r="B345" s="31">
        <f t="shared" si="17"/>
        <v>84</v>
      </c>
      <c r="C345" s="917">
        <f t="shared" si="2"/>
        <v>0</v>
      </c>
      <c r="D345" s="918">
        <f t="shared" si="3"/>
        <v>0</v>
      </c>
      <c r="E345" s="917">
        <f t="shared" si="4"/>
        <v>0</v>
      </c>
      <c r="F345" s="1130">
        <f t="shared" si="5"/>
        <v>0</v>
      </c>
      <c r="G345" s="909">
        <f t="shared" si="11"/>
        <v>0</v>
      </c>
      <c r="H345" s="906">
        <f t="shared" si="12"/>
        <v>0</v>
      </c>
      <c r="I345" s="909">
        <f t="shared" si="8"/>
        <v>0</v>
      </c>
      <c r="J345" s="911">
        <f t="shared" si="9"/>
        <v>-5470.1230807073634</v>
      </c>
      <c r="K345" s="906">
        <f t="shared" si="6"/>
        <v>0</v>
      </c>
      <c r="L345" s="912">
        <f t="shared" si="7"/>
        <v>-5470.1230807073634</v>
      </c>
    </row>
    <row r="346" spans="1:12" x14ac:dyDescent="0.25">
      <c r="A346" s="61">
        <f t="shared" si="17"/>
        <v>90</v>
      </c>
      <c r="B346" s="31">
        <f t="shared" si="17"/>
        <v>85</v>
      </c>
      <c r="C346" s="917">
        <f t="shared" si="2"/>
        <v>0</v>
      </c>
      <c r="D346" s="918">
        <f t="shared" si="3"/>
        <v>0</v>
      </c>
      <c r="E346" s="917">
        <f t="shared" si="4"/>
        <v>0</v>
      </c>
      <c r="F346" s="1130">
        <f t="shared" si="5"/>
        <v>0</v>
      </c>
      <c r="G346" s="909">
        <f t="shared" si="11"/>
        <v>0</v>
      </c>
      <c r="H346" s="906">
        <f t="shared" si="12"/>
        <v>0</v>
      </c>
      <c r="I346" s="909">
        <f t="shared" si="8"/>
        <v>0</v>
      </c>
      <c r="J346" s="911">
        <f t="shared" si="9"/>
        <v>-5566.7683079070084</v>
      </c>
      <c r="K346" s="906">
        <f t="shared" si="6"/>
        <v>0</v>
      </c>
      <c r="L346" s="912">
        <f t="shared" si="7"/>
        <v>-5566.7683079070084</v>
      </c>
    </row>
    <row r="347" spans="1:12" x14ac:dyDescent="0.25">
      <c r="A347" s="61">
        <f t="shared" si="17"/>
        <v>91</v>
      </c>
      <c r="B347" s="31">
        <f t="shared" si="17"/>
        <v>86</v>
      </c>
      <c r="C347" s="917">
        <f t="shared" si="2"/>
        <v>0</v>
      </c>
      <c r="D347" s="918">
        <f t="shared" si="3"/>
        <v>0</v>
      </c>
      <c r="E347" s="917">
        <f t="shared" si="4"/>
        <v>0</v>
      </c>
      <c r="F347" s="1130">
        <f t="shared" si="5"/>
        <v>0</v>
      </c>
      <c r="G347" s="909">
        <f t="shared" si="11"/>
        <v>0</v>
      </c>
      <c r="H347" s="906">
        <f t="shared" si="12"/>
        <v>0</v>
      </c>
      <c r="I347" s="909">
        <f t="shared" si="8"/>
        <v>0</v>
      </c>
      <c r="J347" s="911">
        <f t="shared" si="9"/>
        <v>-5663.115680074975</v>
      </c>
      <c r="K347" s="906">
        <f t="shared" si="6"/>
        <v>0</v>
      </c>
      <c r="L347" s="912">
        <f t="shared" si="7"/>
        <v>-5663.115680074975</v>
      </c>
    </row>
    <row r="348" spans="1:12" x14ac:dyDescent="0.25">
      <c r="A348" s="61">
        <f t="shared" si="17"/>
        <v>92</v>
      </c>
      <c r="B348" s="31">
        <f t="shared" si="17"/>
        <v>87</v>
      </c>
      <c r="C348" s="917">
        <f t="shared" si="2"/>
        <v>0</v>
      </c>
      <c r="D348" s="918">
        <f t="shared" si="3"/>
        <v>0</v>
      </c>
      <c r="E348" s="917">
        <f t="shared" si="4"/>
        <v>0</v>
      </c>
      <c r="F348" s="1130">
        <f t="shared" si="5"/>
        <v>0</v>
      </c>
      <c r="G348" s="909">
        <f t="shared" si="11"/>
        <v>0</v>
      </c>
      <c r="H348" s="906">
        <f t="shared" si="12"/>
        <v>0</v>
      </c>
      <c r="I348" s="909">
        <f t="shared" si="8"/>
        <v>0</v>
      </c>
      <c r="J348" s="911">
        <f t="shared" si="9"/>
        <v>-5765.4697695189789</v>
      </c>
      <c r="K348" s="906">
        <f t="shared" si="6"/>
        <v>0</v>
      </c>
      <c r="L348" s="912">
        <f t="shared" si="7"/>
        <v>-5765.4697695189789</v>
      </c>
    </row>
    <row r="349" spans="1:12" x14ac:dyDescent="0.25">
      <c r="A349" s="61">
        <f t="shared" si="17"/>
        <v>93</v>
      </c>
      <c r="B349" s="31">
        <f t="shared" si="17"/>
        <v>88</v>
      </c>
      <c r="C349" s="917">
        <f t="shared" si="2"/>
        <v>0</v>
      </c>
      <c r="D349" s="918">
        <f t="shared" si="3"/>
        <v>0</v>
      </c>
      <c r="E349" s="917">
        <f t="shared" si="4"/>
        <v>0</v>
      </c>
      <c r="F349" s="1130">
        <f t="shared" si="5"/>
        <v>0</v>
      </c>
      <c r="G349" s="909">
        <f t="shared" si="11"/>
        <v>0</v>
      </c>
      <c r="H349" s="906">
        <f t="shared" si="12"/>
        <v>0</v>
      </c>
      <c r="I349" s="909">
        <f t="shared" si="8"/>
        <v>0</v>
      </c>
      <c r="J349" s="911">
        <f t="shared" si="9"/>
        <v>0</v>
      </c>
      <c r="K349" s="906">
        <f t="shared" si="6"/>
        <v>0</v>
      </c>
      <c r="L349" s="912">
        <f t="shared" si="7"/>
        <v>0</v>
      </c>
    </row>
    <row r="350" spans="1:12" x14ac:dyDescent="0.25">
      <c r="A350" s="61">
        <f t="shared" ref="A350:B352" si="18">A349+1</f>
        <v>94</v>
      </c>
      <c r="B350" s="31">
        <f t="shared" si="18"/>
        <v>89</v>
      </c>
      <c r="C350" s="917">
        <f t="shared" si="2"/>
        <v>0</v>
      </c>
      <c r="D350" s="918">
        <f t="shared" si="3"/>
        <v>0</v>
      </c>
      <c r="E350" s="917">
        <f t="shared" si="4"/>
        <v>0</v>
      </c>
      <c r="F350" s="1130">
        <f t="shared" si="5"/>
        <v>0</v>
      </c>
      <c r="G350" s="909">
        <f t="shared" si="11"/>
        <v>0</v>
      </c>
      <c r="H350" s="906">
        <f t="shared" si="12"/>
        <v>0</v>
      </c>
      <c r="I350" s="909">
        <f t="shared" si="8"/>
        <v>0</v>
      </c>
      <c r="J350" s="911">
        <f t="shared" si="9"/>
        <v>0</v>
      </c>
      <c r="K350" s="906">
        <f t="shared" si="6"/>
        <v>0</v>
      </c>
      <c r="L350" s="912">
        <f t="shared" si="7"/>
        <v>0</v>
      </c>
    </row>
    <row r="351" spans="1:12" x14ac:dyDescent="0.25">
      <c r="A351" s="61">
        <f t="shared" si="18"/>
        <v>95</v>
      </c>
      <c r="B351" s="31">
        <f t="shared" si="18"/>
        <v>90</v>
      </c>
      <c r="C351" s="917">
        <f t="shared" si="2"/>
        <v>0</v>
      </c>
      <c r="D351" s="918">
        <f t="shared" si="3"/>
        <v>0</v>
      </c>
      <c r="E351" s="917">
        <f t="shared" si="4"/>
        <v>0</v>
      </c>
      <c r="F351" s="1130">
        <f t="shared" si="5"/>
        <v>0</v>
      </c>
      <c r="G351" s="909">
        <f t="shared" si="11"/>
        <v>0</v>
      </c>
      <c r="H351" s="906">
        <f t="shared" si="12"/>
        <v>0</v>
      </c>
      <c r="I351" s="909">
        <f>G399</f>
        <v>0</v>
      </c>
      <c r="J351" s="911">
        <f>H399</f>
        <v>0</v>
      </c>
      <c r="K351" s="906">
        <f>G351+I351</f>
        <v>0</v>
      </c>
      <c r="L351" s="912">
        <f>H351+J351</f>
        <v>0</v>
      </c>
    </row>
    <row r="352" spans="1:12" ht="15.75" thickBot="1" x14ac:dyDescent="0.3">
      <c r="A352" s="687">
        <f t="shared" si="18"/>
        <v>96</v>
      </c>
      <c r="B352" s="688">
        <f t="shared" si="18"/>
        <v>91</v>
      </c>
      <c r="C352" s="917">
        <f t="shared" si="2"/>
        <v>0</v>
      </c>
      <c r="D352" s="918">
        <f t="shared" si="3"/>
        <v>0</v>
      </c>
      <c r="E352" s="917">
        <f t="shared" si="4"/>
        <v>0</v>
      </c>
      <c r="F352" s="1130">
        <f t="shared" si="5"/>
        <v>0</v>
      </c>
      <c r="G352" s="914">
        <f t="shared" si="11"/>
        <v>0</v>
      </c>
      <c r="H352" s="913">
        <f t="shared" si="12"/>
        <v>0</v>
      </c>
      <c r="I352" s="914">
        <f>G400</f>
        <v>0</v>
      </c>
      <c r="J352" s="915">
        <f>H400</f>
        <v>0</v>
      </c>
      <c r="K352" s="913">
        <f>G352+I352</f>
        <v>0</v>
      </c>
      <c r="L352" s="916">
        <f>H352+J352</f>
        <v>0</v>
      </c>
    </row>
    <row r="353" spans="1:16" ht="15.75" thickTop="1" x14ac:dyDescent="0.25">
      <c r="A353" s="61"/>
      <c r="B353" s="31"/>
      <c r="C353" s="2159" t="s">
        <v>332</v>
      </c>
      <c r="D353" s="2160" t="s">
        <v>333</v>
      </c>
      <c r="E353" s="2178" t="s">
        <v>332</v>
      </c>
      <c r="F353" s="2179" t="s">
        <v>333</v>
      </c>
      <c r="G353" s="2169" t="s">
        <v>332</v>
      </c>
      <c r="H353" s="2170" t="s">
        <v>333</v>
      </c>
      <c r="I353" s="2163" t="s">
        <v>332</v>
      </c>
      <c r="J353" s="2164" t="s">
        <v>333</v>
      </c>
      <c r="K353" s="2174" t="s">
        <v>332</v>
      </c>
      <c r="L353" s="2175" t="s">
        <v>333</v>
      </c>
    </row>
    <row r="354" spans="1:16" ht="15.75" thickBot="1" x14ac:dyDescent="0.3">
      <c r="A354" s="307"/>
      <c r="B354" s="316"/>
      <c r="C354" s="2161">
        <f t="shared" ref="C354:H354" si="19">SUM(C316:C352)</f>
        <v>3400</v>
      </c>
      <c r="D354" s="2162">
        <f t="shared" si="19"/>
        <v>4040.4</v>
      </c>
      <c r="E354" s="2180">
        <f t="shared" si="19"/>
        <v>295325.03153220087</v>
      </c>
      <c r="F354" s="2181">
        <f t="shared" si="19"/>
        <v>227172.81936308776</v>
      </c>
      <c r="G354" s="2171">
        <f t="shared" si="19"/>
        <v>-291925.03153220087</v>
      </c>
      <c r="H354" s="2172">
        <f t="shared" si="19"/>
        <v>-223132.41936308774</v>
      </c>
      <c r="I354" s="2165">
        <f>SUM(I316:I352)</f>
        <v>-75601.702799556719</v>
      </c>
      <c r="J354" s="2166">
        <f>SUM(J316:J352)</f>
        <v>-63430.735482608332</v>
      </c>
      <c r="K354" s="2176">
        <f>SUM(K316:K352)</f>
        <v>-367526.73433175759</v>
      </c>
      <c r="L354" s="2177">
        <f>SUM(L316:L352)</f>
        <v>-286563.15484569612</v>
      </c>
      <c r="N354" s="215"/>
      <c r="O354" s="215"/>
      <c r="P354" s="215"/>
    </row>
    <row r="355" spans="1:16" ht="15.75" thickTop="1" x14ac:dyDescent="0.25">
      <c r="A355" s="307"/>
      <c r="B355" s="316"/>
      <c r="C355" s="1018"/>
      <c r="D355" s="1018"/>
      <c r="E355" s="1018"/>
      <c r="F355" s="1018"/>
      <c r="G355" s="380"/>
      <c r="H355" s="380"/>
      <c r="I355" s="2202"/>
      <c r="J355" s="2202"/>
      <c r="K355" s="2202"/>
      <c r="L355" s="2203"/>
      <c r="N355" s="2202"/>
      <c r="O355" s="215"/>
      <c r="P355" s="215"/>
    </row>
    <row r="356" spans="1:16" ht="15.75" thickBot="1" x14ac:dyDescent="0.3">
      <c r="A356" s="307"/>
      <c r="B356" s="316"/>
      <c r="C356" s="317"/>
      <c r="D356" s="317"/>
      <c r="E356" s="317"/>
      <c r="F356" s="317"/>
      <c r="G356" s="380"/>
      <c r="H356" s="380"/>
      <c r="I356" s="6"/>
      <c r="J356" s="6"/>
      <c r="K356" s="6"/>
      <c r="L356" s="39"/>
    </row>
    <row r="357" spans="1:16" ht="19.5" thickTop="1" x14ac:dyDescent="0.3">
      <c r="A357" s="265" t="s">
        <v>1549</v>
      </c>
      <c r="B357" s="472"/>
      <c r="C357" s="360"/>
      <c r="D357" s="360"/>
      <c r="E357" s="360"/>
      <c r="F357" s="360"/>
      <c r="G357" s="14"/>
      <c r="H357" s="14"/>
      <c r="I357" s="14"/>
      <c r="J357" s="14"/>
      <c r="K357" s="14"/>
      <c r="L357" s="16"/>
    </row>
    <row r="358" spans="1:16" ht="18.75" x14ac:dyDescent="0.3">
      <c r="A358" s="163" t="s">
        <v>1834</v>
      </c>
      <c r="B358" s="293"/>
      <c r="C358" s="317"/>
      <c r="D358" s="550"/>
      <c r="E358" s="513"/>
      <c r="F358" s="513"/>
      <c r="G358" s="33"/>
      <c r="H358" s="2200"/>
      <c r="I358" s="33"/>
      <c r="J358" s="2201"/>
      <c r="K358" s="6"/>
      <c r="L358" s="39"/>
    </row>
    <row r="359" spans="1:16" ht="18.75" x14ac:dyDescent="0.3">
      <c r="A359" s="144"/>
      <c r="B359" s="293"/>
      <c r="C359" s="317"/>
      <c r="D359" s="550"/>
      <c r="E359" s="513"/>
      <c r="F359" s="513"/>
      <c r="G359" s="33"/>
      <c r="H359" s="33"/>
      <c r="I359" s="33"/>
      <c r="J359" s="33"/>
      <c r="K359" s="6"/>
      <c r="L359" s="39"/>
    </row>
    <row r="360" spans="1:16" x14ac:dyDescent="0.25">
      <c r="A360" s="64" t="s">
        <v>192</v>
      </c>
      <c r="B360" s="293"/>
      <c r="C360" s="317"/>
      <c r="D360" s="317"/>
      <c r="E360" s="317"/>
      <c r="F360" s="317"/>
      <c r="G360" s="6"/>
      <c r="H360" s="6"/>
      <c r="I360" s="6"/>
      <c r="J360" s="6"/>
      <c r="K360" s="6"/>
      <c r="L360" s="39"/>
    </row>
    <row r="361" spans="1:16" x14ac:dyDescent="0.25">
      <c r="A361" s="1296" t="s">
        <v>2901</v>
      </c>
      <c r="B361" s="293"/>
      <c r="C361" s="317"/>
      <c r="D361" s="317"/>
      <c r="E361" s="317"/>
      <c r="F361" s="317"/>
      <c r="G361" s="6"/>
      <c r="H361" s="6"/>
      <c r="I361" s="6"/>
      <c r="J361" s="6"/>
      <c r="K361" s="6"/>
      <c r="L361" s="1311"/>
    </row>
    <row r="362" spans="1:16" ht="15.75" thickBot="1" x14ac:dyDescent="0.3">
      <c r="A362" s="214"/>
      <c r="B362" s="305"/>
      <c r="C362" s="323"/>
      <c r="D362" s="323"/>
      <c r="E362" s="323"/>
      <c r="F362" s="323"/>
      <c r="G362" s="41"/>
      <c r="H362" s="41"/>
      <c r="I362" s="6"/>
      <c r="J362" s="6"/>
      <c r="K362" s="6"/>
      <c r="L362" s="39"/>
    </row>
    <row r="363" spans="1:16" ht="74.25" thickTop="1" thickBot="1" x14ac:dyDescent="0.3">
      <c r="A363" s="236" t="s">
        <v>142</v>
      </c>
      <c r="B363" s="237" t="s">
        <v>143</v>
      </c>
      <c r="C363" s="512" t="s">
        <v>40</v>
      </c>
      <c r="D363" s="512" t="s">
        <v>41</v>
      </c>
      <c r="E363" s="453" t="s">
        <v>342</v>
      </c>
      <c r="F363" s="453" t="s">
        <v>343</v>
      </c>
      <c r="G363" s="431" t="s">
        <v>344</v>
      </c>
      <c r="H363" s="240" t="s">
        <v>345</v>
      </c>
      <c r="I363" s="6"/>
      <c r="J363" s="2142" t="s">
        <v>1802</v>
      </c>
      <c r="K363" s="2143" t="s">
        <v>1803</v>
      </c>
      <c r="L363" s="39"/>
    </row>
    <row r="364" spans="1:16" ht="15.75" thickTop="1" x14ac:dyDescent="0.25">
      <c r="A364" s="307">
        <f>'1. AgeData'!$D$30</f>
        <v>60</v>
      </c>
      <c r="B364" s="689">
        <f>'1. AgeData'!$D$31</f>
        <v>55</v>
      </c>
      <c r="C364" s="907">
        <f>IF(OR(A364&gt;$G$140,A364&lt;$G$134,'S. Setup'!$J$82&lt;&gt;"yes"),0,$G$127*POWER((1+$G$130),(A364-A$364)))</f>
        <v>1000</v>
      </c>
      <c r="D364" s="925">
        <f>IF(OR(B364&gt;$G$142,B364&lt;$G$136,'S. Setup'!$J$82&lt;&gt;"yes"),0,$G$128*POWER((1+$G$131),(B364-B$364)))</f>
        <v>0</v>
      </c>
      <c r="E364" s="907">
        <f>IF(OR(A364&gt;$F$156,A364&lt;$F$150,'S. Setup'!$J$82&lt;&gt;"yes"),0,C533*$F$161)</f>
        <v>0</v>
      </c>
      <c r="F364" s="908">
        <f>IF(OR(B364&gt;$F$158,B364&lt;$F$152,'S. Setup'!$J$82&lt;&gt;"yes"),0,D533*$F$162)</f>
        <v>0</v>
      </c>
      <c r="G364" s="909">
        <f t="shared" ref="G364:G398" si="20">C364-E364</f>
        <v>1000</v>
      </c>
      <c r="H364" s="910">
        <f t="shared" ref="H364:H398" si="21">D364-F364</f>
        <v>0</v>
      </c>
      <c r="I364" s="6"/>
      <c r="J364" s="2186">
        <f>'1. AgeData'!E91</f>
        <v>0</v>
      </c>
      <c r="K364" s="2187">
        <f>'1. AgeData'!H91</f>
        <v>0</v>
      </c>
      <c r="L364" s="39"/>
    </row>
    <row r="365" spans="1:16" x14ac:dyDescent="0.25">
      <c r="A365" s="307">
        <f>A364+1</f>
        <v>61</v>
      </c>
      <c r="B365" s="689">
        <f>B364+1</f>
        <v>56</v>
      </c>
      <c r="C365" s="909">
        <f>IF(OR(A365&gt;$G$140,A365&lt;$G$134,'S. Setup'!$J$82&lt;&gt;"yes"),0,$G$127*POWER((1+$G$130),(A365-A$364)))</f>
        <v>1010</v>
      </c>
      <c r="D365" s="906">
        <f>IF(OR(B365&gt;$G$142,B365&lt;$G$136,'S. Setup'!$J$82&lt;&gt;"yes"),0,$G$128*POWER((1+$G$131),(B365-B$364)))</f>
        <v>0</v>
      </c>
      <c r="E365" s="909">
        <f>IF(OR(A365&gt;$F$156,A365&lt;$F$150,'S. Setup'!$J$82&lt;&gt;"yes"),0,C534*$F$161)</f>
        <v>0</v>
      </c>
      <c r="F365" s="911">
        <f>IF(OR(B365&gt;$F$158,B365&lt;$F$152,'S. Setup'!$J$82&lt;&gt;"yes"),0,D534*$F$162)</f>
        <v>0</v>
      </c>
      <c r="G365" s="909">
        <f t="shared" si="20"/>
        <v>1010</v>
      </c>
      <c r="H365" s="912">
        <f t="shared" si="21"/>
        <v>0</v>
      </c>
      <c r="I365" s="6"/>
      <c r="J365" s="2188">
        <f>'1. AgeData'!E92</f>
        <v>0</v>
      </c>
      <c r="K365" s="2189">
        <f>'1. AgeData'!H92</f>
        <v>0</v>
      </c>
      <c r="L365" s="39"/>
    </row>
    <row r="366" spans="1:16" x14ac:dyDescent="0.25">
      <c r="A366" s="307">
        <f t="shared" ref="A366:A398" si="22">A365+1</f>
        <v>62</v>
      </c>
      <c r="B366" s="689">
        <f t="shared" ref="B366:B398" si="23">B365+1</f>
        <v>57</v>
      </c>
      <c r="C366" s="909">
        <f>IF(OR(A366&gt;$G$140,A366&lt;$G$134,'S. Setup'!$J$82&lt;&gt;"yes"),0,$G$127*POWER((1+$G$130),(A366-A$364)))</f>
        <v>1020.1</v>
      </c>
      <c r="D366" s="906">
        <f>IF(OR(B366&gt;$G$142,B366&lt;$G$136,'S. Setup'!$J$82&lt;&gt;"yes"),0,$G$128*POWER((1+$G$131),(B366-B$364)))</f>
        <v>0</v>
      </c>
      <c r="E366" s="909">
        <f>IF(OR(A366&gt;$F$156,A366&lt;$F$150,'S. Setup'!$J$82&lt;&gt;"yes"),0,C535*$F$161)</f>
        <v>0</v>
      </c>
      <c r="F366" s="911">
        <f>IF(OR(B366&gt;$F$158,B366&lt;$F$152,'S. Setup'!$J$82&lt;&gt;"yes"),0,D535*$F$162)</f>
        <v>0</v>
      </c>
      <c r="G366" s="909">
        <f t="shared" si="20"/>
        <v>1020.1</v>
      </c>
      <c r="H366" s="912">
        <f t="shared" si="21"/>
        <v>0</v>
      </c>
      <c r="I366" s="6"/>
      <c r="J366" s="2188">
        <f>'1. AgeData'!E93</f>
        <v>0</v>
      </c>
      <c r="K366" s="2189">
        <f>'1. AgeData'!H93</f>
        <v>0</v>
      </c>
      <c r="L366" s="39"/>
    </row>
    <row r="367" spans="1:16" x14ac:dyDescent="0.25">
      <c r="A367" s="307">
        <f t="shared" si="22"/>
        <v>63</v>
      </c>
      <c r="B367" s="689">
        <f t="shared" si="23"/>
        <v>58</v>
      </c>
      <c r="C367" s="909">
        <f>IF(OR(A367&gt;$G$140,A367&lt;$G$134,'S. Setup'!$J$82&lt;&gt;"yes"),0,$G$127*POWER((1+$G$130),(A367-A$364)))</f>
        <v>1030.3009999999999</v>
      </c>
      <c r="D367" s="906">
        <f>IF(OR(B367&gt;$G$142,B367&lt;$G$136,'S. Setup'!$J$82&lt;&gt;"yes"),0,$G$128*POWER((1+$G$131),(B367-B$364)))</f>
        <v>1200</v>
      </c>
      <c r="E367" s="909">
        <f>IF(OR(A367&gt;$F$156,A367&lt;$F$150,'S. Setup'!$J$82&lt;&gt;"yes"),0,C536*$F$161)</f>
        <v>0</v>
      </c>
      <c r="F367" s="911">
        <f>IF(OR(B367&gt;$F$158,B367&lt;$F$152,'S. Setup'!$J$82&lt;&gt;"yes"),0,D536*$F$162)</f>
        <v>0</v>
      </c>
      <c r="G367" s="909">
        <f t="shared" si="20"/>
        <v>1030.3009999999999</v>
      </c>
      <c r="H367" s="912">
        <f t="shared" si="21"/>
        <v>1200</v>
      </c>
      <c r="I367" s="6"/>
      <c r="J367" s="2188">
        <f>'1. AgeData'!E94</f>
        <v>0</v>
      </c>
      <c r="K367" s="2189">
        <f>'1. AgeData'!H94</f>
        <v>0</v>
      </c>
      <c r="L367" s="39"/>
    </row>
    <row r="368" spans="1:16" x14ac:dyDescent="0.25">
      <c r="A368" s="307">
        <f t="shared" si="22"/>
        <v>64</v>
      </c>
      <c r="B368" s="689">
        <f t="shared" si="23"/>
        <v>59</v>
      </c>
      <c r="C368" s="909">
        <f>IF(OR(A368&gt;$G$140,A368&lt;$G$134,'S. Setup'!$J$82&lt;&gt;"yes"),0,$G$127*POWER((1+$G$130),(A368-A$364)))</f>
        <v>0</v>
      </c>
      <c r="D368" s="906">
        <f>IF(OR(B368&gt;$G$142,B368&lt;$G$136,'S. Setup'!$J$82&lt;&gt;"yes"),0,$G$128*POWER((1+$G$131),(B368-B$364)))</f>
        <v>1200</v>
      </c>
      <c r="E368" s="909">
        <f>IF(OR(A368&gt;$F$156,A368&lt;$F$150,'S. Setup'!$J$82&lt;&gt;"yes"),0,C537*$F$161)</f>
        <v>0</v>
      </c>
      <c r="F368" s="911">
        <f>IF(OR(B368&gt;$F$158,B368&lt;$F$152,'S. Setup'!$J$82&lt;&gt;"yes"),0,D537*$F$162)</f>
        <v>0</v>
      </c>
      <c r="G368" s="909">
        <f t="shared" si="20"/>
        <v>0</v>
      </c>
      <c r="H368" s="912">
        <f t="shared" si="21"/>
        <v>1200</v>
      </c>
      <c r="I368" s="6"/>
      <c r="J368" s="2188">
        <f>'1. AgeData'!E95</f>
        <v>0</v>
      </c>
      <c r="K368" s="2189">
        <f>'1. AgeData'!H95</f>
        <v>0</v>
      </c>
      <c r="L368" s="39"/>
    </row>
    <row r="369" spans="1:12" x14ac:dyDescent="0.25">
      <c r="A369" s="307">
        <f t="shared" si="22"/>
        <v>65</v>
      </c>
      <c r="B369" s="566">
        <f t="shared" si="23"/>
        <v>60</v>
      </c>
      <c r="C369" s="1242">
        <f>IF(OR(A369&gt;$G$140,A369&lt;$G$134,'S. Setup'!$J$82&lt;&gt;"yes"),0,$G$127*POWER((1+$G$130),(A369-A$364)))</f>
        <v>0</v>
      </c>
      <c r="D369" s="1243">
        <f>IF(OR(B369&gt;$G$142,B369&lt;$G$136,'S. Setup'!$J$82&lt;&gt;"yes"),0,$G$128*POWER((1+$G$131),(B369-B$364)))</f>
        <v>1200</v>
      </c>
      <c r="E369" s="1242">
        <f>IF(OR(A369&gt;$F$156,A369&lt;$F$150,'S. Setup'!$J$82&lt;&gt;"yes"),0,C538*$F$161)</f>
        <v>0</v>
      </c>
      <c r="F369" s="1244">
        <f>IF(OR(B369&gt;$F$158,B369&lt;$F$152,'S. Setup'!$J$82&lt;&gt;"yes"),0,D538*$F$162)</f>
        <v>668.44285274653464</v>
      </c>
      <c r="G369" s="1242">
        <f t="shared" si="20"/>
        <v>0</v>
      </c>
      <c r="H369" s="1245">
        <f t="shared" ref="H369:H389" si="24">D369-F369</f>
        <v>531.55714725346536</v>
      </c>
      <c r="I369" s="6"/>
      <c r="J369" s="2188">
        <f>'1. AgeData'!E96</f>
        <v>0</v>
      </c>
      <c r="K369" s="2189">
        <f>'1. AgeData'!H96</f>
        <v>0</v>
      </c>
      <c r="L369" s="39"/>
    </row>
    <row r="370" spans="1:12" x14ac:dyDescent="0.25">
      <c r="A370" s="307">
        <f t="shared" si="22"/>
        <v>66</v>
      </c>
      <c r="B370" s="689">
        <f t="shared" si="23"/>
        <v>61</v>
      </c>
      <c r="C370" s="909">
        <f>IF(OR(A370&gt;$G$140,A370&lt;$G$134,'S. Setup'!$J$82&lt;&gt;"yes"),0,$G$127*POWER((1+$G$130),(A370-A$364)))</f>
        <v>0</v>
      </c>
      <c r="D370" s="906">
        <f>IF(OR(B370&gt;$G$142,B370&lt;$G$136,'S. Setup'!$J$82&lt;&gt;"yes"),0,$G$128*POWER((1+$G$131),(B370-B$364)))</f>
        <v>1200</v>
      </c>
      <c r="E370" s="909">
        <f>IF(OR(A370&gt;$F$156,A370&lt;$F$150,'S. Setup'!$J$82&lt;&gt;"yes"),0,C539*$F$161)</f>
        <v>0</v>
      </c>
      <c r="F370" s="911">
        <f>IF(OR(B370&gt;$F$158,B370&lt;$F$152,'S. Setup'!$J$82&lt;&gt;"yes"),0,D539*$F$162)</f>
        <v>604.93259870199824</v>
      </c>
      <c r="G370" s="909">
        <f t="shared" si="20"/>
        <v>0</v>
      </c>
      <c r="H370" s="912">
        <f t="shared" si="24"/>
        <v>595.06740129800176</v>
      </c>
      <c r="I370" s="6"/>
      <c r="J370" s="2188">
        <f>'1. AgeData'!E97</f>
        <v>0</v>
      </c>
      <c r="K370" s="2189">
        <f>'1. AgeData'!H97</f>
        <v>0</v>
      </c>
      <c r="L370" s="553"/>
    </row>
    <row r="371" spans="1:12" x14ac:dyDescent="0.25">
      <c r="A371" s="320">
        <f t="shared" si="22"/>
        <v>67</v>
      </c>
      <c r="B371" s="566">
        <f t="shared" si="23"/>
        <v>62</v>
      </c>
      <c r="C371" s="1242">
        <f>IF(OR(A371&gt;$G$140,A371&lt;$G$134,'S. Setup'!$J$82&lt;&gt;"yes"),0,$G$127*POWER((1+$G$130),(A371-A$364)))</f>
        <v>0</v>
      </c>
      <c r="D371" s="1243">
        <f>IF(OR(B371&gt;$G$142,B371&lt;$G$136,'S. Setup'!$J$82&lt;&gt;"yes"),0,$G$128*POWER((1+$G$131),(B371-B$364)))</f>
        <v>1200</v>
      </c>
      <c r="E371" s="1242">
        <f>IF(OR(A371&gt;$F$156,A371&lt;$F$150,'S. Setup'!$J$82&lt;&gt;"yes"),0,C540*$F$161)</f>
        <v>1278.2751420785116</v>
      </c>
      <c r="F371" s="1244">
        <f>IF(OR(B371&gt;$F$158,B371&lt;$F$152,'S. Setup'!$J$82&lt;&gt;"yes"),0,D540*$F$162)</f>
        <v>679.39833085934879</v>
      </c>
      <c r="G371" s="1242">
        <f t="shared" ref="G371:G384" si="25">C371-E371</f>
        <v>-1278.2751420785116</v>
      </c>
      <c r="H371" s="912">
        <f t="shared" si="24"/>
        <v>520.60166914065121</v>
      </c>
      <c r="I371" s="6"/>
      <c r="J371" s="2188">
        <f>'1. AgeData'!E98</f>
        <v>0</v>
      </c>
      <c r="K371" s="2189">
        <f>'1. AgeData'!H98</f>
        <v>0</v>
      </c>
      <c r="L371" s="553"/>
    </row>
    <row r="372" spans="1:12" x14ac:dyDescent="0.25">
      <c r="A372" s="307">
        <f t="shared" si="22"/>
        <v>68</v>
      </c>
      <c r="B372" s="689">
        <f t="shared" si="23"/>
        <v>63</v>
      </c>
      <c r="C372" s="909">
        <f>IF(OR(A372&gt;$G$140,A372&lt;$G$134,'S. Setup'!$J$82&lt;&gt;"yes"),0,$G$127*POWER((1+$G$130),(A372-A$364)))</f>
        <v>0</v>
      </c>
      <c r="D372" s="906">
        <f>IF(OR(B372&gt;$G$142,B372&lt;$G$136,'S. Setup'!$J$82&lt;&gt;"yes"),0,$G$128*POWER((1+$G$131),(B372-B$364)))</f>
        <v>1200</v>
      </c>
      <c r="E372" s="909">
        <f>IF(OR(A372&gt;$F$156,A372&lt;$F$150,'S. Setup'!$J$82&lt;&gt;"yes"),0,C541*$F$161)</f>
        <v>1662.453636317477</v>
      </c>
      <c r="F372" s="911">
        <f>IF(OR(B372&gt;$F$158,B372&lt;$F$152,'S. Setup'!$J$82&lt;&gt;"yes"),0,D541*$F$162)</f>
        <v>730.95596978717731</v>
      </c>
      <c r="G372" s="909">
        <f t="shared" si="25"/>
        <v>-1662.453636317477</v>
      </c>
      <c r="H372" s="912">
        <f t="shared" si="24"/>
        <v>469.04403021282269</v>
      </c>
      <c r="I372" s="6"/>
      <c r="J372" s="2188">
        <f>'1. AgeData'!E99</f>
        <v>0</v>
      </c>
      <c r="K372" s="2189">
        <f>'1. AgeData'!H99</f>
        <v>0</v>
      </c>
      <c r="L372" s="553"/>
    </row>
    <row r="373" spans="1:12" x14ac:dyDescent="0.25">
      <c r="A373" s="307">
        <f t="shared" si="22"/>
        <v>69</v>
      </c>
      <c r="B373" s="689">
        <f t="shared" si="23"/>
        <v>64</v>
      </c>
      <c r="C373" s="909">
        <f>IF(OR(A373&gt;$G$140,A373&lt;$G$134,'S. Setup'!$J$82&lt;&gt;"yes"),0,$G$127*POWER((1+$G$130),(A373-A$364)))</f>
        <v>0</v>
      </c>
      <c r="D373" s="906">
        <f>IF(OR(B373&gt;$G$142,B373&lt;$G$136,'S. Setup'!$J$82&lt;&gt;"yes"),0,$G$128*POWER((1+$G$131),(B373-B$364)))</f>
        <v>1200</v>
      </c>
      <c r="E373" s="909">
        <f>IF(OR(A373&gt;$F$156,A373&lt;$F$150,'S. Setup'!$J$82&lt;&gt;"yes"),0,C542*$F$161)</f>
        <v>1850.448407742502</v>
      </c>
      <c r="F373" s="911">
        <f>IF(OR(B373&gt;$F$158,B373&lt;$F$152,'S. Setup'!$J$82&lt;&gt;"yes"),0,D542*$F$162)</f>
        <v>924.62425386582709</v>
      </c>
      <c r="G373" s="909">
        <f t="shared" si="25"/>
        <v>-1850.448407742502</v>
      </c>
      <c r="H373" s="912">
        <f t="shared" si="24"/>
        <v>275.37574613417291</v>
      </c>
      <c r="I373" s="6"/>
      <c r="J373" s="2188">
        <f>'1. AgeData'!E100</f>
        <v>0</v>
      </c>
      <c r="K373" s="2189">
        <f>'1. AgeData'!H100</f>
        <v>0</v>
      </c>
      <c r="L373" s="553"/>
    </row>
    <row r="374" spans="1:12" x14ac:dyDescent="0.25">
      <c r="A374" s="307">
        <f t="shared" si="22"/>
        <v>70</v>
      </c>
      <c r="B374" s="689">
        <f t="shared" si="23"/>
        <v>65</v>
      </c>
      <c r="C374" s="909">
        <f>IF(OR(A374&gt;$G$140,A374&lt;$G$134,'S. Setup'!$J$82&lt;&gt;"yes"),0,$G$127*POWER((1+$G$130),(A374-A$364)))</f>
        <v>0</v>
      </c>
      <c r="D374" s="906">
        <f>IF(OR(B374&gt;$G$142,B374&lt;$G$136,'S. Setup'!$J$82&lt;&gt;"yes"),0,$G$128*POWER((1+$G$131),(B374-B$364)))</f>
        <v>1200</v>
      </c>
      <c r="E374" s="909">
        <f>IF(OR(A374&gt;$F$156,A374&lt;$F$150,'S. Setup'!$J$82&lt;&gt;"yes"),0,C543*$F$161)</f>
        <v>2259.8081113839116</v>
      </c>
      <c r="F374" s="911">
        <f>IF(OR(B374&gt;$F$158,B374&lt;$F$152,'S. Setup'!$J$82&lt;&gt;"yes"),0,D543*$F$162)</f>
        <v>1008.5332669059877</v>
      </c>
      <c r="G374" s="909">
        <f t="shared" si="25"/>
        <v>-2259.8081113839116</v>
      </c>
      <c r="H374" s="912">
        <f t="shared" si="24"/>
        <v>191.46673309401228</v>
      </c>
      <c r="I374" s="6"/>
      <c r="J374" s="2188">
        <f>'1. AgeData'!E101</f>
        <v>0</v>
      </c>
      <c r="K374" s="2189">
        <f>'1. AgeData'!H101</f>
        <v>0</v>
      </c>
      <c r="L374" s="39"/>
    </row>
    <row r="375" spans="1:12" x14ac:dyDescent="0.25">
      <c r="A375" s="307">
        <f t="shared" si="22"/>
        <v>71</v>
      </c>
      <c r="B375" s="689">
        <f t="shared" si="23"/>
        <v>66</v>
      </c>
      <c r="C375" s="909">
        <f>IF(OR(A375&gt;$G$140,A375&lt;$G$134,'S. Setup'!$J$82&lt;&gt;"yes"),0,$G$127*POWER((1+$G$130),(A375-A$364)))</f>
        <v>0</v>
      </c>
      <c r="D375" s="906">
        <f>IF(OR(B375&gt;$G$142,B375&lt;$G$136,'S. Setup'!$J$82&lt;&gt;"yes"),0,$G$128*POWER((1+$G$131),(B375-B$364)))</f>
        <v>1200</v>
      </c>
      <c r="E375" s="909">
        <f>IF(OR(A375&gt;$F$156,A375&lt;$F$150,'S. Setup'!$J$82&lt;&gt;"yes"),0,C544*$F$161)</f>
        <v>2838.5791106699558</v>
      </c>
      <c r="F375" s="911">
        <f>IF(OR(B375&gt;$F$158,B375&lt;$F$152,'S. Setup'!$J$82&lt;&gt;"yes"),0,D544*$F$162)</f>
        <v>1102.0300527827753</v>
      </c>
      <c r="G375" s="909">
        <f t="shared" si="25"/>
        <v>-2838.5791106699558</v>
      </c>
      <c r="H375" s="912">
        <f t="shared" si="24"/>
        <v>97.969947217224671</v>
      </c>
      <c r="I375" s="6"/>
      <c r="J375" s="2188">
        <f>'1. AgeData'!E102</f>
        <v>0</v>
      </c>
      <c r="K375" s="2189">
        <f>'1. AgeData'!H102</f>
        <v>0</v>
      </c>
      <c r="L375" s="39"/>
    </row>
    <row r="376" spans="1:12" x14ac:dyDescent="0.25">
      <c r="A376" s="307">
        <f t="shared" si="22"/>
        <v>72</v>
      </c>
      <c r="B376" s="689">
        <f t="shared" si="23"/>
        <v>67</v>
      </c>
      <c r="C376" s="909">
        <f>IF(OR(A376&gt;$G$140,A376&lt;$G$134,'S. Setup'!$J$82&lt;&gt;"yes"),0,$G$127*POWER((1+$G$130),(A376-A$364)))</f>
        <v>0</v>
      </c>
      <c r="D376" s="906">
        <f>IF(OR(B376&gt;$G$142,B376&lt;$G$136,'S. Setup'!$J$82&lt;&gt;"yes"),0,$G$128*POWER((1+$G$131),(B376-B$364)))</f>
        <v>1200</v>
      </c>
      <c r="E376" s="909">
        <f>IF(OR(A376&gt;$F$156,A376&lt;$F$150,'S. Setup'!$J$82&lt;&gt;"yes"),0,C545*$F$161)</f>
        <v>3483.0267272611986</v>
      </c>
      <c r="F376" s="911">
        <f>IF(OR(B376&gt;$F$158,B376&lt;$F$152,'S. Setup'!$J$82&lt;&gt;"yes"),0,D545*$F$162)</f>
        <v>1286.4762530081027</v>
      </c>
      <c r="G376" s="909">
        <f t="shared" si="25"/>
        <v>-3483.0267272611986</v>
      </c>
      <c r="H376" s="912">
        <f t="shared" si="24"/>
        <v>-86.476253008102731</v>
      </c>
      <c r="I376" s="6"/>
      <c r="J376" s="2188">
        <f>'1. AgeData'!E103</f>
        <v>0</v>
      </c>
      <c r="K376" s="2189">
        <f>'1. AgeData'!H103</f>
        <v>0</v>
      </c>
      <c r="L376" s="39"/>
    </row>
    <row r="377" spans="1:12" x14ac:dyDescent="0.25">
      <c r="A377" s="307">
        <f t="shared" si="22"/>
        <v>73</v>
      </c>
      <c r="B377" s="689">
        <f t="shared" si="23"/>
        <v>68</v>
      </c>
      <c r="C377" s="909">
        <f>IF(OR(A377&gt;$G$140,A377&lt;$G$134,'S. Setup'!$J$82&lt;&gt;"yes"),0,$G$127*POWER((1+$G$130),(A377-A$364)))</f>
        <v>0</v>
      </c>
      <c r="D377" s="906">
        <f>IF(OR(B377&gt;$G$142,B377&lt;$G$136,'S. Setup'!$J$82&lt;&gt;"yes"),0,$G$128*POWER((1+$G$131),(B377-B$364)))</f>
        <v>1200</v>
      </c>
      <c r="E377" s="909">
        <f>IF(OR(A377&gt;$F$156,A377&lt;$F$150,'S. Setup'!$J$82&lt;&gt;"yes"),0,C546*$F$161)</f>
        <v>3815.8676848759997</v>
      </c>
      <c r="F377" s="911">
        <f>IF(OR(B377&gt;$F$158,B377&lt;$F$152,'S. Setup'!$J$82&lt;&gt;"yes"),0,D546*$F$162)</f>
        <v>1613.7757376870413</v>
      </c>
      <c r="G377" s="909">
        <f t="shared" si="25"/>
        <v>-3815.8676848759997</v>
      </c>
      <c r="H377" s="912">
        <f t="shared" si="24"/>
        <v>-413.77573768704133</v>
      </c>
      <c r="I377" s="6"/>
      <c r="J377" s="2188">
        <f>'1. AgeData'!E104</f>
        <v>0</v>
      </c>
      <c r="K377" s="2189">
        <f>'1. AgeData'!H104</f>
        <v>0</v>
      </c>
      <c r="L377" s="39"/>
    </row>
    <row r="378" spans="1:12" x14ac:dyDescent="0.25">
      <c r="A378" s="307">
        <f t="shared" si="22"/>
        <v>74</v>
      </c>
      <c r="B378" s="689">
        <f t="shared" si="23"/>
        <v>69</v>
      </c>
      <c r="C378" s="909">
        <f>IF(OR(A378&gt;$G$140,A378&lt;$G$134,'S. Setup'!$J$82&lt;&gt;"yes"),0,$G$127*POWER((1+$G$130),(A378-A$364)))</f>
        <v>0</v>
      </c>
      <c r="D378" s="906">
        <f>IF(OR(B378&gt;$G$142,B378&lt;$G$136,'S. Setup'!$J$82&lt;&gt;"yes"),0,$G$128*POWER((1+$G$131),(B378-B$364)))</f>
        <v>0</v>
      </c>
      <c r="E378" s="909">
        <f>IF(OR(A378&gt;$F$156,A378&lt;$F$150,'S. Setup'!$J$82&lt;&gt;"yes"),0,C547*$F$161)</f>
        <v>4161.3560905112163</v>
      </c>
      <c r="F378" s="911">
        <f>IF(OR(B378&gt;$F$158,B378&lt;$F$152,'S. Setup'!$J$82&lt;&gt;"yes"),0,D547*$F$162)</f>
        <v>1955.622740355707</v>
      </c>
      <c r="G378" s="909">
        <f t="shared" si="25"/>
        <v>-4161.3560905112163</v>
      </c>
      <c r="H378" s="912">
        <f t="shared" si="24"/>
        <v>-1955.622740355707</v>
      </c>
      <c r="I378" s="6"/>
      <c r="J378" s="2188">
        <f>'1. AgeData'!E105</f>
        <v>0</v>
      </c>
      <c r="K378" s="2189">
        <f>'1. AgeData'!H105</f>
        <v>0</v>
      </c>
      <c r="L378" s="39"/>
    </row>
    <row r="379" spans="1:12" x14ac:dyDescent="0.25">
      <c r="A379" s="307">
        <f t="shared" si="22"/>
        <v>75</v>
      </c>
      <c r="B379" s="689">
        <f t="shared" si="23"/>
        <v>70</v>
      </c>
      <c r="C379" s="909">
        <f>IF(OR(A379&gt;$G$140,A379&lt;$G$134,'S. Setup'!$J$82&lt;&gt;"yes"),0,$G$127*POWER((1+$G$130),(A379-A$364)))</f>
        <v>0</v>
      </c>
      <c r="D379" s="906">
        <f>IF(OR(B379&gt;$G$142,B379&lt;$G$136,'S. Setup'!$J$82&lt;&gt;"yes"),0,$G$128*POWER((1+$G$131),(B379-B$364)))</f>
        <v>0</v>
      </c>
      <c r="E379" s="909">
        <f>IF(OR(A379&gt;$F$156,A379&lt;$F$150,'S. Setup'!$J$82&lt;&gt;"yes"),0,C548*$F$161)</f>
        <v>4514.9097710573924</v>
      </c>
      <c r="F379" s="911">
        <f>IF(OR(B379&gt;$F$158,B379&lt;$F$152,'S. Setup'!$J$82&lt;&gt;"yes"),0,D548*$F$162)</f>
        <v>2295.5442238172291</v>
      </c>
      <c r="G379" s="909">
        <f t="shared" si="25"/>
        <v>-4514.9097710573924</v>
      </c>
      <c r="H379" s="912">
        <f t="shared" si="24"/>
        <v>-2295.5442238172291</v>
      </c>
      <c r="I379" s="6"/>
      <c r="J379" s="2188">
        <f>'1. AgeData'!E106</f>
        <v>0</v>
      </c>
      <c r="K379" s="2189">
        <f>'1. AgeData'!H106</f>
        <v>0</v>
      </c>
      <c r="L379" s="39"/>
    </row>
    <row r="380" spans="1:12" x14ac:dyDescent="0.25">
      <c r="A380" s="307">
        <f t="shared" si="22"/>
        <v>76</v>
      </c>
      <c r="B380" s="689">
        <f t="shared" si="23"/>
        <v>71</v>
      </c>
      <c r="C380" s="909">
        <f>IF(OR(A380&gt;$G$140,A380&lt;$G$134,'S. Setup'!$J$82&lt;&gt;"yes"),0,$G$127*POWER((1+$G$130),(A380-A$364)))</f>
        <v>0</v>
      </c>
      <c r="D380" s="906">
        <f>IF(OR(B380&gt;$G$142,B380&lt;$G$136,'S. Setup'!$J$82&lt;&gt;"yes"),0,$G$128*POWER((1+$G$131),(B380-B$364)))</f>
        <v>0</v>
      </c>
      <c r="E380" s="909">
        <f>IF(OR(A380&gt;$F$156,A380&lt;$F$150,'S. Setup'!$J$82&lt;&gt;"yes"),0,C549*$F$161)</f>
        <v>3900.2526203075686</v>
      </c>
      <c r="F380" s="911">
        <f>IF(OR(B380&gt;$F$158,B380&lt;$F$152,'S. Setup'!$J$82&lt;&gt;"yes"),0,D549*$F$162)</f>
        <v>1669.1376346170464</v>
      </c>
      <c r="G380" s="909">
        <f t="shared" si="25"/>
        <v>-3900.2526203075686</v>
      </c>
      <c r="H380" s="912">
        <f t="shared" si="24"/>
        <v>-1669.1376346170464</v>
      </c>
      <c r="I380" s="6"/>
      <c r="J380" s="2188">
        <f>'1. AgeData'!E107</f>
        <v>0</v>
      </c>
      <c r="K380" s="2189">
        <f>'1. AgeData'!H107</f>
        <v>0</v>
      </c>
      <c r="L380" s="39"/>
    </row>
    <row r="381" spans="1:12" x14ac:dyDescent="0.25">
      <c r="A381" s="307">
        <f t="shared" si="22"/>
        <v>77</v>
      </c>
      <c r="B381" s="689">
        <f t="shared" si="23"/>
        <v>72</v>
      </c>
      <c r="C381" s="909">
        <f>IF(OR(A381&gt;$G$140,A381&lt;$G$134,'S. Setup'!$J$82&lt;&gt;"yes"),0,$G$127*POWER((1+$G$130),(A381-A$364)))</f>
        <v>0</v>
      </c>
      <c r="D381" s="906">
        <f>IF(OR(B381&gt;$G$142,B381&lt;$G$136,'S. Setup'!$J$82&lt;&gt;"yes"),0,$G$128*POWER((1+$G$131),(B381-B$364)))</f>
        <v>0</v>
      </c>
      <c r="E381" s="909">
        <f>IF(OR(A381&gt;$F$156,A381&lt;$F$150,'S. Setup'!$J$82&lt;&gt;"yes"),0,C550*$F$161)</f>
        <v>4210.7356262092089</v>
      </c>
      <c r="F381" s="911">
        <f>IF(OR(B381&gt;$F$158,B381&lt;$F$152,'S. Setup'!$J$82&lt;&gt;"yes"),0,D550*$F$162)</f>
        <v>1866.2363529343072</v>
      </c>
      <c r="G381" s="909">
        <f t="shared" si="25"/>
        <v>-4210.7356262092089</v>
      </c>
      <c r="H381" s="912">
        <f t="shared" si="24"/>
        <v>-1866.2363529343072</v>
      </c>
      <c r="I381" s="6"/>
      <c r="J381" s="2188">
        <f>'1. AgeData'!E108</f>
        <v>0</v>
      </c>
      <c r="K381" s="2189">
        <f>'1. AgeData'!H108</f>
        <v>0</v>
      </c>
      <c r="L381" s="39"/>
    </row>
    <row r="382" spans="1:12" x14ac:dyDescent="0.25">
      <c r="A382" s="307">
        <f t="shared" si="22"/>
        <v>78</v>
      </c>
      <c r="B382" s="689">
        <f t="shared" si="23"/>
        <v>73</v>
      </c>
      <c r="C382" s="909">
        <f>IF(OR(A382&gt;$G$140,A382&lt;$G$134,'S. Setup'!$J$82&lt;&gt;"yes"),0,$G$127*POWER((1+$G$130),(A382-A$364)))</f>
        <v>0</v>
      </c>
      <c r="D382" s="906">
        <f>IF(OR(B382&gt;$G$142,B382&lt;$G$136,'S. Setup'!$J$82&lt;&gt;"yes"),0,$G$128*POWER((1+$G$131),(B382-B$364)))</f>
        <v>0</v>
      </c>
      <c r="E382" s="909">
        <f>IF(OR(A382&gt;$F$156,A382&lt;$F$150,'S. Setup'!$J$82&lt;&gt;"yes"),0,C551*$F$161)</f>
        <v>4552.3445193910247</v>
      </c>
      <c r="F382" s="911">
        <f>IF(OR(B382&gt;$F$158,B382&lt;$F$152,'S. Setup'!$J$82&lt;&gt;"yes"),0,D551*$F$162)</f>
        <v>2082.9399566689144</v>
      </c>
      <c r="G382" s="909">
        <f t="shared" si="25"/>
        <v>-4552.3445193910247</v>
      </c>
      <c r="H382" s="912">
        <f t="shared" si="24"/>
        <v>-2082.9399566689144</v>
      </c>
      <c r="I382" s="6"/>
      <c r="J382" s="2188">
        <f>'1. AgeData'!E109</f>
        <v>0</v>
      </c>
      <c r="K382" s="2189">
        <f>'1. AgeData'!H109</f>
        <v>0</v>
      </c>
      <c r="L382" s="39"/>
    </row>
    <row r="383" spans="1:12" x14ac:dyDescent="0.25">
      <c r="A383" s="307">
        <f t="shared" si="22"/>
        <v>79</v>
      </c>
      <c r="B383" s="689">
        <f t="shared" si="23"/>
        <v>74</v>
      </c>
      <c r="C383" s="909">
        <f>IF(OR(A383&gt;$G$140,A383&lt;$G$134,'S. Setup'!$J$82&lt;&gt;"yes"),0,$G$127*POWER((1+$G$130),(A383-A$364)))</f>
        <v>0</v>
      </c>
      <c r="D383" s="906">
        <f>IF(OR(B383&gt;$G$142,B383&lt;$G$136,'S. Setup'!$J$82&lt;&gt;"yes"),0,$G$128*POWER((1+$G$131),(B383-B$364)))</f>
        <v>0</v>
      </c>
      <c r="E383" s="909">
        <f>IF(OR(A383&gt;$F$156,A383&lt;$F$150,'S. Setup'!$J$82&lt;&gt;"yes"),0,C552*$F$161)</f>
        <v>4905.5841931410878</v>
      </c>
      <c r="F383" s="911">
        <f>IF(OR(B383&gt;$F$158,B383&lt;$F$152,'S. Setup'!$J$82&lt;&gt;"yes"),0,D552*$F$162)</f>
        <v>2308.3500111124717</v>
      </c>
      <c r="G383" s="909">
        <f t="shared" si="25"/>
        <v>-4905.5841931410878</v>
      </c>
      <c r="H383" s="912">
        <f t="shared" si="24"/>
        <v>-2308.3500111124717</v>
      </c>
      <c r="I383" s="6"/>
      <c r="J383" s="2188">
        <f>'1. AgeData'!E110</f>
        <v>0</v>
      </c>
      <c r="K383" s="2189">
        <f>'1. AgeData'!H110</f>
        <v>0</v>
      </c>
      <c r="L383" s="39"/>
    </row>
    <row r="384" spans="1:12" x14ac:dyDescent="0.25">
      <c r="A384" s="307">
        <f t="shared" si="22"/>
        <v>80</v>
      </c>
      <c r="B384" s="689">
        <f t="shared" si="23"/>
        <v>75</v>
      </c>
      <c r="C384" s="909">
        <f>IF(OR(A384&gt;$G$140,A384&lt;$G$134,'S. Setup'!$J$82&lt;&gt;"yes"),0,$G$127*POWER((1+$G$130),(A384-A$364)))</f>
        <v>0</v>
      </c>
      <c r="D384" s="906">
        <f>IF(OR(B384&gt;$G$142,B384&lt;$G$136,'S. Setup'!$J$82&lt;&gt;"yes"),0,$G$128*POWER((1+$G$131),(B384-B$364)))</f>
        <v>0</v>
      </c>
      <c r="E384" s="909">
        <f>IF(OR(A384&gt;$F$156,A384&lt;$F$150,'S. Setup'!$J$82&lt;&gt;"yes"),0,C553*$F$161)</f>
        <v>5212.6108970169953</v>
      </c>
      <c r="F384" s="911">
        <f>IF(OR(B384&gt;$F$158,B384&lt;$F$152,'S. Setup'!$J$82&lt;&gt;"yes"),0,D553*$F$162)</f>
        <v>2466.0729505220261</v>
      </c>
      <c r="G384" s="909">
        <f t="shared" si="25"/>
        <v>-5212.6108970169953</v>
      </c>
      <c r="H384" s="912">
        <f t="shared" si="24"/>
        <v>-2466.0729505220261</v>
      </c>
      <c r="I384" s="6"/>
      <c r="J384" s="2188">
        <f>'1. AgeData'!E111</f>
        <v>0</v>
      </c>
      <c r="K384" s="2189">
        <f>'1. AgeData'!H111</f>
        <v>0</v>
      </c>
      <c r="L384" s="39"/>
    </row>
    <row r="385" spans="1:12" x14ac:dyDescent="0.25">
      <c r="A385" s="307">
        <f t="shared" si="22"/>
        <v>81</v>
      </c>
      <c r="B385" s="689">
        <f t="shared" si="23"/>
        <v>76</v>
      </c>
      <c r="C385" s="909">
        <f>IF(OR(A385&gt;$G$140,A385&lt;$G$134,'S. Setup'!$J$82&lt;&gt;"yes"),0,$G$127*POWER((1+$G$130),(A385-A$364)))</f>
        <v>0</v>
      </c>
      <c r="D385" s="906">
        <f>IF(OR(B385&gt;$G$142,B385&lt;$G$136,'S. Setup'!$J$82&lt;&gt;"yes"),0,$G$128*POWER((1+$G$131),(B385-B$364)))</f>
        <v>0</v>
      </c>
      <c r="E385" s="909">
        <f>IF(OR(A385&gt;$F$156,A385&lt;$F$150,'S. Setup'!$J$82&lt;&gt;"yes"),0,C554*$F$161)</f>
        <v>5529.2896399179945</v>
      </c>
      <c r="F385" s="911">
        <f>IF(OR(B385&gt;$F$158,B385&lt;$F$152,'S. Setup'!$J$82&lt;&gt;"yes"),0,D554*$F$162)</f>
        <v>2648.9631901995831</v>
      </c>
      <c r="G385" s="909">
        <f t="shared" si="20"/>
        <v>-5529.2896399179945</v>
      </c>
      <c r="H385" s="912">
        <f t="shared" si="24"/>
        <v>-2648.9631901995831</v>
      </c>
      <c r="I385" s="6"/>
      <c r="J385" s="2188">
        <f>'1. AgeData'!E112</f>
        <v>0</v>
      </c>
      <c r="K385" s="2189">
        <f>'1. AgeData'!H112</f>
        <v>0</v>
      </c>
      <c r="L385" s="39"/>
    </row>
    <row r="386" spans="1:12" x14ac:dyDescent="0.25">
      <c r="A386" s="307">
        <f t="shared" si="22"/>
        <v>82</v>
      </c>
      <c r="B386" s="689">
        <f t="shared" si="23"/>
        <v>77</v>
      </c>
      <c r="C386" s="909">
        <f>IF(OR(A386&gt;$G$140,A386&lt;$G$134,'S. Setup'!$J$82&lt;&gt;"yes"),0,$G$127*POWER((1+$G$130),(A386-A$364)))</f>
        <v>0</v>
      </c>
      <c r="D386" s="906">
        <f>IF(OR(B386&gt;$G$142,B386&lt;$G$136,'S. Setup'!$J$82&lt;&gt;"yes"),0,$G$128*POWER((1+$G$131),(B386-B$364)))</f>
        <v>0</v>
      </c>
      <c r="E386" s="909">
        <f>IF(OR(A386&gt;$F$156,A386&lt;$F$150,'S. Setup'!$J$82&lt;&gt;"yes"),0,C555*$F$161)</f>
        <v>5855.8576690854934</v>
      </c>
      <c r="F386" s="911">
        <f>IF(OR(B386&gt;$F$158,B386&lt;$F$152,'S. Setup'!$J$82&lt;&gt;"yes"),0,D555*$F$162)</f>
        <v>2825.1347226781636</v>
      </c>
      <c r="G386" s="909">
        <f t="shared" si="20"/>
        <v>-5855.8576690854934</v>
      </c>
      <c r="H386" s="912">
        <f t="shared" si="24"/>
        <v>-2825.1347226781636</v>
      </c>
      <c r="I386" s="6"/>
      <c r="J386" s="2188">
        <f>'1. AgeData'!E113</f>
        <v>0</v>
      </c>
      <c r="K386" s="2189">
        <f>'1. AgeData'!H113</f>
        <v>0</v>
      </c>
      <c r="L386" s="39"/>
    </row>
    <row r="387" spans="1:12" x14ac:dyDescent="0.25">
      <c r="A387" s="307">
        <f t="shared" si="22"/>
        <v>83</v>
      </c>
      <c r="B387" s="689">
        <f t="shared" si="23"/>
        <v>78</v>
      </c>
      <c r="C387" s="909">
        <f>IF(OR(A387&gt;$G$140,A387&lt;$G$134,'S. Setup'!$J$82&lt;&gt;"yes"),0,$G$127*POWER((1+$G$130),(A387-A$364)))</f>
        <v>0</v>
      </c>
      <c r="D387" s="906">
        <f>IF(OR(B387&gt;$G$142,B387&lt;$G$136,'S. Setup'!$J$82&lt;&gt;"yes"),0,$G$128*POWER((1+$G$131),(B387-B$364)))</f>
        <v>0</v>
      </c>
      <c r="E387" s="909">
        <f>IF(OR(A387&gt;$F$156,A387&lt;$F$150,'S. Setup'!$J$82&lt;&gt;"yes"),0,C556*$F$161)</f>
        <v>6192.6437691652955</v>
      </c>
      <c r="F387" s="911">
        <f>IF(OR(B387&gt;$F$158,B387&lt;$F$152,'S. Setup'!$J$82&lt;&gt;"yes"),0,D556*$F$162)</f>
        <v>3007.3946596823585</v>
      </c>
      <c r="G387" s="909">
        <f t="shared" si="20"/>
        <v>-6192.6437691652955</v>
      </c>
      <c r="H387" s="912">
        <f t="shared" si="24"/>
        <v>-3007.3946596823585</v>
      </c>
      <c r="I387" s="6"/>
      <c r="J387" s="2188">
        <f>'1. AgeData'!E114</f>
        <v>0</v>
      </c>
      <c r="K387" s="2189">
        <f>'1. AgeData'!H114</f>
        <v>0</v>
      </c>
      <c r="L387" s="39"/>
    </row>
    <row r="388" spans="1:12" x14ac:dyDescent="0.25">
      <c r="A388" s="307">
        <f t="shared" si="22"/>
        <v>84</v>
      </c>
      <c r="B388" s="689">
        <f t="shared" si="23"/>
        <v>79</v>
      </c>
      <c r="C388" s="909">
        <f>IF(OR(A388&gt;$G$140,A388&lt;$G$134,'S. Setup'!$J$82&lt;&gt;"yes"),0,$G$127*POWER((1+$G$130),(A388-A$364)))</f>
        <v>0</v>
      </c>
      <c r="D388" s="906">
        <f>IF(OR(B388&gt;$G$142,B388&lt;$G$136,'S. Setup'!$J$82&lt;&gt;"yes"),0,$G$128*POWER((1+$G$131),(B388-B$364)))</f>
        <v>0</v>
      </c>
      <c r="E388" s="909">
        <f>IF(OR(A388&gt;$F$156,A388&lt;$F$150,'S. Setup'!$J$82&lt;&gt;"yes"),0,C557*$F$161)</f>
        <v>6539.9543712757923</v>
      </c>
      <c r="F388" s="911">
        <f>IF(OR(B388&gt;$F$158,B388&lt;$F$152,'S. Setup'!$J$82&lt;&gt;"yes"),0,D557*$F$162)</f>
        <v>3196.2224763419003</v>
      </c>
      <c r="G388" s="909">
        <f t="shared" si="20"/>
        <v>-6539.9543712757923</v>
      </c>
      <c r="H388" s="912">
        <f t="shared" si="24"/>
        <v>-3196.2224763419003</v>
      </c>
      <c r="I388" s="6"/>
      <c r="J388" s="2188">
        <f>'1. AgeData'!E115</f>
        <v>0</v>
      </c>
      <c r="K388" s="2189">
        <f>'1. AgeData'!H115</f>
        <v>0</v>
      </c>
      <c r="L388" s="39"/>
    </row>
    <row r="389" spans="1:12" x14ac:dyDescent="0.25">
      <c r="A389" s="307">
        <f t="shared" si="22"/>
        <v>85</v>
      </c>
      <c r="B389" s="689">
        <f t="shared" si="23"/>
        <v>80</v>
      </c>
      <c r="C389" s="909">
        <f>IF(OR(A389&gt;$G$140,A389&lt;$G$134,'S. Setup'!$J$82&lt;&gt;"yes"),0,$G$127*POWER((1+$G$130),(A389-A$364)))</f>
        <v>0</v>
      </c>
      <c r="D389" s="906">
        <f>IF(OR(B389&gt;$G$142,B389&lt;$G$136,'S. Setup'!$J$82&lt;&gt;"yes"),0,$G$128*POWER((1+$G$131),(B389-B$364)))</f>
        <v>0</v>
      </c>
      <c r="E389" s="909">
        <f>IF(OR(A389&gt;$F$156,A389&lt;$F$150,'S. Setup'!$J$82&lt;&gt;"yes"),0,C558*$F$161)</f>
        <v>6898.1058121480955</v>
      </c>
      <c r="F389" s="911">
        <f>IF(OR(B389&gt;$F$158,B389&lt;$F$152,'S. Setup'!$J$82&lt;&gt;"yes"),0,D558*$F$162)</f>
        <v>3391.5607930807446</v>
      </c>
      <c r="G389" s="909">
        <f t="shared" si="20"/>
        <v>-6898.1058121480955</v>
      </c>
      <c r="H389" s="912">
        <f t="shared" si="24"/>
        <v>-3391.5607930807446</v>
      </c>
      <c r="I389" s="6"/>
      <c r="J389" s="2188">
        <f>'1. AgeData'!E116</f>
        <v>0</v>
      </c>
      <c r="K389" s="2189">
        <f>'1. AgeData'!H116</f>
        <v>183028.50599219505</v>
      </c>
      <c r="L389" s="39"/>
    </row>
    <row r="390" spans="1:12" x14ac:dyDescent="0.25">
      <c r="A390" s="307">
        <f t="shared" si="22"/>
        <v>86</v>
      </c>
      <c r="B390" s="689">
        <f t="shared" si="23"/>
        <v>81</v>
      </c>
      <c r="C390" s="909">
        <f>IF(OR(A390&gt;$G$140,A390&lt;$G$134,'S. Setup'!$J$82&lt;&gt;"yes"),0,$G$127*POWER((1+$G$130),(A390-A$364)))</f>
        <v>0</v>
      </c>
      <c r="D390" s="906">
        <f>IF(OR(B390&gt;$G$142,B390&lt;$G$136,'S. Setup'!$J$82&lt;&gt;"yes"),0,$G$128*POWER((1+$G$131),(B390-B$364)))</f>
        <v>0</v>
      </c>
      <c r="E390" s="909">
        <f>IF(OR(A390&gt;$F$156,A390&lt;$F$150,'S. Setup'!$J$82&lt;&gt;"yes"),0,C559*$F$161)</f>
        <v>0</v>
      </c>
      <c r="F390" s="911">
        <f>IF(OR(B390&gt;$F$158,B390&lt;$F$152,'S. Setup'!$J$82&lt;&gt;"yes"),0,D559*$F$162)</f>
        <v>5181.6445149407891</v>
      </c>
      <c r="G390" s="909">
        <f t="shared" si="20"/>
        <v>0</v>
      </c>
      <c r="H390" s="912">
        <f t="shared" si="21"/>
        <v>-5181.6445149407891</v>
      </c>
      <c r="I390" s="6"/>
      <c r="J390" s="2188">
        <f>'1. AgeData'!E117</f>
        <v>0</v>
      </c>
      <c r="K390" s="2189">
        <f>'1. AgeData'!H117</f>
        <v>0</v>
      </c>
      <c r="L390" s="39"/>
    </row>
    <row r="391" spans="1:12" x14ac:dyDescent="0.25">
      <c r="A391" s="307">
        <f t="shared" si="22"/>
        <v>87</v>
      </c>
      <c r="B391" s="689">
        <f t="shared" si="23"/>
        <v>82</v>
      </c>
      <c r="C391" s="909">
        <f>IF(OR(A391&gt;$G$140,A391&lt;$G$134,'S. Setup'!$J$82&lt;&gt;"yes"),0,$G$127*POWER((1+$G$130),(A391-A$364)))</f>
        <v>0</v>
      </c>
      <c r="D391" s="906">
        <f>IF(OR(B391&gt;$G$142,B391&lt;$G$136,'S. Setup'!$J$82&lt;&gt;"yes"),0,$G$128*POWER((1+$G$131),(B391-B$364)))</f>
        <v>0</v>
      </c>
      <c r="E391" s="909">
        <f>IF(OR(A391&gt;$F$156,A391&lt;$F$150,'S. Setup'!$J$82&lt;&gt;"yes"),0,C560*$F$161)</f>
        <v>0</v>
      </c>
      <c r="F391" s="911">
        <f>IF(OR(B391&gt;$F$158,B391&lt;$F$152,'S. Setup'!$J$82&lt;&gt;"yes"),0,D560*$F$162)</f>
        <v>5277.5508513253544</v>
      </c>
      <c r="G391" s="909">
        <f t="shared" si="20"/>
        <v>0</v>
      </c>
      <c r="H391" s="912">
        <f t="shared" si="21"/>
        <v>-5277.5508513253544</v>
      </c>
      <c r="I391" s="6"/>
      <c r="J391" s="2188">
        <f>'1. AgeData'!E118</f>
        <v>0</v>
      </c>
      <c r="K391" s="2189">
        <f>'1. AgeData'!H118</f>
        <v>0</v>
      </c>
      <c r="L391" s="39"/>
    </row>
    <row r="392" spans="1:12" x14ac:dyDescent="0.25">
      <c r="A392" s="307">
        <f t="shared" si="22"/>
        <v>88</v>
      </c>
      <c r="B392" s="689">
        <f t="shared" si="23"/>
        <v>83</v>
      </c>
      <c r="C392" s="909">
        <f>IF(OR(A392&gt;$G$140,A392&lt;$G$134,'S. Setup'!$J$82&lt;&gt;"yes"),0,$G$127*POWER((1+$G$130),(A392-A$364)))</f>
        <v>0</v>
      </c>
      <c r="D392" s="906">
        <f>IF(OR(B392&gt;$G$142,B392&lt;$G$136,'S. Setup'!$J$82&lt;&gt;"yes"),0,$G$128*POWER((1+$G$131),(B392-B$364)))</f>
        <v>0</v>
      </c>
      <c r="E392" s="909">
        <f>IF(OR(A392&gt;$F$156,A392&lt;$F$150,'S. Setup'!$J$82&lt;&gt;"yes"),0,C561*$F$161)</f>
        <v>0</v>
      </c>
      <c r="F392" s="911">
        <f>IF(OR(B392&gt;$F$158,B392&lt;$F$152,'S. Setup'!$J$82&lt;&gt;"yes"),0,D561*$F$162)</f>
        <v>5373.7142497786217</v>
      </c>
      <c r="G392" s="909">
        <f t="shared" si="20"/>
        <v>0</v>
      </c>
      <c r="H392" s="912">
        <f t="shared" si="21"/>
        <v>-5373.7142497786217</v>
      </c>
      <c r="I392" s="6"/>
      <c r="J392" s="2188">
        <f>'1. AgeData'!E119</f>
        <v>0</v>
      </c>
      <c r="K392" s="2189">
        <f>'1. AgeData'!H119</f>
        <v>0</v>
      </c>
      <c r="L392" s="39"/>
    </row>
    <row r="393" spans="1:12" x14ac:dyDescent="0.25">
      <c r="A393" s="307">
        <f t="shared" si="22"/>
        <v>89</v>
      </c>
      <c r="B393" s="689">
        <f t="shared" si="23"/>
        <v>84</v>
      </c>
      <c r="C393" s="909">
        <f>IF(OR(A393&gt;$G$140,A393&lt;$G$134,'S. Setup'!$J$82&lt;&gt;"yes"),0,$G$127*POWER((1+$G$130),(A393-A$364)))</f>
        <v>0</v>
      </c>
      <c r="D393" s="906">
        <f>IF(OR(B393&gt;$G$142,B393&lt;$G$136,'S. Setup'!$J$82&lt;&gt;"yes"),0,$G$128*POWER((1+$G$131),(B393-B$364)))</f>
        <v>0</v>
      </c>
      <c r="E393" s="909">
        <f>IF(OR(A393&gt;$F$156,A393&lt;$F$150,'S. Setup'!$J$82&lt;&gt;"yes"),0,C562*$F$161)</f>
        <v>0</v>
      </c>
      <c r="F393" s="911">
        <f>IF(OR(B393&gt;$F$158,B393&lt;$F$152,'S. Setup'!$J$82&lt;&gt;"yes"),0,D562*$F$162)</f>
        <v>5470.1230807073634</v>
      </c>
      <c r="G393" s="909">
        <f t="shared" si="20"/>
        <v>0</v>
      </c>
      <c r="H393" s="912">
        <f t="shared" si="21"/>
        <v>-5470.1230807073634</v>
      </c>
      <c r="I393" s="6"/>
      <c r="J393" s="2188">
        <f>'1. AgeData'!E120</f>
        <v>0</v>
      </c>
      <c r="K393" s="2189">
        <f>'1. AgeData'!H120</f>
        <v>0</v>
      </c>
      <c r="L393" s="39"/>
    </row>
    <row r="394" spans="1:12" x14ac:dyDescent="0.25">
      <c r="A394" s="307">
        <f t="shared" si="22"/>
        <v>90</v>
      </c>
      <c r="B394" s="689">
        <f t="shared" si="23"/>
        <v>85</v>
      </c>
      <c r="C394" s="909">
        <f>IF(OR(A394&gt;$G$140,A394&lt;$G$134,'S. Setup'!$J$82&lt;&gt;"yes"),0,$G$127*POWER((1+$G$130),(A394-A$364)))</f>
        <v>0</v>
      </c>
      <c r="D394" s="906">
        <f>IF(OR(B394&gt;$G$142,B394&lt;$G$136,'S. Setup'!$J$82&lt;&gt;"yes"),0,$G$128*POWER((1+$G$131),(B394-B$364)))</f>
        <v>0</v>
      </c>
      <c r="E394" s="909">
        <f>IF(OR(A394&gt;$F$156,A394&lt;$F$150,'S. Setup'!$J$82&lt;&gt;"yes"),0,C563*$F$161)</f>
        <v>0</v>
      </c>
      <c r="F394" s="911">
        <f>IF(OR(B394&gt;$F$158,B394&lt;$F$152,'S. Setup'!$J$82&lt;&gt;"yes"),0,D563*$F$162)</f>
        <v>5566.7683079070084</v>
      </c>
      <c r="G394" s="909">
        <f t="shared" si="20"/>
        <v>0</v>
      </c>
      <c r="H394" s="912">
        <f t="shared" si="21"/>
        <v>-5566.7683079070084</v>
      </c>
      <c r="I394" s="6"/>
      <c r="J394" s="2188">
        <f>'1. AgeData'!E121</f>
        <v>0</v>
      </c>
      <c r="K394" s="2189">
        <f>'1. AgeData'!H121</f>
        <v>0</v>
      </c>
      <c r="L394" s="39"/>
    </row>
    <row r="395" spans="1:12" x14ac:dyDescent="0.25">
      <c r="A395" s="307">
        <f t="shared" si="22"/>
        <v>91</v>
      </c>
      <c r="B395" s="689">
        <f t="shared" si="23"/>
        <v>86</v>
      </c>
      <c r="C395" s="909">
        <f>IF(OR(A395&gt;$G$140,A395&lt;$G$134,'S. Setup'!$J$82&lt;&gt;"yes"),0,$G$127*POWER((1+$G$130),(A395-A$364)))</f>
        <v>0</v>
      </c>
      <c r="D395" s="906">
        <f>IF(OR(B395&gt;$G$142,B395&lt;$G$136,'S. Setup'!$J$82&lt;&gt;"yes"),0,$G$128*POWER((1+$G$131),(B395-B$364)))</f>
        <v>0</v>
      </c>
      <c r="E395" s="909">
        <f>IF(OR(A395&gt;$F$156,A395&lt;$F$150,'S. Setup'!$J$82&lt;&gt;"yes"),0,C564*$F$161)</f>
        <v>0</v>
      </c>
      <c r="F395" s="911">
        <f>IF(OR(B395&gt;$F$158,B395&lt;$F$152,'S. Setup'!$J$82&lt;&gt;"yes"),0,D564*$F$162)</f>
        <v>5663.115680074975</v>
      </c>
      <c r="G395" s="909">
        <f t="shared" si="20"/>
        <v>0</v>
      </c>
      <c r="H395" s="912">
        <f t="shared" si="21"/>
        <v>-5663.115680074975</v>
      </c>
      <c r="I395" s="6"/>
      <c r="J395" s="2188">
        <f>'1. AgeData'!E122</f>
        <v>0</v>
      </c>
      <c r="K395" s="2189">
        <f>'1. AgeData'!H122</f>
        <v>0</v>
      </c>
      <c r="L395" s="39"/>
    </row>
    <row r="396" spans="1:12" x14ac:dyDescent="0.25">
      <c r="A396" s="307">
        <f t="shared" si="22"/>
        <v>92</v>
      </c>
      <c r="B396" s="689">
        <f t="shared" si="23"/>
        <v>87</v>
      </c>
      <c r="C396" s="909">
        <f>IF(OR(A396&gt;$G$140,A396&lt;$G$134,'S. Setup'!$J$82&lt;&gt;"yes"),0,$G$127*POWER((1+$G$130),(A396-A$364)))</f>
        <v>0</v>
      </c>
      <c r="D396" s="906">
        <f>IF(OR(B396&gt;$G$142,B396&lt;$G$136,'S. Setup'!$J$82&lt;&gt;"yes"),0,$G$128*POWER((1+$G$131),(B396-B$364)))</f>
        <v>0</v>
      </c>
      <c r="E396" s="909">
        <f>IF(OR(A396&gt;$F$156,A396&lt;$F$150,'S. Setup'!$J$82&lt;&gt;"yes"),0,C565*$F$161)</f>
        <v>0</v>
      </c>
      <c r="F396" s="911">
        <f>IF(OR(B396&gt;$F$158,B396&lt;$F$152,'S. Setup'!$J$82&lt;&gt;"yes"),0,D565*$F$162)</f>
        <v>5765.4697695189789</v>
      </c>
      <c r="G396" s="909">
        <f t="shared" si="20"/>
        <v>0</v>
      </c>
      <c r="H396" s="912">
        <f t="shared" si="21"/>
        <v>-5765.4697695189789</v>
      </c>
      <c r="I396" s="6"/>
      <c r="J396" s="2188">
        <f>'1. AgeData'!E123</f>
        <v>30000</v>
      </c>
      <c r="K396" s="2189">
        <f>'1. AgeData'!H123</f>
        <v>0</v>
      </c>
      <c r="L396" s="39"/>
    </row>
    <row r="397" spans="1:12" x14ac:dyDescent="0.25">
      <c r="A397" s="307">
        <f t="shared" si="22"/>
        <v>93</v>
      </c>
      <c r="B397" s="689">
        <f t="shared" si="23"/>
        <v>88</v>
      </c>
      <c r="C397" s="909">
        <f>IF(OR(A397&gt;$G$140,A397&lt;$G$134,'S. Setup'!$J$82&lt;&gt;"yes"),0,$G$127*POWER((1+$G$130),(A397-A$364)))</f>
        <v>0</v>
      </c>
      <c r="D397" s="906">
        <f>IF(OR(B397&gt;$G$142,B397&lt;$G$136,'S. Setup'!$J$82&lt;&gt;"yes"),0,$G$128*POWER((1+$G$131),(B397-B$364)))</f>
        <v>0</v>
      </c>
      <c r="E397" s="909">
        <f>IF(OR(A397&gt;$F$156,A397&lt;$F$150,'S. Setup'!$J$82&lt;&gt;"yes"),0,C566*$F$161)</f>
        <v>0</v>
      </c>
      <c r="F397" s="911">
        <f>IF(OR(B397&gt;$F$158,B397&lt;$F$152,'S. Setup'!$J$82&lt;&gt;"yes"),0,D566*$F$162)</f>
        <v>0</v>
      </c>
      <c r="G397" s="909">
        <f t="shared" si="20"/>
        <v>0</v>
      </c>
      <c r="H397" s="912">
        <f t="shared" si="21"/>
        <v>0</v>
      </c>
      <c r="I397" s="6"/>
      <c r="J397" s="2188">
        <f>'1. AgeData'!E124</f>
        <v>0</v>
      </c>
      <c r="K397" s="2189">
        <f>'1. AgeData'!H124</f>
        <v>0</v>
      </c>
      <c r="L397" s="39"/>
    </row>
    <row r="398" spans="1:12" x14ac:dyDescent="0.25">
      <c r="A398" s="307">
        <f t="shared" si="22"/>
        <v>94</v>
      </c>
      <c r="B398" s="689">
        <f t="shared" si="23"/>
        <v>89</v>
      </c>
      <c r="C398" s="909">
        <f>IF(OR(A398&gt;$G$140,A398&lt;$G$134,'S. Setup'!$J$82&lt;&gt;"yes"),0,$G$127*POWER((1+$G$130),(A398-A$364)))</f>
        <v>0</v>
      </c>
      <c r="D398" s="906">
        <f>IF(OR(B398&gt;$G$142,B398&lt;$G$136,'S. Setup'!$J$82&lt;&gt;"yes"),0,$G$128*POWER((1+$G$131),(B398-B$364)))</f>
        <v>0</v>
      </c>
      <c r="E398" s="909">
        <f>IF(OR(A398&gt;$F$156,A398&lt;$F$150,'S. Setup'!$J$82&lt;&gt;"yes"),0,C567*$F$161)</f>
        <v>0</v>
      </c>
      <c r="F398" s="911">
        <f>IF(OR(B398&gt;$F$158,B398&lt;$F$152,'S. Setup'!$J$82&lt;&gt;"yes"),0,D567*$F$162)</f>
        <v>0</v>
      </c>
      <c r="G398" s="909">
        <f t="shared" si="20"/>
        <v>0</v>
      </c>
      <c r="H398" s="912">
        <f t="shared" si="21"/>
        <v>0</v>
      </c>
      <c r="I398" s="6"/>
      <c r="J398" s="2188">
        <f>'1. AgeData'!E125</f>
        <v>0</v>
      </c>
      <c r="K398" s="2189">
        <f>'1. AgeData'!H125</f>
        <v>0</v>
      </c>
      <c r="L398" s="39"/>
    </row>
    <row r="399" spans="1:12" x14ac:dyDescent="0.25">
      <c r="A399" s="307">
        <f>A398+1</f>
        <v>95</v>
      </c>
      <c r="B399" s="689">
        <f>B398+1</f>
        <v>90</v>
      </c>
      <c r="C399" s="909">
        <f>IF(OR(A399&gt;$G$140,A399&lt;$G$134,'S. Setup'!$J$82&lt;&gt;"yes"),0,$G$127*POWER((1+$G$130),(A399-A$364)))</f>
        <v>0</v>
      </c>
      <c r="D399" s="906">
        <f>IF(OR(B399&gt;$G$142,B399&lt;$G$136,'S. Setup'!$J$82&lt;&gt;"yes"),0,$G$128*POWER((1+$G$131),(B399-B$364)))</f>
        <v>0</v>
      </c>
      <c r="E399" s="909">
        <f>IF(OR(A399&gt;$F$156,A399&lt;$F$150,'S. Setup'!$J$82&lt;&gt;"yes"),0,C568*$F$161)</f>
        <v>0</v>
      </c>
      <c r="F399" s="911">
        <f>IF(OR(B399&gt;$F$158,B399&lt;$F$152,'S. Setup'!$J$82&lt;&gt;"yes"),0,D568*$F$162)</f>
        <v>0</v>
      </c>
      <c r="G399" s="909">
        <f>C399-E399</f>
        <v>0</v>
      </c>
      <c r="H399" s="912">
        <f>D399-F399</f>
        <v>0</v>
      </c>
      <c r="I399" s="6"/>
      <c r="J399" s="2188">
        <f>'1. AgeData'!E126</f>
        <v>0</v>
      </c>
      <c r="K399" s="2189">
        <f>'1. AgeData'!H126</f>
        <v>0</v>
      </c>
      <c r="L399" s="39"/>
    </row>
    <row r="400" spans="1:12" ht="15.75" thickBot="1" x14ac:dyDescent="0.3">
      <c r="A400" s="311">
        <f>A399+1</f>
        <v>96</v>
      </c>
      <c r="B400" s="690">
        <f>B399+1</f>
        <v>91</v>
      </c>
      <c r="C400" s="914">
        <f>IF(OR(A400&gt;$G$140,A400&lt;$G$134,'S. Setup'!$J$82&lt;&gt;"yes"),0,$G$127*POWER((1+$G$130),(A400-A$364)))</f>
        <v>0</v>
      </c>
      <c r="D400" s="913">
        <f>IF(OR(B400&gt;$G$142,B400&lt;$G$136,'S. Setup'!$J$82&lt;&gt;"yes"),0,$G$128*POWER((1+$G$131),(B400-B$364)))</f>
        <v>0</v>
      </c>
      <c r="E400" s="914">
        <f>IF(OR(A400&gt;$F$156,A400&lt;$F$150,'S. Setup'!$J$82&lt;&gt;"yes"),0,C569*$F$161)</f>
        <v>0</v>
      </c>
      <c r="F400" s="915">
        <f>IF(OR(B400&gt;$F$158,B400&lt;$F$152,'S. Setup'!$J$82&lt;&gt;"yes"),0,D569*$F$162)</f>
        <v>0</v>
      </c>
      <c r="G400" s="914">
        <f>C400-E400</f>
        <v>0</v>
      </c>
      <c r="H400" s="916">
        <f>D400-F400</f>
        <v>0</v>
      </c>
      <c r="I400" s="2073"/>
      <c r="J400" s="2190">
        <f>'1. AgeData'!E127</f>
        <v>0</v>
      </c>
      <c r="K400" s="2191">
        <f>'1. AgeData'!H127</f>
        <v>0</v>
      </c>
      <c r="L400" s="39"/>
    </row>
    <row r="401" spans="1:12" ht="15.75" thickTop="1" x14ac:dyDescent="0.25">
      <c r="A401" s="307"/>
      <c r="B401" s="316"/>
      <c r="C401" s="2182" t="s">
        <v>332</v>
      </c>
      <c r="D401" s="2183" t="s">
        <v>333</v>
      </c>
      <c r="E401" s="1219" t="s">
        <v>332</v>
      </c>
      <c r="F401" s="1220" t="s">
        <v>333</v>
      </c>
      <c r="G401" s="1223" t="s">
        <v>332</v>
      </c>
      <c r="H401" s="1224" t="s">
        <v>333</v>
      </c>
      <c r="I401" s="6"/>
      <c r="J401" s="1014" t="s">
        <v>332</v>
      </c>
      <c r="K401" s="1015" t="s">
        <v>333</v>
      </c>
      <c r="L401" s="39"/>
    </row>
    <row r="402" spans="1:12" ht="15.75" thickBot="1" x14ac:dyDescent="0.3">
      <c r="A402" s="307"/>
      <c r="B402" s="316"/>
      <c r="C402" s="2184">
        <f t="shared" ref="C402:D402" si="26">SUM(C364:C400)</f>
        <v>4060.4009999999998</v>
      </c>
      <c r="D402" s="2185">
        <f t="shared" si="26"/>
        <v>13200</v>
      </c>
      <c r="E402" s="1221">
        <f>SUM(E364:E400)</f>
        <v>79662.103799556717</v>
      </c>
      <c r="F402" s="1222">
        <f>SUM(F364:F400)</f>
        <v>76630.735482608332</v>
      </c>
      <c r="G402" s="1225">
        <f>SUM(G364:G400)</f>
        <v>-75601.702799556719</v>
      </c>
      <c r="H402" s="1226">
        <f>SUM(H364:H400)</f>
        <v>-63430.735482608332</v>
      </c>
      <c r="I402" s="6"/>
      <c r="J402" s="1016">
        <f t="shared" ref="J402:K402" si="27">SUM(J364:J400)</f>
        <v>30000</v>
      </c>
      <c r="K402" s="1017">
        <f t="shared" si="27"/>
        <v>183028.50599219505</v>
      </c>
      <c r="L402" s="39"/>
    </row>
    <row r="403" spans="1:12" ht="15.75" thickTop="1" x14ac:dyDescent="0.25">
      <c r="A403" s="307"/>
      <c r="B403" s="316"/>
      <c r="C403" s="317"/>
      <c r="D403" s="317"/>
      <c r="E403" s="317"/>
      <c r="F403" s="317"/>
      <c r="G403" s="380"/>
      <c r="H403" s="380"/>
      <c r="I403" s="6"/>
      <c r="J403" s="6"/>
      <c r="K403" s="6"/>
      <c r="L403" s="39"/>
    </row>
    <row r="404" spans="1:12" ht="15.75" thickBot="1" x14ac:dyDescent="0.3">
      <c r="A404" s="38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39"/>
    </row>
    <row r="405" spans="1:12" ht="19.5" thickTop="1" x14ac:dyDescent="0.3">
      <c r="A405" s="265" t="s">
        <v>252</v>
      </c>
      <c r="B405" s="14"/>
      <c r="C405" s="14"/>
      <c r="D405" s="14"/>
      <c r="E405" s="14"/>
      <c r="F405" s="14"/>
      <c r="G405" s="14"/>
      <c r="H405" s="14"/>
      <c r="I405" s="16"/>
      <c r="L405" s="39"/>
    </row>
    <row r="406" spans="1:12" ht="18.75" x14ac:dyDescent="0.3">
      <c r="A406" s="163" t="s">
        <v>251</v>
      </c>
      <c r="B406" s="6"/>
      <c r="C406" s="6"/>
      <c r="D406" s="6"/>
      <c r="E406" s="6"/>
      <c r="F406" s="6"/>
      <c r="G406" s="6"/>
      <c r="H406" s="6"/>
      <c r="I406" s="39"/>
      <c r="L406" s="39"/>
    </row>
    <row r="407" spans="1:12" x14ac:dyDescent="0.25">
      <c r="A407" s="139" t="s">
        <v>193</v>
      </c>
      <c r="B407" s="6"/>
      <c r="C407" s="6"/>
      <c r="D407" s="6"/>
      <c r="E407" s="6"/>
      <c r="F407" s="6"/>
      <c r="G407" s="6"/>
      <c r="H407" s="6"/>
      <c r="I407" s="39"/>
      <c r="L407" s="39"/>
    </row>
    <row r="408" spans="1:12" x14ac:dyDescent="0.25">
      <c r="A408" s="6" t="s">
        <v>194</v>
      </c>
      <c r="B408" s="6"/>
      <c r="C408" s="6"/>
      <c r="D408" s="6"/>
      <c r="E408" s="6"/>
      <c r="F408" s="6"/>
      <c r="G408" s="6"/>
      <c r="H408" s="6"/>
      <c r="I408" s="39"/>
      <c r="L408" s="39"/>
    </row>
    <row r="409" spans="1:12" ht="15.75" thickBot="1" x14ac:dyDescent="0.3">
      <c r="A409" s="324"/>
      <c r="B409" s="41"/>
      <c r="C409" s="41"/>
      <c r="D409" s="41"/>
      <c r="E409" s="41"/>
      <c r="F409" s="41"/>
      <c r="G409" s="41"/>
      <c r="H409" s="41"/>
      <c r="I409" s="43"/>
      <c r="L409" s="39"/>
    </row>
    <row r="410" spans="1:12" ht="62.25" thickTop="1" thickBot="1" x14ac:dyDescent="0.3">
      <c r="A410" s="663" t="s">
        <v>218</v>
      </c>
      <c r="B410" s="664" t="s">
        <v>224</v>
      </c>
      <c r="C410" s="512" t="s">
        <v>223</v>
      </c>
      <c r="D410" s="664" t="s">
        <v>225</v>
      </c>
      <c r="E410" s="453" t="s">
        <v>226</v>
      </c>
      <c r="F410" s="664" t="s">
        <v>227</v>
      </c>
      <c r="G410" s="512" t="s">
        <v>228</v>
      </c>
      <c r="H410" s="664" t="s">
        <v>229</v>
      </c>
      <c r="I410" s="670" t="s">
        <v>230</v>
      </c>
      <c r="L410" s="39"/>
    </row>
    <row r="411" spans="1:12" ht="15.75" thickTop="1" x14ac:dyDescent="0.25">
      <c r="A411" s="834">
        <v>1</v>
      </c>
      <c r="B411" s="840">
        <f t="shared" ref="B411:B442" si="28">IF(OR(B200="C",B200="FC"),C200,0)</f>
        <v>0</v>
      </c>
      <c r="C411" s="837">
        <f t="shared" ref="C411:C442" si="29">IF(OR(B200="C",B200="FC"),F200,0)</f>
        <v>0</v>
      </c>
      <c r="D411" s="840">
        <f t="shared" ref="D411:D442" si="30">IF(OR(B200="W",B200="FW"),C200,0)</f>
        <v>60</v>
      </c>
      <c r="E411" s="837">
        <f t="shared" ref="E411:E442" si="31">IF(OR(B200="W",B200="FW"),F200,0)</f>
        <v>6000</v>
      </c>
      <c r="F411" s="841">
        <f t="shared" ref="F411:F442" si="32">IF(OR(H200="C",H200="FC"),I200,0)</f>
        <v>0</v>
      </c>
      <c r="G411" s="837">
        <f t="shared" ref="G411:G442" si="33">IF(OR(H200="C",H200="FC"),L200,0)</f>
        <v>0</v>
      </c>
      <c r="H411" s="840">
        <f t="shared" ref="H411:H442" si="34">IF(OR(H200="W",H200="FW"),I200,0)</f>
        <v>64</v>
      </c>
      <c r="I411" s="842">
        <f t="shared" ref="I411" si="35">IF(H200&lt;&gt;"W",0,L200)</f>
        <v>7170.5554117338652</v>
      </c>
      <c r="L411" s="39"/>
    </row>
    <row r="412" spans="1:12" x14ac:dyDescent="0.25">
      <c r="A412" s="839">
        <v>2</v>
      </c>
      <c r="B412" s="840">
        <f t="shared" si="28"/>
        <v>0</v>
      </c>
      <c r="C412" s="837">
        <f t="shared" si="29"/>
        <v>0</v>
      </c>
      <c r="D412" s="840">
        <f t="shared" si="30"/>
        <v>71</v>
      </c>
      <c r="E412" s="837">
        <f t="shared" si="31"/>
        <v>4973.4972335786078</v>
      </c>
      <c r="F412" s="841">
        <f t="shared" si="32"/>
        <v>0</v>
      </c>
      <c r="G412" s="837">
        <f t="shared" si="33"/>
        <v>0</v>
      </c>
      <c r="H412" s="840">
        <f t="shared" si="34"/>
        <v>66</v>
      </c>
      <c r="I412" s="842">
        <f t="shared" ref="I412:I443" si="36">IF(H201&lt;&gt;"W",0,L201)</f>
        <v>4973.4972335786078</v>
      </c>
      <c r="L412" s="39"/>
    </row>
    <row r="413" spans="1:12" x14ac:dyDescent="0.25">
      <c r="A413" s="839">
        <v>3</v>
      </c>
      <c r="B413" s="840">
        <f t="shared" si="28"/>
        <v>0</v>
      </c>
      <c r="C413" s="837">
        <f t="shared" si="29"/>
        <v>0</v>
      </c>
      <c r="D413" s="840">
        <f t="shared" si="30"/>
        <v>75</v>
      </c>
      <c r="E413" s="837">
        <f t="shared" si="31"/>
        <v>6729.3416916206461</v>
      </c>
      <c r="F413" s="841">
        <f t="shared" si="32"/>
        <v>0</v>
      </c>
      <c r="G413" s="837">
        <f t="shared" si="33"/>
        <v>0</v>
      </c>
      <c r="H413" s="840">
        <f t="shared" si="34"/>
        <v>70</v>
      </c>
      <c r="I413" s="842">
        <f t="shared" si="36"/>
        <v>6729.3416916206461</v>
      </c>
      <c r="L413" s="39"/>
    </row>
    <row r="414" spans="1:12" x14ac:dyDescent="0.25">
      <c r="A414" s="839">
        <v>4</v>
      </c>
      <c r="B414" s="840">
        <f t="shared" si="28"/>
        <v>0</v>
      </c>
      <c r="C414" s="837">
        <f t="shared" si="29"/>
        <v>0</v>
      </c>
      <c r="D414" s="840">
        <f t="shared" si="30"/>
        <v>70</v>
      </c>
      <c r="E414" s="837">
        <f t="shared" si="31"/>
        <v>3656.9832599842712</v>
      </c>
      <c r="F414" s="841">
        <f t="shared" si="32"/>
        <v>0</v>
      </c>
      <c r="G414" s="837">
        <f t="shared" si="33"/>
        <v>0</v>
      </c>
      <c r="H414" s="840">
        <f t="shared" si="34"/>
        <v>70</v>
      </c>
      <c r="I414" s="842">
        <f t="shared" si="36"/>
        <v>2018.8025074861939</v>
      </c>
      <c r="L414" s="39"/>
    </row>
    <row r="415" spans="1:12" x14ac:dyDescent="0.25">
      <c r="A415" s="839">
        <v>5</v>
      </c>
      <c r="B415" s="840">
        <f t="shared" si="28"/>
        <v>0</v>
      </c>
      <c r="C415" s="837">
        <f t="shared" si="29"/>
        <v>0</v>
      </c>
      <c r="D415" s="840">
        <f t="shared" si="30"/>
        <v>75</v>
      </c>
      <c r="E415" s="837">
        <f t="shared" si="31"/>
        <v>4037.6050149723878</v>
      </c>
      <c r="F415" s="841">
        <f t="shared" si="32"/>
        <v>0</v>
      </c>
      <c r="G415" s="837">
        <f t="shared" si="33"/>
        <v>0</v>
      </c>
      <c r="H415" s="840">
        <f t="shared" si="34"/>
        <v>55</v>
      </c>
      <c r="I415" s="842">
        <f t="shared" si="36"/>
        <v>1500</v>
      </c>
      <c r="L415" s="39"/>
    </row>
    <row r="416" spans="1:12" x14ac:dyDescent="0.25">
      <c r="A416" s="839">
        <v>6</v>
      </c>
      <c r="B416" s="840">
        <f t="shared" si="28"/>
        <v>0</v>
      </c>
      <c r="C416" s="837">
        <f t="shared" si="29"/>
        <v>0</v>
      </c>
      <c r="D416" s="840">
        <f t="shared" si="30"/>
        <v>60</v>
      </c>
      <c r="E416" s="837">
        <f t="shared" si="31"/>
        <v>1500</v>
      </c>
      <c r="F416" s="841">
        <f t="shared" si="32"/>
        <v>0</v>
      </c>
      <c r="G416" s="837">
        <f t="shared" si="33"/>
        <v>0</v>
      </c>
      <c r="H416" s="840">
        <f t="shared" si="34"/>
        <v>74</v>
      </c>
      <c r="I416" s="842">
        <f t="shared" si="36"/>
        <v>43704.335175833941</v>
      </c>
      <c r="L416" s="39"/>
    </row>
    <row r="417" spans="1:12" x14ac:dyDescent="0.25">
      <c r="A417" s="839">
        <v>7</v>
      </c>
      <c r="B417" s="840">
        <f t="shared" si="28"/>
        <v>60</v>
      </c>
      <c r="C417" s="837">
        <f t="shared" si="29"/>
        <v>1400</v>
      </c>
      <c r="D417" s="840">
        <f t="shared" si="30"/>
        <v>0</v>
      </c>
      <c r="E417" s="837">
        <f t="shared" si="31"/>
        <v>0</v>
      </c>
      <c r="F417" s="841">
        <f t="shared" si="32"/>
        <v>57</v>
      </c>
      <c r="G417" s="837">
        <f t="shared" si="33"/>
        <v>1040.4000000000001</v>
      </c>
      <c r="H417" s="840">
        <f t="shared" si="34"/>
        <v>0</v>
      </c>
      <c r="I417" s="842">
        <f t="shared" si="36"/>
        <v>0</v>
      </c>
      <c r="L417" s="39"/>
    </row>
    <row r="418" spans="1:12" x14ac:dyDescent="0.25">
      <c r="A418" s="839">
        <v>8</v>
      </c>
      <c r="B418" s="840">
        <f t="shared" si="28"/>
        <v>0</v>
      </c>
      <c r="C418" s="837">
        <f t="shared" si="29"/>
        <v>0</v>
      </c>
      <c r="D418" s="840">
        <f t="shared" si="30"/>
        <v>70</v>
      </c>
      <c r="E418" s="837">
        <f t="shared" si="31"/>
        <v>6094.9720999737856</v>
      </c>
      <c r="F418" s="841">
        <f t="shared" si="32"/>
        <v>0</v>
      </c>
      <c r="G418" s="837">
        <f t="shared" si="33"/>
        <v>0</v>
      </c>
      <c r="H418" s="840">
        <f t="shared" si="34"/>
        <v>0</v>
      </c>
      <c r="I418" s="842">
        <f t="shared" si="36"/>
        <v>0</v>
      </c>
      <c r="L418" s="39"/>
    </row>
    <row r="419" spans="1:12" x14ac:dyDescent="0.25">
      <c r="A419" s="839">
        <v>9</v>
      </c>
      <c r="B419" s="840">
        <f t="shared" si="28"/>
        <v>0</v>
      </c>
      <c r="C419" s="837">
        <f t="shared" si="29"/>
        <v>0</v>
      </c>
      <c r="D419" s="840">
        <f t="shared" si="30"/>
        <v>71</v>
      </c>
      <c r="E419" s="837">
        <f t="shared" si="31"/>
        <v>37301.229251839562</v>
      </c>
      <c r="F419" s="841">
        <f t="shared" si="32"/>
        <v>0</v>
      </c>
      <c r="G419" s="837">
        <f t="shared" si="33"/>
        <v>0</v>
      </c>
      <c r="H419" s="840">
        <f t="shared" si="34"/>
        <v>61</v>
      </c>
      <c r="I419" s="842">
        <f t="shared" si="36"/>
        <v>2815.40604816</v>
      </c>
      <c r="L419" s="39"/>
    </row>
    <row r="420" spans="1:12" x14ac:dyDescent="0.25">
      <c r="A420" s="839">
        <v>10</v>
      </c>
      <c r="B420" s="840">
        <f t="shared" si="28"/>
        <v>0</v>
      </c>
      <c r="C420" s="837">
        <f t="shared" si="29"/>
        <v>0</v>
      </c>
      <c r="D420" s="840">
        <f t="shared" si="30"/>
        <v>61</v>
      </c>
      <c r="E420" s="837">
        <f t="shared" si="31"/>
        <v>1258.68</v>
      </c>
      <c r="F420" s="841">
        <f t="shared" si="32"/>
        <v>0</v>
      </c>
      <c r="G420" s="837">
        <f t="shared" si="33"/>
        <v>0</v>
      </c>
      <c r="H420" s="840">
        <f t="shared" si="34"/>
        <v>0</v>
      </c>
      <c r="I420" s="842">
        <f t="shared" si="36"/>
        <v>0</v>
      </c>
      <c r="L420" s="39"/>
    </row>
    <row r="421" spans="1:12" x14ac:dyDescent="0.25">
      <c r="A421" s="839">
        <v>11</v>
      </c>
      <c r="B421" s="840">
        <f t="shared" si="28"/>
        <v>0</v>
      </c>
      <c r="C421" s="837">
        <f t="shared" si="29"/>
        <v>0</v>
      </c>
      <c r="D421" s="840">
        <f t="shared" si="30"/>
        <v>66</v>
      </c>
      <c r="E421" s="837">
        <f t="shared" si="31"/>
        <v>4504.6496770560007</v>
      </c>
      <c r="F421" s="841">
        <f t="shared" si="32"/>
        <v>0</v>
      </c>
      <c r="G421" s="837">
        <f t="shared" si="33"/>
        <v>0</v>
      </c>
      <c r="H421" s="840">
        <f t="shared" si="34"/>
        <v>0</v>
      </c>
      <c r="I421" s="842">
        <f t="shared" si="36"/>
        <v>0</v>
      </c>
      <c r="L421" s="39"/>
    </row>
    <row r="422" spans="1:12" x14ac:dyDescent="0.25">
      <c r="A422" s="839">
        <v>12</v>
      </c>
      <c r="B422" s="840">
        <f t="shared" si="28"/>
        <v>0</v>
      </c>
      <c r="C422" s="837">
        <f t="shared" si="29"/>
        <v>0</v>
      </c>
      <c r="D422" s="840">
        <f t="shared" si="30"/>
        <v>67</v>
      </c>
      <c r="E422" s="837">
        <f t="shared" si="31"/>
        <v>7006.9825726606068</v>
      </c>
      <c r="F422" s="841">
        <f t="shared" si="32"/>
        <v>0</v>
      </c>
      <c r="G422" s="837">
        <f t="shared" si="33"/>
        <v>0</v>
      </c>
      <c r="H422" s="840">
        <f t="shared" si="34"/>
        <v>0</v>
      </c>
      <c r="I422" s="842">
        <f t="shared" si="36"/>
        <v>0</v>
      </c>
      <c r="L422" s="39"/>
    </row>
    <row r="423" spans="1:12" x14ac:dyDescent="0.25">
      <c r="A423" s="839">
        <v>13</v>
      </c>
      <c r="B423" s="840">
        <f t="shared" si="28"/>
        <v>0</v>
      </c>
      <c r="C423" s="837">
        <f t="shared" si="29"/>
        <v>0</v>
      </c>
      <c r="D423" s="840">
        <f t="shared" si="30"/>
        <v>61</v>
      </c>
      <c r="E423" s="837">
        <f t="shared" si="31"/>
        <v>1020</v>
      </c>
      <c r="F423" s="841">
        <f t="shared" si="32"/>
        <v>0</v>
      </c>
      <c r="G423" s="837">
        <f t="shared" si="33"/>
        <v>0</v>
      </c>
      <c r="H423" s="840">
        <f t="shared" si="34"/>
        <v>0</v>
      </c>
      <c r="I423" s="842">
        <f t="shared" si="36"/>
        <v>0</v>
      </c>
      <c r="L423" s="39"/>
    </row>
    <row r="424" spans="1:12" x14ac:dyDescent="0.25">
      <c r="A424" s="839">
        <v>14</v>
      </c>
      <c r="B424" s="840">
        <f t="shared" si="28"/>
        <v>0</v>
      </c>
      <c r="C424" s="837">
        <f t="shared" si="29"/>
        <v>0</v>
      </c>
      <c r="D424" s="840">
        <f t="shared" si="30"/>
        <v>68</v>
      </c>
      <c r="E424" s="837">
        <f t="shared" si="31"/>
        <v>3514.9781430067965</v>
      </c>
      <c r="F424" s="841">
        <f t="shared" si="32"/>
        <v>0</v>
      </c>
      <c r="G424" s="837">
        <f t="shared" si="33"/>
        <v>0</v>
      </c>
      <c r="H424" s="840">
        <f t="shared" si="34"/>
        <v>0</v>
      </c>
      <c r="I424" s="842">
        <f t="shared" si="36"/>
        <v>0</v>
      </c>
      <c r="L424" s="39"/>
    </row>
    <row r="425" spans="1:12" x14ac:dyDescent="0.25">
      <c r="A425" s="839">
        <v>15</v>
      </c>
      <c r="B425" s="840">
        <f t="shared" si="28"/>
        <v>0</v>
      </c>
      <c r="C425" s="837">
        <f t="shared" si="29"/>
        <v>0</v>
      </c>
      <c r="D425" s="840">
        <f t="shared" si="30"/>
        <v>70</v>
      </c>
      <c r="E425" s="837">
        <f t="shared" si="31"/>
        <v>1218.9944199947572</v>
      </c>
      <c r="F425" s="841">
        <f t="shared" si="32"/>
        <v>0</v>
      </c>
      <c r="G425" s="837">
        <f t="shared" si="33"/>
        <v>0</v>
      </c>
      <c r="H425" s="840">
        <f t="shared" si="34"/>
        <v>65</v>
      </c>
      <c r="I425" s="842">
        <f t="shared" si="36"/>
        <v>6094.9720999737856</v>
      </c>
      <c r="L425" s="39"/>
    </row>
    <row r="426" spans="1:12" x14ac:dyDescent="0.25">
      <c r="A426" s="839">
        <v>16</v>
      </c>
      <c r="B426" s="840">
        <f t="shared" si="28"/>
        <v>0</v>
      </c>
      <c r="C426" s="837">
        <f t="shared" si="29"/>
        <v>0</v>
      </c>
      <c r="D426" s="840">
        <f t="shared" si="30"/>
        <v>72</v>
      </c>
      <c r="E426" s="837">
        <f t="shared" si="31"/>
        <v>12682.417945625453</v>
      </c>
      <c r="F426" s="841">
        <f t="shared" si="32"/>
        <v>0</v>
      </c>
      <c r="G426" s="837">
        <f t="shared" si="33"/>
        <v>0</v>
      </c>
      <c r="H426" s="840">
        <f t="shared" si="34"/>
        <v>67</v>
      </c>
      <c r="I426" s="842">
        <f t="shared" si="36"/>
        <v>6341.2089728127266</v>
      </c>
      <c r="L426" s="39"/>
    </row>
    <row r="427" spans="1:12" x14ac:dyDescent="0.25">
      <c r="A427" s="839">
        <v>17</v>
      </c>
      <c r="B427" s="840">
        <f t="shared" si="28"/>
        <v>0</v>
      </c>
      <c r="C427" s="837">
        <f t="shared" si="29"/>
        <v>0</v>
      </c>
      <c r="D427" s="840">
        <f t="shared" si="30"/>
        <v>0</v>
      </c>
      <c r="E427" s="837">
        <f t="shared" si="31"/>
        <v>0</v>
      </c>
      <c r="F427" s="841">
        <f t="shared" si="32"/>
        <v>0</v>
      </c>
      <c r="G427" s="837">
        <f t="shared" si="33"/>
        <v>0</v>
      </c>
      <c r="H427" s="840">
        <f t="shared" si="34"/>
        <v>0</v>
      </c>
      <c r="I427" s="842">
        <f t="shared" si="36"/>
        <v>0</v>
      </c>
      <c r="L427" s="39"/>
    </row>
    <row r="428" spans="1:12" x14ac:dyDescent="0.25">
      <c r="A428" s="839">
        <v>18</v>
      </c>
      <c r="B428" s="840">
        <f t="shared" si="28"/>
        <v>0</v>
      </c>
      <c r="C428" s="837">
        <f t="shared" si="29"/>
        <v>0</v>
      </c>
      <c r="D428" s="840">
        <f t="shared" si="30"/>
        <v>61</v>
      </c>
      <c r="E428" s="837">
        <f t="shared" si="31"/>
        <v>17340</v>
      </c>
      <c r="F428" s="841">
        <f t="shared" si="32"/>
        <v>0</v>
      </c>
      <c r="G428" s="837">
        <f t="shared" si="33"/>
        <v>0</v>
      </c>
      <c r="H428" s="840">
        <f t="shared" si="34"/>
        <v>56</v>
      </c>
      <c r="I428" s="842">
        <f t="shared" si="36"/>
        <v>17340</v>
      </c>
      <c r="L428" s="39"/>
    </row>
    <row r="429" spans="1:12" x14ac:dyDescent="0.25">
      <c r="A429" s="839">
        <v>19</v>
      </c>
      <c r="B429" s="840">
        <f t="shared" si="28"/>
        <v>0</v>
      </c>
      <c r="C429" s="837">
        <f t="shared" si="29"/>
        <v>0</v>
      </c>
      <c r="D429" s="840">
        <f t="shared" si="30"/>
        <v>62</v>
      </c>
      <c r="E429" s="837">
        <f t="shared" si="31"/>
        <v>17686.8</v>
      </c>
      <c r="F429" s="841">
        <f t="shared" si="32"/>
        <v>0</v>
      </c>
      <c r="G429" s="837">
        <f t="shared" si="33"/>
        <v>0</v>
      </c>
      <c r="H429" s="840">
        <f t="shared" si="34"/>
        <v>57</v>
      </c>
      <c r="I429" s="842">
        <f t="shared" si="36"/>
        <v>17686.8</v>
      </c>
      <c r="L429" s="39"/>
    </row>
    <row r="430" spans="1:12" x14ac:dyDescent="0.25">
      <c r="A430" s="839">
        <v>20</v>
      </c>
      <c r="B430" s="840">
        <f t="shared" si="28"/>
        <v>0</v>
      </c>
      <c r="C430" s="837">
        <f t="shared" si="29"/>
        <v>0</v>
      </c>
      <c r="D430" s="840">
        <f t="shared" si="30"/>
        <v>63</v>
      </c>
      <c r="E430" s="837">
        <f t="shared" si="31"/>
        <v>18040.536</v>
      </c>
      <c r="F430" s="841">
        <f t="shared" si="32"/>
        <v>0</v>
      </c>
      <c r="G430" s="837">
        <f t="shared" si="33"/>
        <v>0</v>
      </c>
      <c r="H430" s="840">
        <f t="shared" si="34"/>
        <v>58</v>
      </c>
      <c r="I430" s="842">
        <f t="shared" si="36"/>
        <v>18040.536</v>
      </c>
      <c r="L430" s="39"/>
    </row>
    <row r="431" spans="1:12" x14ac:dyDescent="0.25">
      <c r="A431" s="839">
        <v>21</v>
      </c>
      <c r="B431" s="840">
        <f t="shared" si="28"/>
        <v>0</v>
      </c>
      <c r="C431" s="837">
        <f t="shared" si="29"/>
        <v>0</v>
      </c>
      <c r="D431" s="840">
        <f t="shared" si="30"/>
        <v>64</v>
      </c>
      <c r="E431" s="837">
        <f t="shared" si="31"/>
        <v>18401.346720000001</v>
      </c>
      <c r="F431" s="841">
        <f t="shared" si="32"/>
        <v>0</v>
      </c>
      <c r="G431" s="837">
        <f t="shared" si="33"/>
        <v>0</v>
      </c>
      <c r="H431" s="840">
        <f t="shared" si="34"/>
        <v>59</v>
      </c>
      <c r="I431" s="842">
        <f t="shared" si="36"/>
        <v>18401.346720000001</v>
      </c>
      <c r="L431" s="39"/>
    </row>
    <row r="432" spans="1:12" x14ac:dyDescent="0.25">
      <c r="A432" s="839">
        <v>22</v>
      </c>
      <c r="B432" s="840">
        <f t="shared" si="28"/>
        <v>0</v>
      </c>
      <c r="C432" s="837">
        <f t="shared" si="29"/>
        <v>0</v>
      </c>
      <c r="D432" s="840">
        <f t="shared" si="30"/>
        <v>0</v>
      </c>
      <c r="E432" s="837">
        <f t="shared" si="31"/>
        <v>0</v>
      </c>
      <c r="F432" s="841">
        <f t="shared" si="32"/>
        <v>0</v>
      </c>
      <c r="G432" s="837">
        <f t="shared" si="33"/>
        <v>0</v>
      </c>
      <c r="H432" s="840">
        <f t="shared" si="34"/>
        <v>0</v>
      </c>
      <c r="I432" s="842">
        <f t="shared" si="36"/>
        <v>0</v>
      </c>
      <c r="L432" s="39"/>
    </row>
    <row r="433" spans="1:12" x14ac:dyDescent="0.25">
      <c r="A433" s="839">
        <v>23</v>
      </c>
      <c r="B433" s="840">
        <f t="shared" si="28"/>
        <v>0</v>
      </c>
      <c r="C433" s="837">
        <f t="shared" si="29"/>
        <v>0</v>
      </c>
      <c r="D433" s="840">
        <f t="shared" si="30"/>
        <v>0</v>
      </c>
      <c r="E433" s="837">
        <f t="shared" si="31"/>
        <v>0</v>
      </c>
      <c r="F433" s="841">
        <f t="shared" si="32"/>
        <v>0</v>
      </c>
      <c r="G433" s="837">
        <f t="shared" si="33"/>
        <v>0</v>
      </c>
      <c r="H433" s="840">
        <f t="shared" si="34"/>
        <v>0</v>
      </c>
      <c r="I433" s="842">
        <f t="shared" si="36"/>
        <v>0</v>
      </c>
      <c r="L433" s="39"/>
    </row>
    <row r="434" spans="1:12" x14ac:dyDescent="0.25">
      <c r="A434" s="839">
        <v>24</v>
      </c>
      <c r="B434" s="840">
        <f t="shared" si="28"/>
        <v>0</v>
      </c>
      <c r="C434" s="837">
        <f t="shared" si="29"/>
        <v>0</v>
      </c>
      <c r="D434" s="840">
        <f t="shared" si="30"/>
        <v>63</v>
      </c>
      <c r="E434" s="837">
        <f t="shared" si="31"/>
        <v>18040.536</v>
      </c>
      <c r="F434" s="841">
        <f t="shared" si="32"/>
        <v>0</v>
      </c>
      <c r="G434" s="837">
        <f t="shared" si="33"/>
        <v>0</v>
      </c>
      <c r="H434" s="840">
        <f t="shared" si="34"/>
        <v>58</v>
      </c>
      <c r="I434" s="842">
        <f t="shared" si="36"/>
        <v>18040.536</v>
      </c>
      <c r="L434" s="39"/>
    </row>
    <row r="435" spans="1:12" x14ac:dyDescent="0.25">
      <c r="A435" s="839">
        <v>25</v>
      </c>
      <c r="B435" s="840">
        <f t="shared" si="28"/>
        <v>0</v>
      </c>
      <c r="C435" s="837">
        <f t="shared" si="29"/>
        <v>0</v>
      </c>
      <c r="D435" s="840">
        <f t="shared" si="30"/>
        <v>64</v>
      </c>
      <c r="E435" s="837">
        <f t="shared" si="31"/>
        <v>18401.346720000001</v>
      </c>
      <c r="F435" s="841">
        <f t="shared" si="32"/>
        <v>0</v>
      </c>
      <c r="G435" s="837">
        <f t="shared" si="33"/>
        <v>0</v>
      </c>
      <c r="H435" s="840">
        <f t="shared" si="34"/>
        <v>59</v>
      </c>
      <c r="I435" s="842">
        <f t="shared" si="36"/>
        <v>18401.346720000001</v>
      </c>
      <c r="L435" s="39"/>
    </row>
    <row r="436" spans="1:12" x14ac:dyDescent="0.25">
      <c r="A436" s="839">
        <v>26</v>
      </c>
      <c r="B436" s="840">
        <f t="shared" si="28"/>
        <v>0</v>
      </c>
      <c r="C436" s="837">
        <f t="shared" si="29"/>
        <v>0</v>
      </c>
      <c r="D436" s="840">
        <f t="shared" si="30"/>
        <v>65</v>
      </c>
      <c r="E436" s="837">
        <f t="shared" si="31"/>
        <v>18769.373654399998</v>
      </c>
      <c r="F436" s="841">
        <f t="shared" si="32"/>
        <v>0</v>
      </c>
      <c r="G436" s="837">
        <f t="shared" si="33"/>
        <v>0</v>
      </c>
      <c r="H436" s="840">
        <f t="shared" si="34"/>
        <v>60</v>
      </c>
      <c r="I436" s="842">
        <f t="shared" si="36"/>
        <v>18769.373654399998</v>
      </c>
      <c r="L436" s="39"/>
    </row>
    <row r="437" spans="1:12" x14ac:dyDescent="0.25">
      <c r="A437" s="839">
        <v>27</v>
      </c>
      <c r="B437" s="840">
        <f t="shared" si="28"/>
        <v>0</v>
      </c>
      <c r="C437" s="837">
        <f t="shared" si="29"/>
        <v>0</v>
      </c>
      <c r="D437" s="840">
        <f t="shared" si="30"/>
        <v>66</v>
      </c>
      <c r="E437" s="837">
        <f t="shared" si="31"/>
        <v>19144.761127488</v>
      </c>
      <c r="F437" s="841">
        <f t="shared" si="32"/>
        <v>0</v>
      </c>
      <c r="G437" s="837">
        <f t="shared" si="33"/>
        <v>0</v>
      </c>
      <c r="H437" s="840">
        <f t="shared" si="34"/>
        <v>61</v>
      </c>
      <c r="I437" s="842">
        <f t="shared" si="36"/>
        <v>19144.761127488</v>
      </c>
      <c r="L437" s="39"/>
    </row>
    <row r="438" spans="1:12" x14ac:dyDescent="0.25">
      <c r="A438" s="839">
        <v>28</v>
      </c>
      <c r="B438" s="840">
        <f t="shared" si="28"/>
        <v>0</v>
      </c>
      <c r="C438" s="837">
        <f t="shared" si="29"/>
        <v>0</v>
      </c>
      <c r="D438" s="840">
        <f t="shared" si="30"/>
        <v>0</v>
      </c>
      <c r="E438" s="837">
        <f t="shared" si="31"/>
        <v>0</v>
      </c>
      <c r="F438" s="841">
        <f t="shared" si="32"/>
        <v>0</v>
      </c>
      <c r="G438" s="837">
        <f t="shared" si="33"/>
        <v>0</v>
      </c>
      <c r="H438" s="840">
        <f t="shared" si="34"/>
        <v>0</v>
      </c>
      <c r="I438" s="842">
        <f t="shared" si="36"/>
        <v>0</v>
      </c>
      <c r="L438" s="39"/>
    </row>
    <row r="439" spans="1:12" x14ac:dyDescent="0.25">
      <c r="A439" s="839">
        <v>29</v>
      </c>
      <c r="B439" s="840">
        <f t="shared" si="28"/>
        <v>0</v>
      </c>
      <c r="C439" s="837">
        <f t="shared" si="29"/>
        <v>0</v>
      </c>
      <c r="D439" s="840">
        <f t="shared" si="30"/>
        <v>0</v>
      </c>
      <c r="E439" s="837">
        <f t="shared" si="31"/>
        <v>0</v>
      </c>
      <c r="F439" s="841">
        <f t="shared" si="32"/>
        <v>0</v>
      </c>
      <c r="G439" s="837">
        <f t="shared" si="33"/>
        <v>0</v>
      </c>
      <c r="H439" s="840">
        <f t="shared" si="34"/>
        <v>0</v>
      </c>
      <c r="I439" s="842">
        <f t="shared" si="36"/>
        <v>0</v>
      </c>
      <c r="L439" s="39"/>
    </row>
    <row r="440" spans="1:12" x14ac:dyDescent="0.25">
      <c r="A440" s="839">
        <v>30</v>
      </c>
      <c r="B440" s="840">
        <f t="shared" si="28"/>
        <v>0</v>
      </c>
      <c r="C440" s="837">
        <f t="shared" si="29"/>
        <v>0</v>
      </c>
      <c r="D440" s="840">
        <f t="shared" si="30"/>
        <v>60</v>
      </c>
      <c r="E440" s="837">
        <f t="shared" si="31"/>
        <v>3000</v>
      </c>
      <c r="F440" s="841">
        <f t="shared" si="32"/>
        <v>0</v>
      </c>
      <c r="G440" s="837">
        <f t="shared" si="33"/>
        <v>0</v>
      </c>
      <c r="H440" s="840">
        <f t="shared" si="34"/>
        <v>55</v>
      </c>
      <c r="I440" s="842">
        <f t="shared" si="36"/>
        <v>0</v>
      </c>
      <c r="L440" s="39"/>
    </row>
    <row r="441" spans="1:12" x14ac:dyDescent="0.25">
      <c r="A441" s="839">
        <v>31</v>
      </c>
      <c r="B441" s="840">
        <f t="shared" si="28"/>
        <v>0</v>
      </c>
      <c r="C441" s="837">
        <f t="shared" si="29"/>
        <v>0</v>
      </c>
      <c r="D441" s="840">
        <f t="shared" si="30"/>
        <v>61</v>
      </c>
      <c r="E441" s="837">
        <f t="shared" si="31"/>
        <v>3000</v>
      </c>
      <c r="F441" s="841">
        <f t="shared" si="32"/>
        <v>0</v>
      </c>
      <c r="G441" s="837">
        <f t="shared" si="33"/>
        <v>0</v>
      </c>
      <c r="H441" s="840">
        <f t="shared" si="34"/>
        <v>56</v>
      </c>
      <c r="I441" s="842">
        <f t="shared" si="36"/>
        <v>0</v>
      </c>
      <c r="L441" s="39"/>
    </row>
    <row r="442" spans="1:12" x14ac:dyDescent="0.25">
      <c r="A442" s="839">
        <v>32</v>
      </c>
      <c r="B442" s="840">
        <f t="shared" si="28"/>
        <v>0</v>
      </c>
      <c r="C442" s="837">
        <f t="shared" si="29"/>
        <v>0</v>
      </c>
      <c r="D442" s="840">
        <f t="shared" si="30"/>
        <v>62</v>
      </c>
      <c r="E442" s="837">
        <f t="shared" si="31"/>
        <v>3000</v>
      </c>
      <c r="F442" s="841">
        <f t="shared" si="32"/>
        <v>0</v>
      </c>
      <c r="G442" s="837">
        <f t="shared" si="33"/>
        <v>0</v>
      </c>
      <c r="H442" s="840">
        <f t="shared" si="34"/>
        <v>57</v>
      </c>
      <c r="I442" s="842">
        <f t="shared" si="36"/>
        <v>0</v>
      </c>
      <c r="L442" s="39"/>
    </row>
    <row r="443" spans="1:12" x14ac:dyDescent="0.25">
      <c r="A443" s="839">
        <v>33</v>
      </c>
      <c r="B443" s="840">
        <f t="shared" ref="B443:B474" si="37">IF(OR(B232="C",B232="FC"),C232,0)</f>
        <v>0</v>
      </c>
      <c r="C443" s="837">
        <f t="shared" ref="C443:C474" si="38">IF(OR(B232="C",B232="FC"),F232,0)</f>
        <v>0</v>
      </c>
      <c r="D443" s="840">
        <f t="shared" ref="D443:D474" si="39">IF(OR(B232="W",B232="FW"),C232,0)</f>
        <v>63</v>
      </c>
      <c r="E443" s="837">
        <f t="shared" ref="E443:E474" si="40">IF(OR(B232="W",B232="FW"),F232,0)</f>
        <v>3000</v>
      </c>
      <c r="F443" s="841">
        <f t="shared" ref="F443:F474" si="41">IF(OR(H232="C",H232="FC"),I232,0)</f>
        <v>0</v>
      </c>
      <c r="G443" s="837">
        <f t="shared" ref="G443:G474" si="42">IF(OR(H232="C",H232="FC"),L232,0)</f>
        <v>0</v>
      </c>
      <c r="H443" s="840">
        <f t="shared" ref="H443:H474" si="43">IF(OR(H232="W",H232="FW"),I232,0)</f>
        <v>58</v>
      </c>
      <c r="I443" s="842">
        <f t="shared" si="36"/>
        <v>0</v>
      </c>
      <c r="L443" s="39"/>
    </row>
    <row r="444" spans="1:12" x14ac:dyDescent="0.25">
      <c r="A444" s="839">
        <v>34</v>
      </c>
      <c r="B444" s="840">
        <f t="shared" si="37"/>
        <v>0</v>
      </c>
      <c r="C444" s="837">
        <f t="shared" si="38"/>
        <v>0</v>
      </c>
      <c r="D444" s="840">
        <f t="shared" si="39"/>
        <v>64</v>
      </c>
      <c r="E444" s="837">
        <f t="shared" si="40"/>
        <v>3000</v>
      </c>
      <c r="F444" s="841">
        <f t="shared" si="41"/>
        <v>0</v>
      </c>
      <c r="G444" s="837">
        <f t="shared" si="42"/>
        <v>0</v>
      </c>
      <c r="H444" s="840">
        <f t="shared" si="43"/>
        <v>59</v>
      </c>
      <c r="I444" s="842">
        <f t="shared" ref="I444:I475" si="44">IF(H233&lt;&gt;"W",0,L233)</f>
        <v>0</v>
      </c>
      <c r="L444" s="39"/>
    </row>
    <row r="445" spans="1:12" x14ac:dyDescent="0.25">
      <c r="A445" s="839">
        <v>35</v>
      </c>
      <c r="B445" s="840">
        <f t="shared" si="37"/>
        <v>0</v>
      </c>
      <c r="C445" s="837">
        <f t="shared" si="38"/>
        <v>0</v>
      </c>
      <c r="D445" s="840">
        <f t="shared" si="39"/>
        <v>65</v>
      </c>
      <c r="E445" s="837">
        <f t="shared" si="40"/>
        <v>3000</v>
      </c>
      <c r="F445" s="841">
        <f t="shared" si="41"/>
        <v>0</v>
      </c>
      <c r="G445" s="837">
        <f t="shared" si="42"/>
        <v>0</v>
      </c>
      <c r="H445" s="840">
        <f t="shared" si="43"/>
        <v>60</v>
      </c>
      <c r="I445" s="842">
        <f t="shared" si="44"/>
        <v>0</v>
      </c>
      <c r="L445" s="39"/>
    </row>
    <row r="446" spans="1:12" x14ac:dyDescent="0.25">
      <c r="A446" s="839">
        <v>36</v>
      </c>
      <c r="B446" s="840">
        <f t="shared" si="37"/>
        <v>0</v>
      </c>
      <c r="C446" s="837">
        <f t="shared" si="38"/>
        <v>0</v>
      </c>
      <c r="D446" s="840">
        <f t="shared" si="39"/>
        <v>66</v>
      </c>
      <c r="E446" s="837">
        <f t="shared" si="40"/>
        <v>3000</v>
      </c>
      <c r="F446" s="841">
        <f t="shared" si="41"/>
        <v>0</v>
      </c>
      <c r="G446" s="837">
        <f t="shared" si="42"/>
        <v>0</v>
      </c>
      <c r="H446" s="840">
        <f t="shared" si="43"/>
        <v>61</v>
      </c>
      <c r="I446" s="842">
        <f t="shared" si="44"/>
        <v>0</v>
      </c>
      <c r="L446" s="39"/>
    </row>
    <row r="447" spans="1:12" x14ac:dyDescent="0.25">
      <c r="A447" s="839">
        <v>37</v>
      </c>
      <c r="B447" s="840">
        <f t="shared" si="37"/>
        <v>0</v>
      </c>
      <c r="C447" s="837">
        <f t="shared" si="38"/>
        <v>0</v>
      </c>
      <c r="D447" s="840">
        <f t="shared" si="39"/>
        <v>67</v>
      </c>
      <c r="E447" s="837">
        <f t="shared" si="40"/>
        <v>3000</v>
      </c>
      <c r="F447" s="841">
        <f t="shared" si="41"/>
        <v>0</v>
      </c>
      <c r="G447" s="837">
        <f t="shared" si="42"/>
        <v>0</v>
      </c>
      <c r="H447" s="840">
        <f t="shared" si="43"/>
        <v>62</v>
      </c>
      <c r="I447" s="842">
        <f t="shared" si="44"/>
        <v>0</v>
      </c>
      <c r="L447" s="39"/>
    </row>
    <row r="448" spans="1:12" x14ac:dyDescent="0.25">
      <c r="A448" s="839">
        <v>38</v>
      </c>
      <c r="B448" s="840">
        <f t="shared" si="37"/>
        <v>0</v>
      </c>
      <c r="C448" s="837">
        <f t="shared" si="38"/>
        <v>0</v>
      </c>
      <c r="D448" s="840">
        <f t="shared" si="39"/>
        <v>68</v>
      </c>
      <c r="E448" s="837">
        <f t="shared" si="40"/>
        <v>3000</v>
      </c>
      <c r="F448" s="841">
        <f t="shared" si="41"/>
        <v>0</v>
      </c>
      <c r="G448" s="837">
        <f t="shared" si="42"/>
        <v>0</v>
      </c>
      <c r="H448" s="840">
        <f t="shared" si="43"/>
        <v>63</v>
      </c>
      <c r="I448" s="842">
        <f t="shared" si="44"/>
        <v>0</v>
      </c>
      <c r="L448" s="39"/>
    </row>
    <row r="449" spans="1:12" x14ac:dyDescent="0.25">
      <c r="A449" s="839">
        <v>39</v>
      </c>
      <c r="B449" s="840">
        <f t="shared" si="37"/>
        <v>0</v>
      </c>
      <c r="C449" s="837">
        <f t="shared" si="38"/>
        <v>0</v>
      </c>
      <c r="D449" s="840">
        <f t="shared" si="39"/>
        <v>69</v>
      </c>
      <c r="E449" s="837">
        <f t="shared" si="40"/>
        <v>3000</v>
      </c>
      <c r="F449" s="841">
        <f t="shared" si="41"/>
        <v>0</v>
      </c>
      <c r="G449" s="837">
        <f t="shared" si="42"/>
        <v>0</v>
      </c>
      <c r="H449" s="840">
        <f t="shared" si="43"/>
        <v>64</v>
      </c>
      <c r="I449" s="842">
        <f t="shared" si="44"/>
        <v>0</v>
      </c>
      <c r="L449" s="39"/>
    </row>
    <row r="450" spans="1:12" x14ac:dyDescent="0.25">
      <c r="A450" s="839">
        <v>40</v>
      </c>
      <c r="B450" s="840">
        <f t="shared" si="37"/>
        <v>0</v>
      </c>
      <c r="C450" s="837">
        <f t="shared" si="38"/>
        <v>0</v>
      </c>
      <c r="D450" s="840">
        <f t="shared" si="39"/>
        <v>70</v>
      </c>
      <c r="E450" s="837">
        <f t="shared" si="40"/>
        <v>3000</v>
      </c>
      <c r="F450" s="841">
        <f t="shared" si="41"/>
        <v>0</v>
      </c>
      <c r="G450" s="837">
        <f t="shared" si="42"/>
        <v>0</v>
      </c>
      <c r="H450" s="840">
        <f t="shared" si="43"/>
        <v>65</v>
      </c>
      <c r="I450" s="842">
        <f t="shared" si="44"/>
        <v>0</v>
      </c>
      <c r="L450" s="39"/>
    </row>
    <row r="451" spans="1:12" x14ac:dyDescent="0.25">
      <c r="A451" s="839">
        <v>41</v>
      </c>
      <c r="B451" s="840">
        <f t="shared" si="37"/>
        <v>0</v>
      </c>
      <c r="C451" s="837">
        <f t="shared" si="38"/>
        <v>0</v>
      </c>
      <c r="D451" s="840">
        <f t="shared" si="39"/>
        <v>71</v>
      </c>
      <c r="E451" s="837">
        <f t="shared" si="40"/>
        <v>3000</v>
      </c>
      <c r="F451" s="841">
        <f t="shared" si="41"/>
        <v>0</v>
      </c>
      <c r="G451" s="837">
        <f t="shared" si="42"/>
        <v>0</v>
      </c>
      <c r="H451" s="840">
        <f t="shared" si="43"/>
        <v>66</v>
      </c>
      <c r="I451" s="842">
        <f t="shared" si="44"/>
        <v>0</v>
      </c>
      <c r="L451" s="39"/>
    </row>
    <row r="452" spans="1:12" x14ac:dyDescent="0.25">
      <c r="A452" s="839">
        <v>42</v>
      </c>
      <c r="B452" s="840">
        <f t="shared" si="37"/>
        <v>0</v>
      </c>
      <c r="C452" s="837">
        <f t="shared" si="38"/>
        <v>0</v>
      </c>
      <c r="D452" s="840">
        <f t="shared" si="39"/>
        <v>72</v>
      </c>
      <c r="E452" s="837">
        <f t="shared" si="40"/>
        <v>3000</v>
      </c>
      <c r="F452" s="841">
        <f t="shared" si="41"/>
        <v>0</v>
      </c>
      <c r="G452" s="837">
        <f t="shared" si="42"/>
        <v>0</v>
      </c>
      <c r="H452" s="840">
        <f t="shared" si="43"/>
        <v>67</v>
      </c>
      <c r="I452" s="842">
        <f t="shared" si="44"/>
        <v>0</v>
      </c>
      <c r="L452" s="39"/>
    </row>
    <row r="453" spans="1:12" x14ac:dyDescent="0.25">
      <c r="A453" s="839">
        <v>43</v>
      </c>
      <c r="B453" s="840">
        <f t="shared" si="37"/>
        <v>0</v>
      </c>
      <c r="C453" s="837">
        <f t="shared" si="38"/>
        <v>0</v>
      </c>
      <c r="D453" s="840">
        <f t="shared" si="39"/>
        <v>73</v>
      </c>
      <c r="E453" s="837">
        <f t="shared" si="40"/>
        <v>3000</v>
      </c>
      <c r="F453" s="841">
        <f t="shared" si="41"/>
        <v>0</v>
      </c>
      <c r="G453" s="837">
        <f t="shared" si="42"/>
        <v>0</v>
      </c>
      <c r="H453" s="840">
        <f t="shared" si="43"/>
        <v>68</v>
      </c>
      <c r="I453" s="842">
        <f t="shared" si="44"/>
        <v>0</v>
      </c>
      <c r="L453" s="39"/>
    </row>
    <row r="454" spans="1:12" x14ac:dyDescent="0.25">
      <c r="A454" s="839">
        <v>44</v>
      </c>
      <c r="B454" s="840">
        <f t="shared" si="37"/>
        <v>0</v>
      </c>
      <c r="C454" s="837">
        <f t="shared" si="38"/>
        <v>0</v>
      </c>
      <c r="D454" s="840">
        <f t="shared" si="39"/>
        <v>74</v>
      </c>
      <c r="E454" s="837">
        <f t="shared" si="40"/>
        <v>3000</v>
      </c>
      <c r="F454" s="841">
        <f t="shared" si="41"/>
        <v>0</v>
      </c>
      <c r="G454" s="837">
        <f t="shared" si="42"/>
        <v>0</v>
      </c>
      <c r="H454" s="840">
        <f t="shared" si="43"/>
        <v>69</v>
      </c>
      <c r="I454" s="842">
        <f t="shared" si="44"/>
        <v>0</v>
      </c>
      <c r="L454" s="39"/>
    </row>
    <row r="455" spans="1:12" x14ac:dyDescent="0.25">
      <c r="A455" s="839">
        <v>45</v>
      </c>
      <c r="B455" s="840">
        <f t="shared" si="37"/>
        <v>0</v>
      </c>
      <c r="C455" s="837">
        <f t="shared" si="38"/>
        <v>0</v>
      </c>
      <c r="D455" s="840">
        <f t="shared" si="39"/>
        <v>75</v>
      </c>
      <c r="E455" s="837">
        <f t="shared" si="40"/>
        <v>3000</v>
      </c>
      <c r="F455" s="841">
        <f t="shared" si="41"/>
        <v>0</v>
      </c>
      <c r="G455" s="837">
        <f t="shared" si="42"/>
        <v>0</v>
      </c>
      <c r="H455" s="840">
        <f t="shared" si="43"/>
        <v>70</v>
      </c>
      <c r="I455" s="842">
        <f t="shared" si="44"/>
        <v>0</v>
      </c>
      <c r="L455" s="39"/>
    </row>
    <row r="456" spans="1:12" x14ac:dyDescent="0.25">
      <c r="A456" s="839">
        <v>46</v>
      </c>
      <c r="B456" s="840">
        <f t="shared" si="37"/>
        <v>0</v>
      </c>
      <c r="C456" s="837">
        <f t="shared" si="38"/>
        <v>0</v>
      </c>
      <c r="D456" s="840">
        <f t="shared" si="39"/>
        <v>0</v>
      </c>
      <c r="E456" s="837">
        <f t="shared" si="40"/>
        <v>0</v>
      </c>
      <c r="F456" s="841">
        <f t="shared" si="41"/>
        <v>0</v>
      </c>
      <c r="G456" s="837">
        <f t="shared" si="42"/>
        <v>0</v>
      </c>
      <c r="H456" s="840">
        <f t="shared" si="43"/>
        <v>0</v>
      </c>
      <c r="I456" s="842">
        <f t="shared" si="44"/>
        <v>0</v>
      </c>
      <c r="L456" s="39"/>
    </row>
    <row r="457" spans="1:12" x14ac:dyDescent="0.25">
      <c r="A457" s="839">
        <v>47</v>
      </c>
      <c r="B457" s="840">
        <f t="shared" si="37"/>
        <v>62</v>
      </c>
      <c r="C457" s="837">
        <f t="shared" si="38"/>
        <v>1000</v>
      </c>
      <c r="D457" s="840">
        <f t="shared" si="39"/>
        <v>0</v>
      </c>
      <c r="E457" s="837">
        <f t="shared" si="40"/>
        <v>0</v>
      </c>
      <c r="F457" s="841">
        <f t="shared" si="41"/>
        <v>60</v>
      </c>
      <c r="G457" s="837">
        <f t="shared" si="42"/>
        <v>1500</v>
      </c>
      <c r="H457" s="840">
        <f t="shared" si="43"/>
        <v>0</v>
      </c>
      <c r="I457" s="842">
        <f t="shared" si="44"/>
        <v>0</v>
      </c>
      <c r="L457" s="39"/>
    </row>
    <row r="458" spans="1:12" x14ac:dyDescent="0.25">
      <c r="A458" s="839">
        <v>48</v>
      </c>
      <c r="B458" s="840">
        <f t="shared" si="37"/>
        <v>65</v>
      </c>
      <c r="C458" s="837">
        <f t="shared" si="38"/>
        <v>1000</v>
      </c>
      <c r="D458" s="840">
        <f t="shared" si="39"/>
        <v>0</v>
      </c>
      <c r="E458" s="837">
        <f t="shared" si="40"/>
        <v>0</v>
      </c>
      <c r="F458" s="841">
        <f t="shared" si="41"/>
        <v>64</v>
      </c>
      <c r="G458" s="837">
        <f t="shared" si="42"/>
        <v>1500</v>
      </c>
      <c r="H458" s="840">
        <f t="shared" si="43"/>
        <v>0</v>
      </c>
      <c r="I458" s="842">
        <f t="shared" si="44"/>
        <v>0</v>
      </c>
      <c r="L458" s="39"/>
    </row>
    <row r="459" spans="1:12" x14ac:dyDescent="0.25">
      <c r="A459" s="839">
        <v>49</v>
      </c>
      <c r="B459" s="840">
        <f t="shared" si="37"/>
        <v>0</v>
      </c>
      <c r="C459" s="837">
        <f t="shared" si="38"/>
        <v>0</v>
      </c>
      <c r="D459" s="840">
        <f t="shared" si="39"/>
        <v>0</v>
      </c>
      <c r="E459" s="837">
        <f t="shared" si="40"/>
        <v>0</v>
      </c>
      <c r="F459" s="841">
        <f t="shared" si="41"/>
        <v>0</v>
      </c>
      <c r="G459" s="837">
        <f t="shared" si="42"/>
        <v>0</v>
      </c>
      <c r="H459" s="840">
        <f t="shared" si="43"/>
        <v>0</v>
      </c>
      <c r="I459" s="842">
        <f t="shared" si="44"/>
        <v>0</v>
      </c>
      <c r="L459" s="39"/>
    </row>
    <row r="460" spans="1:12" x14ac:dyDescent="0.25">
      <c r="A460" s="839">
        <v>50</v>
      </c>
      <c r="B460" s="840">
        <f t="shared" si="37"/>
        <v>0</v>
      </c>
      <c r="C460" s="837">
        <f t="shared" si="38"/>
        <v>0</v>
      </c>
      <c r="D460" s="840">
        <f t="shared" si="39"/>
        <v>0</v>
      </c>
      <c r="E460" s="837">
        <f t="shared" si="40"/>
        <v>0</v>
      </c>
      <c r="F460" s="841">
        <f t="shared" si="41"/>
        <v>0</v>
      </c>
      <c r="G460" s="837">
        <f t="shared" si="42"/>
        <v>0</v>
      </c>
      <c r="H460" s="840">
        <f t="shared" si="43"/>
        <v>0</v>
      </c>
      <c r="I460" s="842">
        <f t="shared" si="44"/>
        <v>0</v>
      </c>
      <c r="L460" s="39"/>
    </row>
    <row r="461" spans="1:12" x14ac:dyDescent="0.25">
      <c r="A461" s="839">
        <v>51</v>
      </c>
      <c r="B461" s="840">
        <f t="shared" si="37"/>
        <v>0</v>
      </c>
      <c r="C461" s="837">
        <f t="shared" si="38"/>
        <v>0</v>
      </c>
      <c r="D461" s="840">
        <f t="shared" si="39"/>
        <v>0</v>
      </c>
      <c r="E461" s="837">
        <f t="shared" si="40"/>
        <v>0</v>
      </c>
      <c r="F461" s="841">
        <f t="shared" si="41"/>
        <v>0</v>
      </c>
      <c r="G461" s="837">
        <f t="shared" si="42"/>
        <v>0</v>
      </c>
      <c r="H461" s="840">
        <f t="shared" si="43"/>
        <v>0</v>
      </c>
      <c r="I461" s="842">
        <f t="shared" si="44"/>
        <v>0</v>
      </c>
      <c r="L461" s="39"/>
    </row>
    <row r="462" spans="1:12" x14ac:dyDescent="0.25">
      <c r="A462" s="839">
        <v>52</v>
      </c>
      <c r="B462" s="840">
        <f t="shared" si="37"/>
        <v>0</v>
      </c>
      <c r="C462" s="837">
        <f t="shared" si="38"/>
        <v>0</v>
      </c>
      <c r="D462" s="840">
        <f t="shared" si="39"/>
        <v>0</v>
      </c>
      <c r="E462" s="837">
        <f t="shared" si="40"/>
        <v>0</v>
      </c>
      <c r="F462" s="841">
        <f t="shared" si="41"/>
        <v>0</v>
      </c>
      <c r="G462" s="837">
        <f t="shared" si="42"/>
        <v>0</v>
      </c>
      <c r="H462" s="840">
        <f t="shared" si="43"/>
        <v>0</v>
      </c>
      <c r="I462" s="842">
        <f t="shared" si="44"/>
        <v>0</v>
      </c>
      <c r="L462" s="39"/>
    </row>
    <row r="463" spans="1:12" x14ac:dyDescent="0.25">
      <c r="A463" s="839">
        <v>53</v>
      </c>
      <c r="B463" s="840">
        <f t="shared" si="37"/>
        <v>0</v>
      </c>
      <c r="C463" s="837">
        <f t="shared" si="38"/>
        <v>0</v>
      </c>
      <c r="D463" s="840">
        <f t="shared" si="39"/>
        <v>0</v>
      </c>
      <c r="E463" s="837">
        <f t="shared" si="40"/>
        <v>0</v>
      </c>
      <c r="F463" s="841">
        <f t="shared" si="41"/>
        <v>0</v>
      </c>
      <c r="G463" s="837">
        <f t="shared" si="42"/>
        <v>0</v>
      </c>
      <c r="H463" s="840">
        <f t="shared" si="43"/>
        <v>0</v>
      </c>
      <c r="I463" s="842">
        <f t="shared" si="44"/>
        <v>0</v>
      </c>
      <c r="L463" s="39"/>
    </row>
    <row r="464" spans="1:12" x14ac:dyDescent="0.25">
      <c r="A464" s="839">
        <v>54</v>
      </c>
      <c r="B464" s="840">
        <f t="shared" si="37"/>
        <v>0</v>
      </c>
      <c r="C464" s="837">
        <f t="shared" si="38"/>
        <v>0</v>
      </c>
      <c r="D464" s="840">
        <f t="shared" si="39"/>
        <v>0</v>
      </c>
      <c r="E464" s="837">
        <f t="shared" si="40"/>
        <v>0</v>
      </c>
      <c r="F464" s="841">
        <f t="shared" si="41"/>
        <v>0</v>
      </c>
      <c r="G464" s="837">
        <f t="shared" si="42"/>
        <v>0</v>
      </c>
      <c r="H464" s="840">
        <f t="shared" si="43"/>
        <v>0</v>
      </c>
      <c r="I464" s="842">
        <f t="shared" si="44"/>
        <v>0</v>
      </c>
      <c r="L464" s="39"/>
    </row>
    <row r="465" spans="1:12" x14ac:dyDescent="0.25">
      <c r="A465" s="839">
        <v>55</v>
      </c>
      <c r="B465" s="840">
        <f t="shared" si="37"/>
        <v>0</v>
      </c>
      <c r="C465" s="837">
        <f t="shared" si="38"/>
        <v>0</v>
      </c>
      <c r="D465" s="840">
        <f t="shared" si="39"/>
        <v>0</v>
      </c>
      <c r="E465" s="837">
        <f t="shared" si="40"/>
        <v>0</v>
      </c>
      <c r="F465" s="841">
        <f t="shared" si="41"/>
        <v>0</v>
      </c>
      <c r="G465" s="837">
        <f t="shared" si="42"/>
        <v>0</v>
      </c>
      <c r="H465" s="840">
        <f t="shared" si="43"/>
        <v>0</v>
      </c>
      <c r="I465" s="842">
        <f t="shared" si="44"/>
        <v>0</v>
      </c>
      <c r="L465" s="39"/>
    </row>
    <row r="466" spans="1:12" x14ac:dyDescent="0.25">
      <c r="A466" s="839">
        <v>56</v>
      </c>
      <c r="B466" s="840">
        <f t="shared" si="37"/>
        <v>0</v>
      </c>
      <c r="C466" s="837">
        <f t="shared" si="38"/>
        <v>0</v>
      </c>
      <c r="D466" s="840">
        <f t="shared" si="39"/>
        <v>0</v>
      </c>
      <c r="E466" s="837">
        <f t="shared" si="40"/>
        <v>0</v>
      </c>
      <c r="F466" s="841">
        <f t="shared" si="41"/>
        <v>0</v>
      </c>
      <c r="G466" s="837">
        <f t="shared" si="42"/>
        <v>0</v>
      </c>
      <c r="H466" s="840">
        <f t="shared" si="43"/>
        <v>0</v>
      </c>
      <c r="I466" s="842">
        <f t="shared" si="44"/>
        <v>0</v>
      </c>
      <c r="L466" s="39"/>
    </row>
    <row r="467" spans="1:12" x14ac:dyDescent="0.25">
      <c r="A467" s="839">
        <v>57</v>
      </c>
      <c r="B467" s="840">
        <f t="shared" si="37"/>
        <v>0</v>
      </c>
      <c r="C467" s="837">
        <f t="shared" si="38"/>
        <v>0</v>
      </c>
      <c r="D467" s="840">
        <f t="shared" si="39"/>
        <v>0</v>
      </c>
      <c r="E467" s="837">
        <f t="shared" si="40"/>
        <v>0</v>
      </c>
      <c r="F467" s="841">
        <f t="shared" si="41"/>
        <v>0</v>
      </c>
      <c r="G467" s="837">
        <f t="shared" si="42"/>
        <v>0</v>
      </c>
      <c r="H467" s="840">
        <f t="shared" si="43"/>
        <v>0</v>
      </c>
      <c r="I467" s="842">
        <f t="shared" si="44"/>
        <v>0</v>
      </c>
      <c r="L467" s="39"/>
    </row>
    <row r="468" spans="1:12" x14ac:dyDescent="0.25">
      <c r="A468" s="839">
        <v>58</v>
      </c>
      <c r="B468" s="840">
        <f t="shared" si="37"/>
        <v>0</v>
      </c>
      <c r="C468" s="837">
        <f t="shared" si="38"/>
        <v>0</v>
      </c>
      <c r="D468" s="840">
        <f t="shared" si="39"/>
        <v>0</v>
      </c>
      <c r="E468" s="837">
        <f t="shared" si="40"/>
        <v>0</v>
      </c>
      <c r="F468" s="841">
        <f t="shared" si="41"/>
        <v>0</v>
      </c>
      <c r="G468" s="837">
        <f t="shared" si="42"/>
        <v>0</v>
      </c>
      <c r="H468" s="840">
        <f t="shared" si="43"/>
        <v>0</v>
      </c>
      <c r="I468" s="842">
        <f t="shared" si="44"/>
        <v>0</v>
      </c>
      <c r="L468" s="39"/>
    </row>
    <row r="469" spans="1:12" x14ac:dyDescent="0.25">
      <c r="A469" s="839">
        <v>59</v>
      </c>
      <c r="B469" s="840">
        <f t="shared" si="37"/>
        <v>0</v>
      </c>
      <c r="C469" s="837">
        <f t="shared" si="38"/>
        <v>0</v>
      </c>
      <c r="D469" s="840">
        <f t="shared" si="39"/>
        <v>0</v>
      </c>
      <c r="E469" s="837">
        <f t="shared" si="40"/>
        <v>0</v>
      </c>
      <c r="F469" s="841">
        <f t="shared" si="41"/>
        <v>0</v>
      </c>
      <c r="G469" s="837">
        <f t="shared" si="42"/>
        <v>0</v>
      </c>
      <c r="H469" s="840">
        <f t="shared" si="43"/>
        <v>0</v>
      </c>
      <c r="I469" s="842">
        <f t="shared" si="44"/>
        <v>0</v>
      </c>
      <c r="L469" s="39"/>
    </row>
    <row r="470" spans="1:12" x14ac:dyDescent="0.25">
      <c r="A470" s="839">
        <v>60</v>
      </c>
      <c r="B470" s="840">
        <f t="shared" si="37"/>
        <v>0</v>
      </c>
      <c r="C470" s="837">
        <f t="shared" si="38"/>
        <v>0</v>
      </c>
      <c r="D470" s="840">
        <f t="shared" si="39"/>
        <v>0</v>
      </c>
      <c r="E470" s="837">
        <f t="shared" si="40"/>
        <v>0</v>
      </c>
      <c r="F470" s="841">
        <f t="shared" si="41"/>
        <v>0</v>
      </c>
      <c r="G470" s="837">
        <f t="shared" si="42"/>
        <v>0</v>
      </c>
      <c r="H470" s="840">
        <f t="shared" si="43"/>
        <v>0</v>
      </c>
      <c r="I470" s="842">
        <f t="shared" si="44"/>
        <v>0</v>
      </c>
      <c r="L470" s="39"/>
    </row>
    <row r="471" spans="1:12" x14ac:dyDescent="0.25">
      <c r="A471" s="839">
        <v>61</v>
      </c>
      <c r="B471" s="840">
        <f t="shared" si="37"/>
        <v>0</v>
      </c>
      <c r="C471" s="837">
        <f t="shared" si="38"/>
        <v>0</v>
      </c>
      <c r="D471" s="840">
        <f t="shared" si="39"/>
        <v>0</v>
      </c>
      <c r="E471" s="837">
        <f t="shared" si="40"/>
        <v>0</v>
      </c>
      <c r="F471" s="841">
        <f t="shared" si="41"/>
        <v>0</v>
      </c>
      <c r="G471" s="837">
        <f t="shared" si="42"/>
        <v>0</v>
      </c>
      <c r="H471" s="840">
        <f t="shared" si="43"/>
        <v>0</v>
      </c>
      <c r="I471" s="842">
        <f t="shared" si="44"/>
        <v>0</v>
      </c>
      <c r="L471" s="39"/>
    </row>
    <row r="472" spans="1:12" x14ac:dyDescent="0.25">
      <c r="A472" s="839">
        <v>62</v>
      </c>
      <c r="B472" s="840">
        <f t="shared" si="37"/>
        <v>0</v>
      </c>
      <c r="C472" s="837">
        <f t="shared" si="38"/>
        <v>0</v>
      </c>
      <c r="D472" s="840">
        <f t="shared" si="39"/>
        <v>0</v>
      </c>
      <c r="E472" s="837">
        <f t="shared" si="40"/>
        <v>0</v>
      </c>
      <c r="F472" s="841">
        <f t="shared" si="41"/>
        <v>0</v>
      </c>
      <c r="G472" s="837">
        <f t="shared" si="42"/>
        <v>0</v>
      </c>
      <c r="H472" s="840">
        <f t="shared" si="43"/>
        <v>0</v>
      </c>
      <c r="I472" s="842">
        <f t="shared" si="44"/>
        <v>0</v>
      </c>
      <c r="L472" s="39"/>
    </row>
    <row r="473" spans="1:12" x14ac:dyDescent="0.25">
      <c r="A473" s="839">
        <v>63</v>
      </c>
      <c r="B473" s="840">
        <f t="shared" si="37"/>
        <v>0</v>
      </c>
      <c r="C473" s="837">
        <f t="shared" si="38"/>
        <v>0</v>
      </c>
      <c r="D473" s="840">
        <f t="shared" si="39"/>
        <v>0</v>
      </c>
      <c r="E473" s="837">
        <f t="shared" si="40"/>
        <v>0</v>
      </c>
      <c r="F473" s="841">
        <f t="shared" si="41"/>
        <v>0</v>
      </c>
      <c r="G473" s="837">
        <f t="shared" si="42"/>
        <v>0</v>
      </c>
      <c r="H473" s="840">
        <f t="shared" si="43"/>
        <v>0</v>
      </c>
      <c r="I473" s="842">
        <f t="shared" si="44"/>
        <v>0</v>
      </c>
      <c r="L473" s="39"/>
    </row>
    <row r="474" spans="1:12" x14ac:dyDescent="0.25">
      <c r="A474" s="839">
        <v>64</v>
      </c>
      <c r="B474" s="840">
        <f t="shared" si="37"/>
        <v>0</v>
      </c>
      <c r="C474" s="837">
        <f t="shared" si="38"/>
        <v>0</v>
      </c>
      <c r="D474" s="840">
        <f t="shared" si="39"/>
        <v>0</v>
      </c>
      <c r="E474" s="837">
        <f t="shared" si="40"/>
        <v>0</v>
      </c>
      <c r="F474" s="841">
        <f t="shared" si="41"/>
        <v>0</v>
      </c>
      <c r="G474" s="837">
        <f t="shared" si="42"/>
        <v>0</v>
      </c>
      <c r="H474" s="840">
        <f t="shared" si="43"/>
        <v>0</v>
      </c>
      <c r="I474" s="842">
        <f t="shared" si="44"/>
        <v>0</v>
      </c>
      <c r="L474" s="39"/>
    </row>
    <row r="475" spans="1:12" x14ac:dyDescent="0.25">
      <c r="A475" s="839">
        <v>65</v>
      </c>
      <c r="B475" s="840">
        <f t="shared" ref="B475:B506" si="45">IF(OR(B264="C",B264="FC"),C264,0)</f>
        <v>0</v>
      </c>
      <c r="C475" s="837">
        <f t="shared" ref="C475:C506" si="46">IF(OR(B264="C",B264="FC"),F264,0)</f>
        <v>0</v>
      </c>
      <c r="D475" s="840">
        <f t="shared" ref="D475:D506" si="47">IF(OR(B264="W",B264="FW"),C264,0)</f>
        <v>0</v>
      </c>
      <c r="E475" s="837">
        <f t="shared" ref="E475:E506" si="48">IF(OR(B264="W",B264="FW"),F264,0)</f>
        <v>0</v>
      </c>
      <c r="F475" s="841">
        <f t="shared" ref="F475:F506" si="49">IF(OR(H264="C",H264="FC"),I264,0)</f>
        <v>0</v>
      </c>
      <c r="G475" s="837">
        <f t="shared" ref="G475:G506" si="50">IF(OR(H264="C",H264="FC"),L264,0)</f>
        <v>0</v>
      </c>
      <c r="H475" s="840">
        <f t="shared" ref="H475:H506" si="51">IF(OR(H264="W",H264="FW"),I264,0)</f>
        <v>0</v>
      </c>
      <c r="I475" s="842">
        <f t="shared" si="44"/>
        <v>0</v>
      </c>
      <c r="L475" s="39"/>
    </row>
    <row r="476" spans="1:12" x14ac:dyDescent="0.25">
      <c r="A476" s="839">
        <v>66</v>
      </c>
      <c r="B476" s="840">
        <f t="shared" si="45"/>
        <v>0</v>
      </c>
      <c r="C476" s="837">
        <f t="shared" si="46"/>
        <v>0</v>
      </c>
      <c r="D476" s="840">
        <f t="shared" si="47"/>
        <v>0</v>
      </c>
      <c r="E476" s="837">
        <f t="shared" si="48"/>
        <v>0</v>
      </c>
      <c r="F476" s="841">
        <f t="shared" si="49"/>
        <v>0</v>
      </c>
      <c r="G476" s="837">
        <f t="shared" si="50"/>
        <v>0</v>
      </c>
      <c r="H476" s="840">
        <f t="shared" si="51"/>
        <v>0</v>
      </c>
      <c r="I476" s="842">
        <f t="shared" ref="I476:I507" si="52">IF(H265&lt;&gt;"W",0,L265)</f>
        <v>0</v>
      </c>
      <c r="L476" s="39"/>
    </row>
    <row r="477" spans="1:12" x14ac:dyDescent="0.25">
      <c r="A477" s="839">
        <v>67</v>
      </c>
      <c r="B477" s="840">
        <f t="shared" si="45"/>
        <v>0</v>
      </c>
      <c r="C477" s="837">
        <f t="shared" si="46"/>
        <v>0</v>
      </c>
      <c r="D477" s="840">
        <f t="shared" si="47"/>
        <v>0</v>
      </c>
      <c r="E477" s="837">
        <f t="shared" si="48"/>
        <v>0</v>
      </c>
      <c r="F477" s="841">
        <f t="shared" si="49"/>
        <v>0</v>
      </c>
      <c r="G477" s="837">
        <f t="shared" si="50"/>
        <v>0</v>
      </c>
      <c r="H477" s="840">
        <f t="shared" si="51"/>
        <v>0</v>
      </c>
      <c r="I477" s="842">
        <f t="shared" si="52"/>
        <v>0</v>
      </c>
      <c r="L477" s="39"/>
    </row>
    <row r="478" spans="1:12" x14ac:dyDescent="0.25">
      <c r="A478" s="839">
        <v>68</v>
      </c>
      <c r="B478" s="840">
        <f t="shared" si="45"/>
        <v>0</v>
      </c>
      <c r="C478" s="837">
        <f t="shared" si="46"/>
        <v>0</v>
      </c>
      <c r="D478" s="840">
        <f t="shared" si="47"/>
        <v>0</v>
      </c>
      <c r="E478" s="837">
        <f t="shared" si="48"/>
        <v>0</v>
      </c>
      <c r="F478" s="841">
        <f t="shared" si="49"/>
        <v>0</v>
      </c>
      <c r="G478" s="837">
        <f t="shared" si="50"/>
        <v>0</v>
      </c>
      <c r="H478" s="840">
        <f t="shared" si="51"/>
        <v>0</v>
      </c>
      <c r="I478" s="842">
        <f t="shared" si="52"/>
        <v>0</v>
      </c>
      <c r="L478" s="39"/>
    </row>
    <row r="479" spans="1:12" x14ac:dyDescent="0.25">
      <c r="A479" s="839">
        <v>69</v>
      </c>
      <c r="B479" s="840">
        <f t="shared" si="45"/>
        <v>0</v>
      </c>
      <c r="C479" s="837">
        <f t="shared" si="46"/>
        <v>0</v>
      </c>
      <c r="D479" s="840">
        <f t="shared" si="47"/>
        <v>0</v>
      </c>
      <c r="E479" s="837">
        <f t="shared" si="48"/>
        <v>0</v>
      </c>
      <c r="F479" s="841">
        <f t="shared" si="49"/>
        <v>0</v>
      </c>
      <c r="G479" s="837">
        <f t="shared" si="50"/>
        <v>0</v>
      </c>
      <c r="H479" s="840">
        <f t="shared" si="51"/>
        <v>0</v>
      </c>
      <c r="I479" s="842">
        <f t="shared" si="52"/>
        <v>0</v>
      </c>
      <c r="L479" s="39"/>
    </row>
    <row r="480" spans="1:12" x14ac:dyDescent="0.25">
      <c r="A480" s="839">
        <v>70</v>
      </c>
      <c r="B480" s="840">
        <f t="shared" si="45"/>
        <v>0</v>
      </c>
      <c r="C480" s="837">
        <f t="shared" si="46"/>
        <v>0</v>
      </c>
      <c r="D480" s="840">
        <f t="shared" si="47"/>
        <v>0</v>
      </c>
      <c r="E480" s="837">
        <f t="shared" si="48"/>
        <v>0</v>
      </c>
      <c r="F480" s="841">
        <f t="shared" si="49"/>
        <v>0</v>
      </c>
      <c r="G480" s="837">
        <f t="shared" si="50"/>
        <v>0</v>
      </c>
      <c r="H480" s="840">
        <f t="shared" si="51"/>
        <v>0</v>
      </c>
      <c r="I480" s="842">
        <f t="shared" si="52"/>
        <v>0</v>
      </c>
      <c r="L480" s="39"/>
    </row>
    <row r="481" spans="1:12" x14ac:dyDescent="0.25">
      <c r="A481" s="839">
        <v>71</v>
      </c>
      <c r="B481" s="840">
        <f t="shared" si="45"/>
        <v>0</v>
      </c>
      <c r="C481" s="837">
        <f t="shared" si="46"/>
        <v>0</v>
      </c>
      <c r="D481" s="840">
        <f t="shared" si="47"/>
        <v>0</v>
      </c>
      <c r="E481" s="837">
        <f t="shared" si="48"/>
        <v>0</v>
      </c>
      <c r="F481" s="841">
        <f t="shared" si="49"/>
        <v>0</v>
      </c>
      <c r="G481" s="837">
        <f t="shared" si="50"/>
        <v>0</v>
      </c>
      <c r="H481" s="840">
        <f t="shared" si="51"/>
        <v>0</v>
      </c>
      <c r="I481" s="842">
        <f t="shared" si="52"/>
        <v>0</v>
      </c>
      <c r="L481" s="39"/>
    </row>
    <row r="482" spans="1:12" x14ac:dyDescent="0.25">
      <c r="A482" s="839">
        <v>72</v>
      </c>
      <c r="B482" s="840">
        <f t="shared" si="45"/>
        <v>0</v>
      </c>
      <c r="C482" s="837">
        <f t="shared" si="46"/>
        <v>0</v>
      </c>
      <c r="D482" s="840">
        <f t="shared" si="47"/>
        <v>0</v>
      </c>
      <c r="E482" s="837">
        <f t="shared" si="48"/>
        <v>0</v>
      </c>
      <c r="F482" s="841">
        <f t="shared" si="49"/>
        <v>0</v>
      </c>
      <c r="G482" s="837">
        <f t="shared" si="50"/>
        <v>0</v>
      </c>
      <c r="H482" s="840">
        <f t="shared" si="51"/>
        <v>0</v>
      </c>
      <c r="I482" s="842">
        <f t="shared" si="52"/>
        <v>0</v>
      </c>
      <c r="L482" s="39"/>
    </row>
    <row r="483" spans="1:12" x14ac:dyDescent="0.25">
      <c r="A483" s="839">
        <v>73</v>
      </c>
      <c r="B483" s="840">
        <f t="shared" si="45"/>
        <v>0</v>
      </c>
      <c r="C483" s="837">
        <f t="shared" si="46"/>
        <v>0</v>
      </c>
      <c r="D483" s="840">
        <f t="shared" si="47"/>
        <v>0</v>
      </c>
      <c r="E483" s="837">
        <f t="shared" si="48"/>
        <v>0</v>
      </c>
      <c r="F483" s="841">
        <f t="shared" si="49"/>
        <v>0</v>
      </c>
      <c r="G483" s="837">
        <f t="shared" si="50"/>
        <v>0</v>
      </c>
      <c r="H483" s="840">
        <f t="shared" si="51"/>
        <v>0</v>
      </c>
      <c r="I483" s="842">
        <f t="shared" si="52"/>
        <v>0</v>
      </c>
      <c r="L483" s="39"/>
    </row>
    <row r="484" spans="1:12" x14ac:dyDescent="0.25">
      <c r="A484" s="839">
        <v>74</v>
      </c>
      <c r="B484" s="840">
        <f t="shared" si="45"/>
        <v>0</v>
      </c>
      <c r="C484" s="837">
        <f t="shared" si="46"/>
        <v>0</v>
      </c>
      <c r="D484" s="840">
        <f t="shared" si="47"/>
        <v>0</v>
      </c>
      <c r="E484" s="837">
        <f t="shared" si="48"/>
        <v>0</v>
      </c>
      <c r="F484" s="841">
        <f t="shared" si="49"/>
        <v>0</v>
      </c>
      <c r="G484" s="837">
        <f t="shared" si="50"/>
        <v>0</v>
      </c>
      <c r="H484" s="840">
        <f t="shared" si="51"/>
        <v>0</v>
      </c>
      <c r="I484" s="842">
        <f t="shared" si="52"/>
        <v>0</v>
      </c>
      <c r="L484" s="39"/>
    </row>
    <row r="485" spans="1:12" x14ac:dyDescent="0.25">
      <c r="A485" s="839">
        <v>75</v>
      </c>
      <c r="B485" s="840">
        <f t="shared" si="45"/>
        <v>0</v>
      </c>
      <c r="C485" s="837">
        <f t="shared" si="46"/>
        <v>0</v>
      </c>
      <c r="D485" s="840">
        <f t="shared" si="47"/>
        <v>0</v>
      </c>
      <c r="E485" s="837">
        <f t="shared" si="48"/>
        <v>0</v>
      </c>
      <c r="F485" s="841">
        <f t="shared" si="49"/>
        <v>0</v>
      </c>
      <c r="G485" s="837">
        <f t="shared" si="50"/>
        <v>0</v>
      </c>
      <c r="H485" s="840">
        <f t="shared" si="51"/>
        <v>0</v>
      </c>
      <c r="I485" s="842">
        <f t="shared" si="52"/>
        <v>0</v>
      </c>
      <c r="L485" s="39"/>
    </row>
    <row r="486" spans="1:12" x14ac:dyDescent="0.25">
      <c r="A486" s="839">
        <v>76</v>
      </c>
      <c r="B486" s="840">
        <f t="shared" si="45"/>
        <v>0</v>
      </c>
      <c r="C486" s="837">
        <f t="shared" si="46"/>
        <v>0</v>
      </c>
      <c r="D486" s="840">
        <f t="shared" si="47"/>
        <v>0</v>
      </c>
      <c r="E486" s="837">
        <f t="shared" si="48"/>
        <v>0</v>
      </c>
      <c r="F486" s="841">
        <f t="shared" si="49"/>
        <v>0</v>
      </c>
      <c r="G486" s="837">
        <f t="shared" si="50"/>
        <v>0</v>
      </c>
      <c r="H486" s="840">
        <f t="shared" si="51"/>
        <v>0</v>
      </c>
      <c r="I486" s="842">
        <f t="shared" si="52"/>
        <v>0</v>
      </c>
      <c r="L486" s="39"/>
    </row>
    <row r="487" spans="1:12" x14ac:dyDescent="0.25">
      <c r="A487" s="839">
        <v>77</v>
      </c>
      <c r="B487" s="840">
        <f t="shared" si="45"/>
        <v>0</v>
      </c>
      <c r="C487" s="837">
        <f t="shared" si="46"/>
        <v>0</v>
      </c>
      <c r="D487" s="840">
        <f t="shared" si="47"/>
        <v>0</v>
      </c>
      <c r="E487" s="837">
        <f t="shared" si="48"/>
        <v>0</v>
      </c>
      <c r="F487" s="841">
        <f t="shared" si="49"/>
        <v>0</v>
      </c>
      <c r="G487" s="837">
        <f t="shared" si="50"/>
        <v>0</v>
      </c>
      <c r="H487" s="840">
        <f t="shared" si="51"/>
        <v>0</v>
      </c>
      <c r="I487" s="842">
        <f t="shared" si="52"/>
        <v>0</v>
      </c>
      <c r="L487" s="39"/>
    </row>
    <row r="488" spans="1:12" x14ac:dyDescent="0.25">
      <c r="A488" s="839">
        <v>78</v>
      </c>
      <c r="B488" s="840">
        <f t="shared" si="45"/>
        <v>0</v>
      </c>
      <c r="C488" s="837">
        <f t="shared" si="46"/>
        <v>0</v>
      </c>
      <c r="D488" s="840">
        <f t="shared" si="47"/>
        <v>0</v>
      </c>
      <c r="E488" s="837">
        <f t="shared" si="48"/>
        <v>0</v>
      </c>
      <c r="F488" s="841">
        <f t="shared" si="49"/>
        <v>0</v>
      </c>
      <c r="G488" s="837">
        <f t="shared" si="50"/>
        <v>0</v>
      </c>
      <c r="H488" s="840">
        <f t="shared" si="51"/>
        <v>0</v>
      </c>
      <c r="I488" s="842">
        <f t="shared" si="52"/>
        <v>0</v>
      </c>
      <c r="L488" s="39"/>
    </row>
    <row r="489" spans="1:12" x14ac:dyDescent="0.25">
      <c r="A489" s="839">
        <v>79</v>
      </c>
      <c r="B489" s="840">
        <f t="shared" si="45"/>
        <v>0</v>
      </c>
      <c r="C489" s="837">
        <f t="shared" si="46"/>
        <v>0</v>
      </c>
      <c r="D489" s="840">
        <f t="shared" si="47"/>
        <v>0</v>
      </c>
      <c r="E489" s="837">
        <f t="shared" si="48"/>
        <v>0</v>
      </c>
      <c r="F489" s="841">
        <f t="shared" si="49"/>
        <v>0</v>
      </c>
      <c r="G489" s="837">
        <f t="shared" si="50"/>
        <v>0</v>
      </c>
      <c r="H489" s="840">
        <f t="shared" si="51"/>
        <v>0</v>
      </c>
      <c r="I489" s="842">
        <f t="shared" si="52"/>
        <v>0</v>
      </c>
      <c r="L489" s="39"/>
    </row>
    <row r="490" spans="1:12" x14ac:dyDescent="0.25">
      <c r="A490" s="839">
        <v>80</v>
      </c>
      <c r="B490" s="840">
        <f t="shared" si="45"/>
        <v>0</v>
      </c>
      <c r="C490" s="837">
        <f t="shared" si="46"/>
        <v>0</v>
      </c>
      <c r="D490" s="840">
        <f t="shared" si="47"/>
        <v>0</v>
      </c>
      <c r="E490" s="837">
        <f t="shared" si="48"/>
        <v>0</v>
      </c>
      <c r="F490" s="841">
        <f t="shared" si="49"/>
        <v>0</v>
      </c>
      <c r="G490" s="837">
        <f t="shared" si="50"/>
        <v>0</v>
      </c>
      <c r="H490" s="840">
        <f t="shared" si="51"/>
        <v>0</v>
      </c>
      <c r="I490" s="842">
        <f t="shared" si="52"/>
        <v>0</v>
      </c>
      <c r="L490" s="39"/>
    </row>
    <row r="491" spans="1:12" x14ac:dyDescent="0.25">
      <c r="A491" s="839">
        <v>81</v>
      </c>
      <c r="B491" s="840">
        <f t="shared" si="45"/>
        <v>0</v>
      </c>
      <c r="C491" s="837">
        <f t="shared" si="46"/>
        <v>0</v>
      </c>
      <c r="D491" s="840">
        <f t="shared" si="47"/>
        <v>0</v>
      </c>
      <c r="E491" s="837">
        <f t="shared" si="48"/>
        <v>0</v>
      </c>
      <c r="F491" s="841">
        <f t="shared" si="49"/>
        <v>0</v>
      </c>
      <c r="G491" s="837">
        <f t="shared" si="50"/>
        <v>0</v>
      </c>
      <c r="H491" s="840">
        <f t="shared" si="51"/>
        <v>0</v>
      </c>
      <c r="I491" s="842">
        <f t="shared" si="52"/>
        <v>0</v>
      </c>
      <c r="L491" s="39"/>
    </row>
    <row r="492" spans="1:12" x14ac:dyDescent="0.25">
      <c r="A492" s="839">
        <v>82</v>
      </c>
      <c r="B492" s="840">
        <f t="shared" si="45"/>
        <v>0</v>
      </c>
      <c r="C492" s="837">
        <f t="shared" si="46"/>
        <v>0</v>
      </c>
      <c r="D492" s="840">
        <f t="shared" si="47"/>
        <v>0</v>
      </c>
      <c r="E492" s="837">
        <f t="shared" si="48"/>
        <v>0</v>
      </c>
      <c r="F492" s="841">
        <f t="shared" si="49"/>
        <v>0</v>
      </c>
      <c r="G492" s="837">
        <f t="shared" si="50"/>
        <v>0</v>
      </c>
      <c r="H492" s="840">
        <f t="shared" si="51"/>
        <v>0</v>
      </c>
      <c r="I492" s="842">
        <f t="shared" si="52"/>
        <v>0</v>
      </c>
      <c r="L492" s="39"/>
    </row>
    <row r="493" spans="1:12" x14ac:dyDescent="0.25">
      <c r="A493" s="839">
        <v>83</v>
      </c>
      <c r="B493" s="840">
        <f t="shared" si="45"/>
        <v>0</v>
      </c>
      <c r="C493" s="837">
        <f t="shared" si="46"/>
        <v>0</v>
      </c>
      <c r="D493" s="840">
        <f t="shared" si="47"/>
        <v>0</v>
      </c>
      <c r="E493" s="837">
        <f t="shared" si="48"/>
        <v>0</v>
      </c>
      <c r="F493" s="841">
        <f t="shared" si="49"/>
        <v>0</v>
      </c>
      <c r="G493" s="837">
        <f t="shared" si="50"/>
        <v>0</v>
      </c>
      <c r="H493" s="840">
        <f t="shared" si="51"/>
        <v>0</v>
      </c>
      <c r="I493" s="842">
        <f t="shared" si="52"/>
        <v>0</v>
      </c>
      <c r="L493" s="39"/>
    </row>
    <row r="494" spans="1:12" x14ac:dyDescent="0.25">
      <c r="A494" s="839">
        <v>84</v>
      </c>
      <c r="B494" s="840">
        <f t="shared" si="45"/>
        <v>0</v>
      </c>
      <c r="C494" s="837">
        <f t="shared" si="46"/>
        <v>0</v>
      </c>
      <c r="D494" s="840">
        <f t="shared" si="47"/>
        <v>0</v>
      </c>
      <c r="E494" s="837">
        <f t="shared" si="48"/>
        <v>0</v>
      </c>
      <c r="F494" s="841">
        <f t="shared" si="49"/>
        <v>0</v>
      </c>
      <c r="G494" s="837">
        <f t="shared" si="50"/>
        <v>0</v>
      </c>
      <c r="H494" s="840">
        <f t="shared" si="51"/>
        <v>0</v>
      </c>
      <c r="I494" s="842">
        <f t="shared" si="52"/>
        <v>0</v>
      </c>
      <c r="L494" s="39"/>
    </row>
    <row r="495" spans="1:12" x14ac:dyDescent="0.25">
      <c r="A495" s="839">
        <v>85</v>
      </c>
      <c r="B495" s="840">
        <f t="shared" si="45"/>
        <v>0</v>
      </c>
      <c r="C495" s="837">
        <f t="shared" si="46"/>
        <v>0</v>
      </c>
      <c r="D495" s="840">
        <f t="shared" si="47"/>
        <v>0</v>
      </c>
      <c r="E495" s="837">
        <f t="shared" si="48"/>
        <v>0</v>
      </c>
      <c r="F495" s="841">
        <f t="shared" si="49"/>
        <v>0</v>
      </c>
      <c r="G495" s="837">
        <f t="shared" si="50"/>
        <v>0</v>
      </c>
      <c r="H495" s="840">
        <f t="shared" si="51"/>
        <v>0</v>
      </c>
      <c r="I495" s="842">
        <f t="shared" si="52"/>
        <v>0</v>
      </c>
      <c r="L495" s="39"/>
    </row>
    <row r="496" spans="1:12" x14ac:dyDescent="0.25">
      <c r="A496" s="839">
        <v>86</v>
      </c>
      <c r="B496" s="840">
        <f t="shared" si="45"/>
        <v>0</v>
      </c>
      <c r="C496" s="837">
        <f t="shared" si="46"/>
        <v>0</v>
      </c>
      <c r="D496" s="840">
        <f t="shared" si="47"/>
        <v>0</v>
      </c>
      <c r="E496" s="837">
        <f t="shared" si="48"/>
        <v>0</v>
      </c>
      <c r="F496" s="841">
        <f t="shared" si="49"/>
        <v>0</v>
      </c>
      <c r="G496" s="837">
        <f t="shared" si="50"/>
        <v>0</v>
      </c>
      <c r="H496" s="840">
        <f t="shared" si="51"/>
        <v>0</v>
      </c>
      <c r="I496" s="842">
        <f t="shared" si="52"/>
        <v>0</v>
      </c>
      <c r="L496" s="39"/>
    </row>
    <row r="497" spans="1:12" x14ac:dyDescent="0.25">
      <c r="A497" s="839">
        <v>87</v>
      </c>
      <c r="B497" s="840">
        <f t="shared" si="45"/>
        <v>0</v>
      </c>
      <c r="C497" s="837">
        <f t="shared" si="46"/>
        <v>0</v>
      </c>
      <c r="D497" s="840">
        <f t="shared" si="47"/>
        <v>0</v>
      </c>
      <c r="E497" s="837">
        <f t="shared" si="48"/>
        <v>0</v>
      </c>
      <c r="F497" s="841">
        <f t="shared" si="49"/>
        <v>0</v>
      </c>
      <c r="G497" s="837">
        <f t="shared" si="50"/>
        <v>0</v>
      </c>
      <c r="H497" s="840">
        <f t="shared" si="51"/>
        <v>0</v>
      </c>
      <c r="I497" s="842">
        <f t="shared" si="52"/>
        <v>0</v>
      </c>
      <c r="L497" s="39"/>
    </row>
    <row r="498" spans="1:12" x14ac:dyDescent="0.25">
      <c r="A498" s="839">
        <v>88</v>
      </c>
      <c r="B498" s="840">
        <f t="shared" si="45"/>
        <v>0</v>
      </c>
      <c r="C498" s="837">
        <f t="shared" si="46"/>
        <v>0</v>
      </c>
      <c r="D498" s="840">
        <f t="shared" si="47"/>
        <v>0</v>
      </c>
      <c r="E498" s="837">
        <f t="shared" si="48"/>
        <v>0</v>
      </c>
      <c r="F498" s="841">
        <f t="shared" si="49"/>
        <v>0</v>
      </c>
      <c r="G498" s="837">
        <f t="shared" si="50"/>
        <v>0</v>
      </c>
      <c r="H498" s="840">
        <f t="shared" si="51"/>
        <v>0</v>
      </c>
      <c r="I498" s="842">
        <f t="shared" si="52"/>
        <v>0</v>
      </c>
      <c r="L498" s="39"/>
    </row>
    <row r="499" spans="1:12" x14ac:dyDescent="0.25">
      <c r="A499" s="839">
        <v>89</v>
      </c>
      <c r="B499" s="840">
        <f t="shared" si="45"/>
        <v>0</v>
      </c>
      <c r="C499" s="837">
        <f t="shared" si="46"/>
        <v>0</v>
      </c>
      <c r="D499" s="840">
        <f t="shared" si="47"/>
        <v>0</v>
      </c>
      <c r="E499" s="837">
        <f t="shared" si="48"/>
        <v>0</v>
      </c>
      <c r="F499" s="841">
        <f t="shared" si="49"/>
        <v>0</v>
      </c>
      <c r="G499" s="837">
        <f t="shared" si="50"/>
        <v>0</v>
      </c>
      <c r="H499" s="840">
        <f t="shared" si="51"/>
        <v>0</v>
      </c>
      <c r="I499" s="842">
        <f t="shared" si="52"/>
        <v>0</v>
      </c>
      <c r="L499" s="39"/>
    </row>
    <row r="500" spans="1:12" x14ac:dyDescent="0.25">
      <c r="A500" s="839">
        <v>90</v>
      </c>
      <c r="B500" s="840">
        <f t="shared" si="45"/>
        <v>0</v>
      </c>
      <c r="C500" s="837">
        <f t="shared" si="46"/>
        <v>0</v>
      </c>
      <c r="D500" s="840">
        <f t="shared" si="47"/>
        <v>0</v>
      </c>
      <c r="E500" s="837">
        <f t="shared" si="48"/>
        <v>0</v>
      </c>
      <c r="F500" s="841">
        <f t="shared" si="49"/>
        <v>0</v>
      </c>
      <c r="G500" s="837">
        <f t="shared" si="50"/>
        <v>0</v>
      </c>
      <c r="H500" s="840">
        <f t="shared" si="51"/>
        <v>0</v>
      </c>
      <c r="I500" s="842">
        <f t="shared" si="52"/>
        <v>0</v>
      </c>
      <c r="L500" s="39"/>
    </row>
    <row r="501" spans="1:12" x14ac:dyDescent="0.25">
      <c r="A501" s="839">
        <v>91</v>
      </c>
      <c r="B501" s="840">
        <f t="shared" si="45"/>
        <v>0</v>
      </c>
      <c r="C501" s="837">
        <f t="shared" si="46"/>
        <v>0</v>
      </c>
      <c r="D501" s="840">
        <f t="shared" si="47"/>
        <v>0</v>
      </c>
      <c r="E501" s="837">
        <f t="shared" si="48"/>
        <v>0</v>
      </c>
      <c r="F501" s="841">
        <f t="shared" si="49"/>
        <v>0</v>
      </c>
      <c r="G501" s="837">
        <f t="shared" si="50"/>
        <v>0</v>
      </c>
      <c r="H501" s="840">
        <f t="shared" si="51"/>
        <v>0</v>
      </c>
      <c r="I501" s="842">
        <f t="shared" si="52"/>
        <v>0</v>
      </c>
      <c r="L501" s="39"/>
    </row>
    <row r="502" spans="1:12" x14ac:dyDescent="0.25">
      <c r="A502" s="839">
        <v>92</v>
      </c>
      <c r="B502" s="840">
        <f t="shared" si="45"/>
        <v>0</v>
      </c>
      <c r="C502" s="837">
        <f t="shared" si="46"/>
        <v>0</v>
      </c>
      <c r="D502" s="840">
        <f t="shared" si="47"/>
        <v>0</v>
      </c>
      <c r="E502" s="837">
        <f t="shared" si="48"/>
        <v>0</v>
      </c>
      <c r="F502" s="841">
        <f t="shared" si="49"/>
        <v>0</v>
      </c>
      <c r="G502" s="837">
        <f t="shared" si="50"/>
        <v>0</v>
      </c>
      <c r="H502" s="840">
        <f t="shared" si="51"/>
        <v>0</v>
      </c>
      <c r="I502" s="842">
        <f t="shared" si="52"/>
        <v>0</v>
      </c>
      <c r="L502" s="39"/>
    </row>
    <row r="503" spans="1:12" x14ac:dyDescent="0.25">
      <c r="A503" s="839">
        <v>93</v>
      </c>
      <c r="B503" s="840">
        <f t="shared" si="45"/>
        <v>0</v>
      </c>
      <c r="C503" s="837">
        <f t="shared" si="46"/>
        <v>0</v>
      </c>
      <c r="D503" s="840">
        <f t="shared" si="47"/>
        <v>0</v>
      </c>
      <c r="E503" s="837">
        <f t="shared" si="48"/>
        <v>0</v>
      </c>
      <c r="F503" s="841">
        <f t="shared" si="49"/>
        <v>0</v>
      </c>
      <c r="G503" s="837">
        <f t="shared" si="50"/>
        <v>0</v>
      </c>
      <c r="H503" s="840">
        <f t="shared" si="51"/>
        <v>0</v>
      </c>
      <c r="I503" s="842">
        <f t="shared" si="52"/>
        <v>0</v>
      </c>
      <c r="L503" s="39"/>
    </row>
    <row r="504" spans="1:12" x14ac:dyDescent="0.25">
      <c r="A504" s="839">
        <v>94</v>
      </c>
      <c r="B504" s="840">
        <f t="shared" si="45"/>
        <v>0</v>
      </c>
      <c r="C504" s="837">
        <f t="shared" si="46"/>
        <v>0</v>
      </c>
      <c r="D504" s="840">
        <f t="shared" si="47"/>
        <v>0</v>
      </c>
      <c r="E504" s="837">
        <f t="shared" si="48"/>
        <v>0</v>
      </c>
      <c r="F504" s="841">
        <f t="shared" si="49"/>
        <v>0</v>
      </c>
      <c r="G504" s="837">
        <f t="shared" si="50"/>
        <v>0</v>
      </c>
      <c r="H504" s="840">
        <f t="shared" si="51"/>
        <v>0</v>
      </c>
      <c r="I504" s="842">
        <f t="shared" si="52"/>
        <v>0</v>
      </c>
      <c r="L504" s="39"/>
    </row>
    <row r="505" spans="1:12" x14ac:dyDescent="0.25">
      <c r="A505" s="839">
        <v>95</v>
      </c>
      <c r="B505" s="840">
        <f t="shared" si="45"/>
        <v>0</v>
      </c>
      <c r="C505" s="837">
        <f t="shared" si="46"/>
        <v>0</v>
      </c>
      <c r="D505" s="840">
        <f t="shared" si="47"/>
        <v>0</v>
      </c>
      <c r="E505" s="837">
        <f t="shared" si="48"/>
        <v>0</v>
      </c>
      <c r="F505" s="841">
        <f t="shared" si="49"/>
        <v>0</v>
      </c>
      <c r="G505" s="837">
        <f t="shared" si="50"/>
        <v>0</v>
      </c>
      <c r="H505" s="840">
        <f t="shared" si="51"/>
        <v>0</v>
      </c>
      <c r="I505" s="842">
        <f t="shared" si="52"/>
        <v>0</v>
      </c>
      <c r="L505" s="39"/>
    </row>
    <row r="506" spans="1:12" x14ac:dyDescent="0.25">
      <c r="A506" s="839">
        <v>96</v>
      </c>
      <c r="B506" s="840">
        <f t="shared" si="45"/>
        <v>0</v>
      </c>
      <c r="C506" s="837">
        <f t="shared" si="46"/>
        <v>0</v>
      </c>
      <c r="D506" s="840">
        <f t="shared" si="47"/>
        <v>0</v>
      </c>
      <c r="E506" s="837">
        <f t="shared" si="48"/>
        <v>0</v>
      </c>
      <c r="F506" s="841">
        <f t="shared" si="49"/>
        <v>0</v>
      </c>
      <c r="G506" s="837">
        <f t="shared" si="50"/>
        <v>0</v>
      </c>
      <c r="H506" s="840">
        <f t="shared" si="51"/>
        <v>0</v>
      </c>
      <c r="I506" s="842">
        <f t="shared" si="52"/>
        <v>0</v>
      </c>
      <c r="L506" s="39"/>
    </row>
    <row r="507" spans="1:12" x14ac:dyDescent="0.25">
      <c r="A507" s="839">
        <v>97</v>
      </c>
      <c r="B507" s="840">
        <f t="shared" ref="B507:B513" si="53">IF(OR(B296="C",B296="FC"),C296,0)</f>
        <v>0</v>
      </c>
      <c r="C507" s="837">
        <f t="shared" ref="C507:C513" si="54">IF(OR(B296="C",B296="FC"),F296,0)</f>
        <v>0</v>
      </c>
      <c r="D507" s="840">
        <f t="shared" ref="D507:D513" si="55">IF(OR(B296="W",B296="FW"),C296,0)</f>
        <v>0</v>
      </c>
      <c r="E507" s="837">
        <f t="shared" ref="E507:E513" si="56">IF(OR(B296="W",B296="FW"),F296,0)</f>
        <v>0</v>
      </c>
      <c r="F507" s="841">
        <f t="shared" ref="F507:F513" si="57">IF(OR(H296="C",H296="FC"),I296,0)</f>
        <v>0</v>
      </c>
      <c r="G507" s="837">
        <f t="shared" ref="G507:G513" si="58">IF(OR(H296="C",H296="FC"),L296,0)</f>
        <v>0</v>
      </c>
      <c r="H507" s="840">
        <f t="shared" ref="H507:H513" si="59">IF(OR(H296="W",H296="FW"),I296,0)</f>
        <v>0</v>
      </c>
      <c r="I507" s="842">
        <f t="shared" si="52"/>
        <v>0</v>
      </c>
      <c r="L507" s="39"/>
    </row>
    <row r="508" spans="1:12" x14ac:dyDescent="0.25">
      <c r="A508" s="839">
        <v>98</v>
      </c>
      <c r="B508" s="840">
        <f t="shared" si="53"/>
        <v>0</v>
      </c>
      <c r="C508" s="837">
        <f t="shared" si="54"/>
        <v>0</v>
      </c>
      <c r="D508" s="840">
        <f t="shared" si="55"/>
        <v>0</v>
      </c>
      <c r="E508" s="837">
        <f t="shared" si="56"/>
        <v>0</v>
      </c>
      <c r="F508" s="841">
        <f t="shared" si="57"/>
        <v>0</v>
      </c>
      <c r="G508" s="837">
        <f t="shared" si="58"/>
        <v>0</v>
      </c>
      <c r="H508" s="840">
        <f t="shared" si="59"/>
        <v>0</v>
      </c>
      <c r="I508" s="842">
        <f t="shared" ref="I508:I513" si="60">IF(H297&lt;&gt;"W",0,L297)</f>
        <v>0</v>
      </c>
      <c r="L508" s="39"/>
    </row>
    <row r="509" spans="1:12" x14ac:dyDescent="0.25">
      <c r="A509" s="839">
        <v>99</v>
      </c>
      <c r="B509" s="840">
        <f t="shared" si="53"/>
        <v>0</v>
      </c>
      <c r="C509" s="837">
        <f t="shared" si="54"/>
        <v>0</v>
      </c>
      <c r="D509" s="840">
        <f t="shared" si="55"/>
        <v>0</v>
      </c>
      <c r="E509" s="837">
        <f t="shared" si="56"/>
        <v>0</v>
      </c>
      <c r="F509" s="841">
        <f t="shared" si="57"/>
        <v>0</v>
      </c>
      <c r="G509" s="837">
        <f t="shared" si="58"/>
        <v>0</v>
      </c>
      <c r="H509" s="840">
        <f t="shared" si="59"/>
        <v>0</v>
      </c>
      <c r="I509" s="842">
        <f t="shared" si="60"/>
        <v>0</v>
      </c>
      <c r="L509" s="39"/>
    </row>
    <row r="510" spans="1:12" x14ac:dyDescent="0.25">
      <c r="A510" s="839">
        <v>100</v>
      </c>
      <c r="B510" s="840">
        <f t="shared" si="53"/>
        <v>0</v>
      </c>
      <c r="C510" s="837">
        <f t="shared" si="54"/>
        <v>0</v>
      </c>
      <c r="D510" s="840">
        <f t="shared" si="55"/>
        <v>0</v>
      </c>
      <c r="E510" s="837">
        <f t="shared" si="56"/>
        <v>0</v>
      </c>
      <c r="F510" s="841">
        <f t="shared" si="57"/>
        <v>0</v>
      </c>
      <c r="G510" s="837">
        <f t="shared" si="58"/>
        <v>0</v>
      </c>
      <c r="H510" s="840">
        <f t="shared" si="59"/>
        <v>0</v>
      </c>
      <c r="I510" s="842">
        <f t="shared" si="60"/>
        <v>0</v>
      </c>
      <c r="L510" s="39"/>
    </row>
    <row r="511" spans="1:12" x14ac:dyDescent="0.25">
      <c r="A511" s="839">
        <v>101</v>
      </c>
      <c r="B511" s="840">
        <f t="shared" si="53"/>
        <v>0</v>
      </c>
      <c r="C511" s="837">
        <f t="shared" si="54"/>
        <v>0</v>
      </c>
      <c r="D511" s="840">
        <f t="shared" si="55"/>
        <v>0</v>
      </c>
      <c r="E511" s="837">
        <f t="shared" si="56"/>
        <v>0</v>
      </c>
      <c r="F511" s="841">
        <f t="shared" si="57"/>
        <v>0</v>
      </c>
      <c r="G511" s="837">
        <f t="shared" si="58"/>
        <v>0</v>
      </c>
      <c r="H511" s="840">
        <f t="shared" si="59"/>
        <v>0</v>
      </c>
      <c r="I511" s="842">
        <f t="shared" si="60"/>
        <v>0</v>
      </c>
      <c r="L511" s="39"/>
    </row>
    <row r="512" spans="1:12" x14ac:dyDescent="0.25">
      <c r="A512" s="839">
        <v>102</v>
      </c>
      <c r="B512" s="840">
        <f t="shared" si="53"/>
        <v>0</v>
      </c>
      <c r="C512" s="837">
        <f t="shared" si="54"/>
        <v>0</v>
      </c>
      <c r="D512" s="840">
        <f t="shared" si="55"/>
        <v>0</v>
      </c>
      <c r="E512" s="837">
        <f t="shared" si="56"/>
        <v>0</v>
      </c>
      <c r="F512" s="841">
        <f t="shared" si="57"/>
        <v>0</v>
      </c>
      <c r="G512" s="837">
        <f t="shared" si="58"/>
        <v>0</v>
      </c>
      <c r="H512" s="840">
        <f t="shared" si="59"/>
        <v>0</v>
      </c>
      <c r="I512" s="842">
        <f t="shared" si="60"/>
        <v>0</v>
      </c>
      <c r="L512" s="39"/>
    </row>
    <row r="513" spans="1:13" ht="15.75" thickBot="1" x14ac:dyDescent="0.3">
      <c r="A513" s="1883">
        <v>103</v>
      </c>
      <c r="B513" s="1884">
        <f t="shared" si="53"/>
        <v>0</v>
      </c>
      <c r="C513" s="1885">
        <f t="shared" si="54"/>
        <v>0</v>
      </c>
      <c r="D513" s="1884">
        <f t="shared" si="55"/>
        <v>0</v>
      </c>
      <c r="E513" s="1885">
        <f t="shared" si="56"/>
        <v>0</v>
      </c>
      <c r="F513" s="1886">
        <f t="shared" si="57"/>
        <v>0</v>
      </c>
      <c r="G513" s="1885">
        <f t="shared" si="58"/>
        <v>0</v>
      </c>
      <c r="H513" s="1884">
        <f t="shared" si="59"/>
        <v>0</v>
      </c>
      <c r="I513" s="1887">
        <f t="shared" si="60"/>
        <v>0</v>
      </c>
      <c r="J513" s="2073"/>
      <c r="K513" s="1314"/>
      <c r="L513" s="43"/>
    </row>
    <row r="514" spans="1:13" ht="15.75" thickTop="1" x14ac:dyDescent="0.25">
      <c r="A514" s="851"/>
      <c r="B514" s="840"/>
      <c r="C514" s="2193" t="s">
        <v>332</v>
      </c>
      <c r="D514" s="1882"/>
      <c r="E514" s="2195" t="s">
        <v>332</v>
      </c>
      <c r="F514" s="1882"/>
      <c r="G514" s="2194" t="s">
        <v>333</v>
      </c>
      <c r="I514" s="2197" t="s">
        <v>333</v>
      </c>
      <c r="J514" s="6"/>
      <c r="K514" s="6"/>
      <c r="L514" s="6"/>
    </row>
    <row r="515" spans="1:13" ht="15.75" thickBot="1" x14ac:dyDescent="0.3">
      <c r="A515" s="851"/>
      <c r="B515" s="840"/>
      <c r="C515" s="2192">
        <f>SUM(C411:C513)</f>
        <v>3400</v>
      </c>
      <c r="D515" s="1218"/>
      <c r="E515" s="2196">
        <f>SUM(E411:E513)</f>
        <v>295325.03153220087</v>
      </c>
      <c r="F515" s="1218"/>
      <c r="G515" s="2192">
        <f>SUM(G411:G513)</f>
        <v>4040.4</v>
      </c>
      <c r="H515" s="1218"/>
      <c r="I515" s="2196">
        <f>SUM(I411:I513)</f>
        <v>227172.81936308776</v>
      </c>
      <c r="J515" s="6"/>
      <c r="K515" s="6"/>
      <c r="L515" s="6"/>
    </row>
    <row r="516" spans="1:13" ht="15.75" thickTop="1" x14ac:dyDescent="0.25"/>
    <row r="517" spans="1:13" ht="15.75" thickBot="1" x14ac:dyDescent="0.3"/>
    <row r="518" spans="1:13" ht="19.5" thickTop="1" x14ac:dyDescent="0.3">
      <c r="A518" s="265" t="s">
        <v>1836</v>
      </c>
      <c r="B518" s="260"/>
      <c r="C518" s="201"/>
      <c r="D518" s="201"/>
      <c r="E518" s="201"/>
      <c r="F518" s="201"/>
      <c r="G518" s="201"/>
      <c r="H518" s="261"/>
      <c r="I518" s="261"/>
      <c r="J518" s="201"/>
      <c r="K518" s="201"/>
      <c r="L518" s="201"/>
      <c r="M518" s="845"/>
    </row>
    <row r="519" spans="1:13" x14ac:dyDescent="0.25">
      <c r="A519" s="91" t="s">
        <v>718</v>
      </c>
      <c r="B519" s="15"/>
      <c r="C519" s="71"/>
      <c r="D519" s="15"/>
      <c r="E519" s="70"/>
      <c r="F519" s="71"/>
      <c r="G519" s="71"/>
      <c r="H519" s="72"/>
      <c r="I519" s="72"/>
      <c r="J519" s="71"/>
      <c r="K519" s="71"/>
      <c r="L519" s="71"/>
      <c r="M519" s="845"/>
    </row>
    <row r="520" spans="1:13" x14ac:dyDescent="0.25">
      <c r="A520" s="91" t="s">
        <v>115</v>
      </c>
      <c r="B520" s="15"/>
      <c r="C520" s="71"/>
      <c r="D520" s="15"/>
      <c r="E520" s="70"/>
      <c r="F520" s="71"/>
      <c r="G520" s="71"/>
      <c r="H520" s="72"/>
      <c r="I520" s="72"/>
      <c r="J520" s="71"/>
      <c r="K520" s="71"/>
      <c r="L520" s="71"/>
      <c r="M520" s="845"/>
    </row>
    <row r="521" spans="1:13" x14ac:dyDescent="0.25">
      <c r="A521" s="91" t="s">
        <v>116</v>
      </c>
      <c r="B521" s="15"/>
      <c r="C521" s="71"/>
      <c r="D521" s="15"/>
      <c r="E521" s="70"/>
      <c r="F521" s="71"/>
      <c r="G521" s="71"/>
      <c r="H521" s="72"/>
      <c r="I521" s="72"/>
      <c r="J521" s="71"/>
      <c r="K521" s="71"/>
      <c r="L521" s="71"/>
      <c r="M521" s="845"/>
    </row>
    <row r="522" spans="1:13" x14ac:dyDescent="0.25">
      <c r="A522" s="1351" t="s">
        <v>1828</v>
      </c>
      <c r="B522" s="15"/>
      <c r="C522" s="71"/>
      <c r="D522" s="15"/>
      <c r="E522" s="70"/>
      <c r="F522" s="71"/>
      <c r="G522" s="71"/>
      <c r="H522" s="72"/>
      <c r="I522" s="72"/>
      <c r="J522" s="71"/>
      <c r="K522" s="71"/>
      <c r="L522" s="71"/>
      <c r="M522" s="845"/>
    </row>
    <row r="523" spans="1:13" x14ac:dyDescent="0.25">
      <c r="A523" s="1351" t="s">
        <v>1829</v>
      </c>
      <c r="B523" s="15"/>
      <c r="C523" s="71"/>
      <c r="D523" s="15"/>
      <c r="E523" s="70"/>
      <c r="F523" s="71"/>
      <c r="G523" s="71"/>
      <c r="H523" s="72"/>
      <c r="I523" s="72"/>
      <c r="J523" s="71"/>
      <c r="K523" s="71"/>
      <c r="L523" s="71"/>
      <c r="M523" s="2208"/>
    </row>
    <row r="524" spans="1:13" x14ac:dyDescent="0.25">
      <c r="A524" s="1351" t="s">
        <v>2479</v>
      </c>
      <c r="B524" s="15"/>
      <c r="C524" s="71"/>
      <c r="D524" s="15"/>
      <c r="E524" s="70"/>
      <c r="F524" s="71"/>
      <c r="G524" s="71"/>
      <c r="H524" s="72"/>
      <c r="I524" s="72"/>
      <c r="J524" s="71"/>
      <c r="K524" s="71"/>
      <c r="L524" s="71"/>
      <c r="M524" s="2208"/>
    </row>
    <row r="525" spans="1:13" x14ac:dyDescent="0.25">
      <c r="A525" s="1351"/>
      <c r="B525" s="15"/>
      <c r="C525" s="71"/>
      <c r="D525" s="15"/>
      <c r="E525" s="70"/>
      <c r="F525" s="71"/>
      <c r="G525" s="71"/>
      <c r="H525" s="72"/>
      <c r="I525" s="72"/>
      <c r="J525" s="71"/>
      <c r="K525" s="71"/>
      <c r="L525" s="71"/>
      <c r="M525" s="2208"/>
    </row>
    <row r="526" spans="1:13" x14ac:dyDescent="0.25">
      <c r="A526" s="1416" t="s">
        <v>2806</v>
      </c>
      <c r="B526" s="15"/>
      <c r="C526" s="75"/>
      <c r="D526" s="62"/>
      <c r="E526" s="74"/>
      <c r="F526" s="75"/>
      <c r="G526" s="75"/>
      <c r="H526" s="905"/>
      <c r="I526" s="905"/>
      <c r="J526" s="75"/>
      <c r="K526" s="75"/>
      <c r="L526" s="71"/>
      <c r="M526" s="845"/>
    </row>
    <row r="527" spans="1:13" x14ac:dyDescent="0.25">
      <c r="A527" s="1296"/>
      <c r="B527" s="15"/>
      <c r="C527" s="75"/>
      <c r="D527" s="62"/>
      <c r="E527" s="74"/>
      <c r="F527" s="75"/>
      <c r="G527" s="75"/>
      <c r="H527" s="905"/>
      <c r="I527" s="905"/>
      <c r="J527" s="75"/>
      <c r="K527" s="75"/>
      <c r="L527" s="71"/>
      <c r="M527" s="2208"/>
    </row>
    <row r="528" spans="1:13" x14ac:dyDescent="0.25">
      <c r="A528" s="15"/>
      <c r="B528" s="1026" t="s">
        <v>1819</v>
      </c>
      <c r="D528" s="15"/>
      <c r="E528" s="70"/>
      <c r="F528" s="71"/>
      <c r="G528" s="71"/>
      <c r="H528" s="72"/>
      <c r="I528" s="905"/>
      <c r="J528" s="75"/>
      <c r="K528" s="71"/>
      <c r="L528" s="71"/>
      <c r="M528" s="845"/>
    </row>
    <row r="529" spans="1:13" x14ac:dyDescent="0.25">
      <c r="A529" s="93"/>
      <c r="B529" s="1026" t="s">
        <v>1820</v>
      </c>
      <c r="D529" s="15"/>
      <c r="E529" s="71"/>
      <c r="F529" s="71"/>
      <c r="G529" s="71"/>
      <c r="H529" s="72"/>
      <c r="I529" s="72"/>
      <c r="J529" s="71"/>
      <c r="K529" s="71"/>
      <c r="L529" s="71"/>
      <c r="M529" s="845"/>
    </row>
    <row r="530" spans="1:13" x14ac:dyDescent="0.25">
      <c r="A530" s="93"/>
      <c r="B530" s="70"/>
      <c r="C530" s="989" t="str">
        <f>IF(C569&lt;0,"PROBLEM! You are taking too much money out of S1's Savings Account. Take less in SavingsData worksheet",".")</f>
        <v>.</v>
      </c>
      <c r="D530" s="550"/>
      <c r="F530" s="550"/>
      <c r="G530" s="550"/>
      <c r="H530" s="1239"/>
      <c r="I530" s="1240"/>
      <c r="J530" s="1241"/>
      <c r="K530" s="71"/>
      <c r="L530" s="71"/>
      <c r="M530" s="845"/>
    </row>
    <row r="531" spans="1:13" ht="15.75" thickBot="1" x14ac:dyDescent="0.3">
      <c r="A531" s="93"/>
      <c r="B531" s="70"/>
      <c r="C531" s="989" t="str">
        <f>IF(D569&lt;0,"PROBLEM! You are taking too much money out of S2's Savings Account. Take less in SavingsData worksheet",".")</f>
        <v>.</v>
      </c>
      <c r="D531" s="15"/>
      <c r="E531" s="71"/>
      <c r="F531" s="71"/>
      <c r="G531" s="71"/>
      <c r="H531" s="72"/>
      <c r="I531" s="72"/>
      <c r="J531" s="71"/>
      <c r="K531" s="71"/>
      <c r="L531" s="71"/>
      <c r="M531" s="845"/>
    </row>
    <row r="532" spans="1:13" ht="50.25" thickTop="1" thickBot="1" x14ac:dyDescent="0.3">
      <c r="A532" s="325" t="s">
        <v>142</v>
      </c>
      <c r="B532" s="326" t="s">
        <v>143</v>
      </c>
      <c r="C532" s="431" t="s">
        <v>677</v>
      </c>
      <c r="D532" s="431" t="s">
        <v>678</v>
      </c>
      <c r="E532" s="238" t="s">
        <v>679</v>
      </c>
      <c r="F532" s="432" t="s">
        <v>174</v>
      </c>
      <c r="G532" s="432" t="s">
        <v>176</v>
      </c>
      <c r="H532" s="432" t="s">
        <v>175</v>
      </c>
      <c r="I532" s="238" t="s">
        <v>156</v>
      </c>
      <c r="J532" s="238" t="s">
        <v>157</v>
      </c>
      <c r="K532" s="832" t="s">
        <v>2902</v>
      </c>
      <c r="L532" s="833" t="s">
        <v>2903</v>
      </c>
      <c r="M532" s="846"/>
    </row>
    <row r="533" spans="1:13" ht="15.75" thickTop="1" x14ac:dyDescent="0.25">
      <c r="A533" s="848">
        <f>'1. AgeData'!$D$30</f>
        <v>60</v>
      </c>
      <c r="B533" s="849">
        <f>'1. AgeData'!$D$31</f>
        <v>55</v>
      </c>
      <c r="C533" s="854">
        <f>(J364+$F$59)*IF(OR(A533&lt;='1. AgeData'!$I$30,'S. Setup'!J$84="keep"),1,0)</f>
        <v>110000</v>
      </c>
      <c r="D533" s="855">
        <f>(K364+$F$60)*IF(OR(B533&lt;='1. AgeData'!$I$31,'S. Setup'!J$84="keep"), 1,0)</f>
        <v>80000</v>
      </c>
      <c r="E533" s="992">
        <f>IF(C533&lt;=0,0,C533*$H$112)</f>
        <v>550</v>
      </c>
      <c r="F533" s="1970">
        <f>IF(D533&lt;=0,0,D533*$H$113)</f>
        <v>400</v>
      </c>
      <c r="G533" s="1970">
        <f>IF(C533&lt;=0,0,C533*$H$108)</f>
        <v>1100</v>
      </c>
      <c r="H533" s="1970">
        <f>IF(D533&lt;=0,0,D533*$H$109)</f>
        <v>1600</v>
      </c>
      <c r="I533" s="1970">
        <f>IF(C533&lt;=0,0,C533*$H$116)</f>
        <v>715</v>
      </c>
      <c r="J533" s="1432">
        <f>IF(D533&lt;=0,0,D533*$H$117)</f>
        <v>200</v>
      </c>
      <c r="K533" s="854">
        <f t="shared" ref="K533" si="61">E533+G533+H533</f>
        <v>3250</v>
      </c>
      <c r="L533" s="856">
        <f t="shared" ref="L533" si="62">F533+H533+I533</f>
        <v>2715</v>
      </c>
      <c r="M533" s="847"/>
    </row>
    <row r="534" spans="1:13" x14ac:dyDescent="0.25">
      <c r="A534" s="850">
        <f>A533+1</f>
        <v>61</v>
      </c>
      <c r="B534" s="874">
        <f>B533+1</f>
        <v>56</v>
      </c>
      <c r="C534" s="993">
        <f>(C533+E533+G533+I533+G364+J364+'11. CashData'!M52)*IF(OR(A534&lt;='1. AgeData'!$I$30,'S. Setup'!J$84="keep"), 1,0)</f>
        <v>114380.25</v>
      </c>
      <c r="D534" s="996">
        <f>(D533+F533+H533+J533+K364+H364+'11. CashData'!N52)*IF(OR(B534&lt;='1. AgeData'!$I$31,'S. Setup'!J$84="keep"), 1,0)</f>
        <v>83215.25</v>
      </c>
      <c r="E534" s="993">
        <f t="shared" ref="E534:E569" si="63">IF(C534&lt;=0,0,C534*$H$112)</f>
        <v>571.90125</v>
      </c>
      <c r="F534" s="924">
        <f t="shared" ref="F534:F569" si="64">IF(D534&lt;=0,0,D534*$H$113)</f>
        <v>416.07625000000002</v>
      </c>
      <c r="G534" s="924">
        <f t="shared" ref="G534:G569" si="65">IF(C534&lt;=0,0,C534*$H$108)</f>
        <v>1143.8025</v>
      </c>
      <c r="H534" s="924">
        <f t="shared" ref="H534:H569" si="66">IF(D534&lt;=0,0,D534*$H$109)</f>
        <v>1664.3050000000001</v>
      </c>
      <c r="I534" s="924">
        <f t="shared" ref="I534:I569" si="67">IF(C534&lt;=0,0,C534*$H$116)</f>
        <v>743.47162500000002</v>
      </c>
      <c r="J534" s="858">
        <f t="shared" ref="J534:J569" si="68">IF(D534&lt;=0,0,D534*$H$117)</f>
        <v>208.03812500000001</v>
      </c>
      <c r="K534" s="857">
        <f t="shared" ref="K534:K569" si="69">E534+G534+H534</f>
        <v>3380.00875</v>
      </c>
      <c r="L534" s="994">
        <f t="shared" ref="L534:L569" si="70">F534+H534+I534</f>
        <v>2823.852875</v>
      </c>
      <c r="M534" s="847"/>
    </row>
    <row r="535" spans="1:13" x14ac:dyDescent="0.25">
      <c r="A535" s="850">
        <f t="shared" ref="A535:A569" si="71">A534+1</f>
        <v>62</v>
      </c>
      <c r="B535" s="874">
        <f t="shared" ref="B535:B569" si="72">B534+1</f>
        <v>57</v>
      </c>
      <c r="C535" s="993">
        <f>(C534+E534+G534+I534+G365+J365+'11. CashData'!M53)*IF(OR(A535&lt;='1. AgeData'!$I$30,'S. Setup'!J$84="keep"), 1,0)</f>
        <v>118099.66731617646</v>
      </c>
      <c r="D535" s="996">
        <f>(D534+F534+H534+J534+K365+H365+'11. CashData'!N53)*IF(OR(B535&lt;='1. AgeData'!$I$31,'S. Setup'!J$84="keep"), 1,0)</f>
        <v>85753.911316176469</v>
      </c>
      <c r="E535" s="993">
        <f t="shared" si="63"/>
        <v>590.49833658088232</v>
      </c>
      <c r="F535" s="924">
        <f t="shared" si="64"/>
        <v>428.76955658088235</v>
      </c>
      <c r="G535" s="924">
        <f t="shared" si="65"/>
        <v>1180.9966731617646</v>
      </c>
      <c r="H535" s="924">
        <f t="shared" si="66"/>
        <v>1715.0782263235294</v>
      </c>
      <c r="I535" s="924">
        <f t="shared" si="67"/>
        <v>767.64783755514702</v>
      </c>
      <c r="J535" s="858">
        <f t="shared" si="68"/>
        <v>214.38477829044118</v>
      </c>
      <c r="K535" s="857">
        <f t="shared" si="69"/>
        <v>3486.5732360661764</v>
      </c>
      <c r="L535" s="994">
        <f t="shared" si="70"/>
        <v>2911.4956204595587</v>
      </c>
      <c r="M535" s="847"/>
    </row>
    <row r="536" spans="1:13" x14ac:dyDescent="0.25">
      <c r="A536" s="850">
        <f t="shared" si="71"/>
        <v>63</v>
      </c>
      <c r="B536" s="874">
        <f t="shared" si="72"/>
        <v>58</v>
      </c>
      <c r="C536" s="993">
        <f>(C535+E535+G535+I535+G366+J366+'11. CashData'!M54)*IF(OR(A536&lt;='1. AgeData'!$I$30,'S. Setup'!J$84="keep"), 1,0)</f>
        <v>120715.60383069771</v>
      </c>
      <c r="D536" s="996">
        <f>(D535+F535+H535+J535+K366+H366+'11. CashData'!N54)*IF(OR(B536&lt;='1. AgeData'!$I$31,'S. Setup'!J$84="keep"), 1,0)</f>
        <v>87168.83754459476</v>
      </c>
      <c r="E536" s="993">
        <f t="shared" si="63"/>
        <v>603.57801915348853</v>
      </c>
      <c r="F536" s="924">
        <f t="shared" si="64"/>
        <v>435.8441877229738</v>
      </c>
      <c r="G536" s="924">
        <f t="shared" si="65"/>
        <v>1207.1560383069771</v>
      </c>
      <c r="H536" s="924">
        <f t="shared" si="66"/>
        <v>1743.3767508918952</v>
      </c>
      <c r="I536" s="924">
        <f t="shared" si="67"/>
        <v>784.65142489953507</v>
      </c>
      <c r="J536" s="858">
        <f t="shared" si="68"/>
        <v>217.9220938614869</v>
      </c>
      <c r="K536" s="857">
        <f t="shared" si="69"/>
        <v>3554.1108083523604</v>
      </c>
      <c r="L536" s="994">
        <f t="shared" si="70"/>
        <v>2963.8723635144038</v>
      </c>
      <c r="M536" s="847"/>
    </row>
    <row r="537" spans="1:13" x14ac:dyDescent="0.25">
      <c r="A537" s="850">
        <f t="shared" si="71"/>
        <v>64</v>
      </c>
      <c r="B537" s="874">
        <f t="shared" si="72"/>
        <v>59</v>
      </c>
      <c r="C537" s="993">
        <f>(C536+E536+G536+I536+G367+J367+'11. CashData'!M55)*IF(OR(A537&lt;='1. AgeData'!$I$30,'S. Setup'!J$84="keep"), 1,0)</f>
        <v>110082.19358668009</v>
      </c>
      <c r="D537" s="996">
        <f>(D536+F536+H536+J536+K367+H367+'11. CashData'!N55)*IF(OR(B537&lt;='1. AgeData'!$I$31,'S. Setup'!J$84="keep"), 1,0)</f>
        <v>76506.883850693499</v>
      </c>
      <c r="E537" s="993">
        <f t="shared" si="63"/>
        <v>550.41096793340046</v>
      </c>
      <c r="F537" s="924">
        <f t="shared" si="64"/>
        <v>382.53441925346749</v>
      </c>
      <c r="G537" s="924">
        <f t="shared" si="65"/>
        <v>1100.8219358668009</v>
      </c>
      <c r="H537" s="924">
        <f t="shared" si="66"/>
        <v>1530.13767701387</v>
      </c>
      <c r="I537" s="924">
        <f t="shared" si="67"/>
        <v>715.53425831342054</v>
      </c>
      <c r="J537" s="858">
        <f t="shared" si="68"/>
        <v>191.26720962673375</v>
      </c>
      <c r="K537" s="857">
        <f t="shared" si="69"/>
        <v>3181.3705808140712</v>
      </c>
      <c r="L537" s="994">
        <f t="shared" si="70"/>
        <v>2628.2063545807582</v>
      </c>
      <c r="M537" s="847"/>
    </row>
    <row r="538" spans="1:13" x14ac:dyDescent="0.25">
      <c r="A538" s="850">
        <f t="shared" si="71"/>
        <v>65</v>
      </c>
      <c r="B538" s="874">
        <f t="shared" si="72"/>
        <v>60</v>
      </c>
      <c r="C538" s="993">
        <f>(C537+E537+G537+I537+G368+J368+'11. CashData'!M56)*IF(OR(A538&lt;='1. AgeData'!$I$30,'S. Setup'!J$84="keep"), 1,0)</f>
        <v>99482.42286685959</v>
      </c>
      <c r="D538" s="996">
        <f>(D537+F537+H537+J537+K368+H368+'11. CashData'!N56)*IF(OR(B538&lt;='1. AgeData'!$I$31,'S. Setup'!J$84="keep"), 1,0)</f>
        <v>66844.285274653463</v>
      </c>
      <c r="E538" s="993">
        <f t="shared" si="63"/>
        <v>497.41211433429794</v>
      </c>
      <c r="F538" s="924">
        <f t="shared" si="64"/>
        <v>334.22142637326732</v>
      </c>
      <c r="G538" s="924">
        <f t="shared" si="65"/>
        <v>994.82422866859588</v>
      </c>
      <c r="H538" s="924">
        <f t="shared" si="66"/>
        <v>1336.8857054930693</v>
      </c>
      <c r="I538" s="924">
        <f t="shared" si="67"/>
        <v>646.63574863458734</v>
      </c>
      <c r="J538" s="858">
        <f t="shared" si="68"/>
        <v>167.11071318663366</v>
      </c>
      <c r="K538" s="857">
        <f t="shared" si="69"/>
        <v>2829.1220484959631</v>
      </c>
      <c r="L538" s="994">
        <f t="shared" si="70"/>
        <v>2317.742880500924</v>
      </c>
      <c r="M538" s="847"/>
    </row>
    <row r="539" spans="1:13" x14ac:dyDescent="0.25">
      <c r="A539" s="850">
        <f t="shared" si="71"/>
        <v>66</v>
      </c>
      <c r="B539" s="851">
        <f t="shared" si="72"/>
        <v>61</v>
      </c>
      <c r="C539" s="993">
        <f>(C538+E538+G538+I538+G369+J369+'11. CashData'!M57)*IF(OR(A539&lt;='1. AgeData'!$I$30,'S. Setup'!J$84="keep"), 1,0)</f>
        <v>92900.494561736996</v>
      </c>
      <c r="D539" s="996">
        <f>(D538+F538+H538+J538+K369+H369+'11. CashData'!N57)*IF(OR(B539&lt;='1. AgeData'!$I$31,'S. Setup'!J$84="keep"), 1,0)</f>
        <v>60493.259870199829</v>
      </c>
      <c r="E539" s="993">
        <f t="shared" si="63"/>
        <v>464.50247280868501</v>
      </c>
      <c r="F539" s="924">
        <f t="shared" si="64"/>
        <v>302.46629935099912</v>
      </c>
      <c r="G539" s="924">
        <f t="shared" si="65"/>
        <v>929.00494561737003</v>
      </c>
      <c r="H539" s="924">
        <f t="shared" si="66"/>
        <v>1209.8651974039965</v>
      </c>
      <c r="I539" s="924">
        <f t="shared" si="67"/>
        <v>603.8532146512905</v>
      </c>
      <c r="J539" s="858">
        <f t="shared" si="68"/>
        <v>151.23314967549956</v>
      </c>
      <c r="K539" s="857">
        <f t="shared" si="69"/>
        <v>2603.3726158300515</v>
      </c>
      <c r="L539" s="994">
        <f t="shared" si="70"/>
        <v>2116.1847114062862</v>
      </c>
      <c r="M539" s="847"/>
    </row>
    <row r="540" spans="1:13" x14ac:dyDescent="0.25">
      <c r="A540" s="873">
        <f t="shared" si="71"/>
        <v>67</v>
      </c>
      <c r="B540" s="874">
        <f t="shared" si="72"/>
        <v>62</v>
      </c>
      <c r="C540" s="993">
        <f>(C539+E539+G539+I539+G370+J370+'11. CashData'!M58)*IF(OR(A540&lt;='1. AgeData'!$I$30,'S. Setup'!J$84="keep"), 1,0)</f>
        <v>127827.51420785117</v>
      </c>
      <c r="D540" s="996">
        <f>(D539+F539+H539+J539+K370+H370+'11. CashData'!N58)*IF(OR(B540&lt;='1. AgeData'!$I$31,'S. Setup'!J$84="keep"), 1,0)</f>
        <v>67939.833085934879</v>
      </c>
      <c r="E540" s="993">
        <f t="shared" si="63"/>
        <v>639.13757103925582</v>
      </c>
      <c r="F540" s="924">
        <f t="shared" si="64"/>
        <v>339.69916542967439</v>
      </c>
      <c r="G540" s="924">
        <f t="shared" si="65"/>
        <v>1278.2751420785116</v>
      </c>
      <c r="H540" s="924">
        <f t="shared" si="66"/>
        <v>1358.7966617186976</v>
      </c>
      <c r="I540" s="924">
        <f t="shared" si="67"/>
        <v>830.87884235103252</v>
      </c>
      <c r="J540" s="858">
        <f t="shared" si="68"/>
        <v>169.8495827148372</v>
      </c>
      <c r="K540" s="857">
        <f t="shared" si="69"/>
        <v>3276.209374836465</v>
      </c>
      <c r="L540" s="994">
        <f t="shared" si="70"/>
        <v>2529.3746694994043</v>
      </c>
      <c r="M540" s="847"/>
    </row>
    <row r="541" spans="1:13" x14ac:dyDescent="0.25">
      <c r="A541" s="850">
        <f t="shared" si="71"/>
        <v>68</v>
      </c>
      <c r="B541" s="851">
        <f t="shared" si="72"/>
        <v>63</v>
      </c>
      <c r="C541" s="993">
        <f>(C540+E540+G540+I540+G371+J371+'11. CashData'!M59)*IF(OR(A541&lt;='1. AgeData'!$I$30,'S. Setup'!J$84="keep"), 1,0)</f>
        <v>166245.36363174769</v>
      </c>
      <c r="D541" s="996">
        <f>(D540+F540+H540+J540+K371+H371+'11. CashData'!N59)*IF(OR(B541&lt;='1. AgeData'!$I$31,'S. Setup'!J$84="keep"), 1,0)</f>
        <v>73095.596978717731</v>
      </c>
      <c r="E541" s="993">
        <f t="shared" si="63"/>
        <v>831.22681815873852</v>
      </c>
      <c r="F541" s="924">
        <f t="shared" si="64"/>
        <v>365.47798489358865</v>
      </c>
      <c r="G541" s="924">
        <f t="shared" si="65"/>
        <v>1662.453636317477</v>
      </c>
      <c r="H541" s="924">
        <f t="shared" si="66"/>
        <v>1461.9119395743546</v>
      </c>
      <c r="I541" s="924">
        <f t="shared" si="67"/>
        <v>1080.5948636063599</v>
      </c>
      <c r="J541" s="858">
        <f t="shared" si="68"/>
        <v>182.73899244679433</v>
      </c>
      <c r="K541" s="857">
        <f t="shared" si="69"/>
        <v>3955.59239405057</v>
      </c>
      <c r="L541" s="994">
        <f t="shared" si="70"/>
        <v>2907.9847880743032</v>
      </c>
      <c r="M541" s="847"/>
    </row>
    <row r="542" spans="1:13" x14ac:dyDescent="0.25">
      <c r="A542" s="850">
        <f t="shared" si="71"/>
        <v>69</v>
      </c>
      <c r="B542" s="851">
        <f t="shared" si="72"/>
        <v>64</v>
      </c>
      <c r="C542" s="993">
        <f>(C541+E541+G541+I541+G372+J372+'11. CashData'!M60)*IF(OR(A542&lt;='1. AgeData'!$I$30,'S. Setup'!J$84="keep"), 1,0)</f>
        <v>185044.84077425019</v>
      </c>
      <c r="D542" s="996">
        <f>(D541+F541+H541+J541+K372+H372+'11. CashData'!N60)*IF(OR(B542&lt;='1. AgeData'!$I$31,'S. Setup'!J$84="keep"), 1,0)</f>
        <v>92462.425386582705</v>
      </c>
      <c r="E542" s="993">
        <f t="shared" si="63"/>
        <v>925.22420387125101</v>
      </c>
      <c r="F542" s="924">
        <f t="shared" si="64"/>
        <v>462.31212693291354</v>
      </c>
      <c r="G542" s="924">
        <f t="shared" si="65"/>
        <v>1850.448407742502</v>
      </c>
      <c r="H542" s="924">
        <f t="shared" si="66"/>
        <v>1849.2485077316542</v>
      </c>
      <c r="I542" s="924">
        <f t="shared" si="67"/>
        <v>1202.7914650326261</v>
      </c>
      <c r="J542" s="858">
        <f t="shared" si="68"/>
        <v>231.15606346645677</v>
      </c>
      <c r="K542" s="857">
        <f t="shared" si="69"/>
        <v>4624.9211193454066</v>
      </c>
      <c r="L542" s="994">
        <f t="shared" si="70"/>
        <v>3514.3520996971938</v>
      </c>
      <c r="M542" s="847"/>
    </row>
    <row r="543" spans="1:13" x14ac:dyDescent="0.25">
      <c r="A543" s="850">
        <f t="shared" si="71"/>
        <v>70</v>
      </c>
      <c r="B543" s="851">
        <f t="shared" si="72"/>
        <v>65</v>
      </c>
      <c r="C543" s="993">
        <f>(C542+E542+G542+I542+G373+J373+'11. CashData'!M61)*IF(OR(A543&lt;='1. AgeData'!$I$30,'S. Setup'!J$84="keep"), 1,0)</f>
        <v>225980.81113839117</v>
      </c>
      <c r="D543" s="996">
        <f>(D542+F542+H542+J542+K373+H373+'11. CashData'!N61)*IF(OR(B543&lt;='1. AgeData'!$I$31,'S. Setup'!J$84="keep"), 1,0)</f>
        <v>100853.32669059877</v>
      </c>
      <c r="E543" s="993">
        <f t="shared" si="63"/>
        <v>1129.9040556919558</v>
      </c>
      <c r="F543" s="924">
        <f t="shared" si="64"/>
        <v>504.26663345299386</v>
      </c>
      <c r="G543" s="924">
        <f t="shared" si="65"/>
        <v>2259.8081113839116</v>
      </c>
      <c r="H543" s="924">
        <f t="shared" si="66"/>
        <v>2017.0665338119754</v>
      </c>
      <c r="I543" s="924">
        <f t="shared" si="67"/>
        <v>1468.8752723995426</v>
      </c>
      <c r="J543" s="858">
        <f t="shared" si="68"/>
        <v>252.13331672649693</v>
      </c>
      <c r="K543" s="857">
        <f t="shared" si="69"/>
        <v>5406.7787008878431</v>
      </c>
      <c r="L543" s="994">
        <f t="shared" si="70"/>
        <v>3990.2084396645118</v>
      </c>
      <c r="M543" s="847"/>
    </row>
    <row r="544" spans="1:13" x14ac:dyDescent="0.25">
      <c r="A544" s="850">
        <f t="shared" si="71"/>
        <v>71</v>
      </c>
      <c r="B544" s="851">
        <f t="shared" si="72"/>
        <v>66</v>
      </c>
      <c r="C544" s="993">
        <f>(C543+E543+G543+I543+G374+J374+'11. CashData'!M62)*IF(OR(A544&lt;='1. AgeData'!$I$30,'S. Setup'!J$84="keep"), 1,0)</f>
        <v>283857.91106699558</v>
      </c>
      <c r="D544" s="996">
        <f>(D543+F543+H543+J543+K374+H374+'11. CashData'!N62)*IF(OR(B544&lt;='1. AgeData'!$I$31,'S. Setup'!J$84="keep"), 1,0)</f>
        <v>110203.00527827753</v>
      </c>
      <c r="E544" s="993">
        <f t="shared" si="63"/>
        <v>1419.2895553349779</v>
      </c>
      <c r="F544" s="924">
        <f t="shared" si="64"/>
        <v>551.01502639138766</v>
      </c>
      <c r="G544" s="924">
        <f t="shared" si="65"/>
        <v>2838.5791106699558</v>
      </c>
      <c r="H544" s="924">
        <f t="shared" si="66"/>
        <v>2204.0601055655507</v>
      </c>
      <c r="I544" s="924">
        <f t="shared" si="67"/>
        <v>1845.0764219354712</v>
      </c>
      <c r="J544" s="858">
        <f t="shared" si="68"/>
        <v>275.50751319569383</v>
      </c>
      <c r="K544" s="857">
        <f t="shared" si="69"/>
        <v>6461.9287715704841</v>
      </c>
      <c r="L544" s="994">
        <f t="shared" si="70"/>
        <v>4600.1515538924095</v>
      </c>
      <c r="M544" s="847"/>
    </row>
    <row r="545" spans="1:13" x14ac:dyDescent="0.25">
      <c r="A545" s="850">
        <f t="shared" si="71"/>
        <v>72</v>
      </c>
      <c r="B545" s="851">
        <f t="shared" si="72"/>
        <v>67</v>
      </c>
      <c r="C545" s="993">
        <f>(C544+E544+G544+I544+G375+J375+'11. CashData'!M63)*IF(OR(A545&lt;='1. AgeData'!$I$30,'S. Setup'!J$84="keep"), 1,0)</f>
        <v>348302.67272611987</v>
      </c>
      <c r="D545" s="996">
        <f>(D544+F544+H544+J544+K375+H375+'11. CashData'!N63)*IF(OR(B545&lt;='1. AgeData'!$I$31,'S. Setup'!J$84="keep"), 1,0)</f>
        <v>128647.62530081026</v>
      </c>
      <c r="E545" s="993">
        <f t="shared" si="63"/>
        <v>1741.5133636305993</v>
      </c>
      <c r="F545" s="924">
        <f t="shared" si="64"/>
        <v>643.23812650405137</v>
      </c>
      <c r="G545" s="924">
        <f t="shared" si="65"/>
        <v>3483.0267272611986</v>
      </c>
      <c r="H545" s="924">
        <f t="shared" si="66"/>
        <v>2572.9525060162055</v>
      </c>
      <c r="I545" s="924">
        <f t="shared" si="67"/>
        <v>2263.9673727197792</v>
      </c>
      <c r="J545" s="858">
        <f t="shared" si="68"/>
        <v>321.61906325202568</v>
      </c>
      <c r="K545" s="857">
        <f t="shared" si="69"/>
        <v>7797.4925969080032</v>
      </c>
      <c r="L545" s="994">
        <f t="shared" si="70"/>
        <v>5480.1580052400359</v>
      </c>
      <c r="M545" s="847"/>
    </row>
    <row r="546" spans="1:13" x14ac:dyDescent="0.25">
      <c r="A546" s="850">
        <f t="shared" si="71"/>
        <v>73</v>
      </c>
      <c r="B546" s="851">
        <f t="shared" si="72"/>
        <v>68</v>
      </c>
      <c r="C546" s="993">
        <f>(C545+E545+G545+I545+G376+J376+'11. CashData'!M64)*IF(OR(A546&lt;='1. AgeData'!$I$30,'S. Setup'!J$84="keep"), 1,0)</f>
        <v>381586.76848759997</v>
      </c>
      <c r="D546" s="996">
        <f>(D545+F545+H545+J545+K376+H376+'11. CashData'!N64)*IF(OR(B546&lt;='1. AgeData'!$I$31,'S. Setup'!J$84="keep"), 1,0)</f>
        <v>161377.57376870414</v>
      </c>
      <c r="E546" s="993">
        <f t="shared" si="63"/>
        <v>1907.9338424379998</v>
      </c>
      <c r="F546" s="924">
        <f t="shared" si="64"/>
        <v>806.88786884352066</v>
      </c>
      <c r="G546" s="924">
        <f t="shared" si="65"/>
        <v>3815.8676848759997</v>
      </c>
      <c r="H546" s="924">
        <f t="shared" si="66"/>
        <v>3227.5514753740827</v>
      </c>
      <c r="I546" s="924">
        <f t="shared" si="67"/>
        <v>2480.3139951693997</v>
      </c>
      <c r="J546" s="858">
        <f t="shared" si="68"/>
        <v>403.44393442176033</v>
      </c>
      <c r="K546" s="857">
        <f t="shared" si="69"/>
        <v>8951.3530026880817</v>
      </c>
      <c r="L546" s="994">
        <f t="shared" si="70"/>
        <v>6514.7533393870035</v>
      </c>
      <c r="M546" s="847"/>
    </row>
    <row r="547" spans="1:13" x14ac:dyDescent="0.25">
      <c r="A547" s="850">
        <f t="shared" si="71"/>
        <v>74</v>
      </c>
      <c r="B547" s="851">
        <f t="shared" si="72"/>
        <v>69</v>
      </c>
      <c r="C547" s="993">
        <f>(C546+E546+G546+I546+G377+J377+'11. CashData'!M65)*IF(OR(A547&lt;='1. AgeData'!$I$30,'S. Setup'!J$84="keep"), 1,0)</f>
        <v>416135.60905112163</v>
      </c>
      <c r="D547" s="996">
        <f>(D546+F546+H546+J546+K377+H377+'11. CashData'!N65)*IF(OR(B547&lt;='1. AgeData'!$I$31,'S. Setup'!J$84="keep"), 1,0)</f>
        <v>195562.27403557071</v>
      </c>
      <c r="E547" s="993">
        <f t="shared" si="63"/>
        <v>2080.6780452556081</v>
      </c>
      <c r="F547" s="924">
        <f t="shared" si="64"/>
        <v>977.81137017785352</v>
      </c>
      <c r="G547" s="924">
        <f t="shared" si="65"/>
        <v>4161.3560905112163</v>
      </c>
      <c r="H547" s="924">
        <f t="shared" si="66"/>
        <v>3911.2454807114141</v>
      </c>
      <c r="I547" s="924">
        <f t="shared" si="67"/>
        <v>2704.8814588322903</v>
      </c>
      <c r="J547" s="858">
        <f t="shared" si="68"/>
        <v>488.90568508892676</v>
      </c>
      <c r="K547" s="857">
        <f t="shared" si="69"/>
        <v>10153.279616478238</v>
      </c>
      <c r="L547" s="994">
        <f t="shared" si="70"/>
        <v>7593.9383097215577</v>
      </c>
      <c r="M547" s="847"/>
    </row>
    <row r="548" spans="1:13" x14ac:dyDescent="0.25">
      <c r="A548" s="850">
        <f t="shared" si="71"/>
        <v>75</v>
      </c>
      <c r="B548" s="851">
        <f t="shared" si="72"/>
        <v>70</v>
      </c>
      <c r="C548" s="993">
        <f>(C547+E547+G547+I547+G378+J378+'11. CashData'!M66)*IF(OR(A548&lt;='1. AgeData'!$I$30,'S. Setup'!J$84="keep"), 1,0)</f>
        <v>451490.97710573924</v>
      </c>
      <c r="D548" s="996">
        <f>(D547+F547+H547+J547+K378+H378+'11. CashData'!N66)*IF(OR(B548&lt;='1. AgeData'!$I$31,'S. Setup'!J$84="keep"), 1,0)</f>
        <v>229554.42238172289</v>
      </c>
      <c r="E548" s="993">
        <f t="shared" si="63"/>
        <v>2257.4548855286962</v>
      </c>
      <c r="F548" s="924">
        <f t="shared" si="64"/>
        <v>1147.7721119086145</v>
      </c>
      <c r="G548" s="924">
        <f t="shared" si="65"/>
        <v>4514.9097710573924</v>
      </c>
      <c r="H548" s="924">
        <f t="shared" si="66"/>
        <v>4591.0884476344581</v>
      </c>
      <c r="I548" s="924">
        <f t="shared" si="67"/>
        <v>2934.6913511873049</v>
      </c>
      <c r="J548" s="858">
        <f t="shared" si="68"/>
        <v>573.88605595430727</v>
      </c>
      <c r="K548" s="857">
        <f t="shared" si="69"/>
        <v>11363.453104220547</v>
      </c>
      <c r="L548" s="994">
        <f t="shared" si="70"/>
        <v>8673.5519107303771</v>
      </c>
      <c r="M548" s="847"/>
    </row>
    <row r="549" spans="1:13" x14ac:dyDescent="0.25">
      <c r="A549" s="850">
        <f t="shared" si="71"/>
        <v>76</v>
      </c>
      <c r="B549" s="851">
        <f t="shared" si="72"/>
        <v>71</v>
      </c>
      <c r="C549" s="993">
        <f>(C548+E548+G548+I548+G379+J379+'11. CashData'!M67)*IF(OR(A549&lt;='1. AgeData'!$I$30,'S. Setup'!J$84="keep"), 1,0)</f>
        <v>390025.26203075686</v>
      </c>
      <c r="D549" s="996">
        <f>(D548+F548+H548+J548+K379+H379+'11. CashData'!N67)*IF(OR(B549&lt;='1. AgeData'!$I$31,'S. Setup'!J$84="keep"), 1,0)</f>
        <v>166913.76346170463</v>
      </c>
      <c r="E549" s="993">
        <f t="shared" si="63"/>
        <v>1950.1263101537843</v>
      </c>
      <c r="F549" s="924">
        <f t="shared" si="64"/>
        <v>834.56881730852319</v>
      </c>
      <c r="G549" s="924">
        <f t="shared" si="65"/>
        <v>3900.2526203075686</v>
      </c>
      <c r="H549" s="924">
        <f t="shared" si="66"/>
        <v>3338.2752692340928</v>
      </c>
      <c r="I549" s="924">
        <f t="shared" si="67"/>
        <v>2535.1642031999195</v>
      </c>
      <c r="J549" s="858">
        <f t="shared" si="68"/>
        <v>417.2844086542616</v>
      </c>
      <c r="K549" s="857">
        <f t="shared" si="69"/>
        <v>9188.6541996954456</v>
      </c>
      <c r="L549" s="994">
        <f t="shared" si="70"/>
        <v>6708.0082897425364</v>
      </c>
      <c r="M549" s="847"/>
    </row>
    <row r="550" spans="1:13" x14ac:dyDescent="0.25">
      <c r="A550" s="850">
        <f t="shared" si="71"/>
        <v>77</v>
      </c>
      <c r="B550" s="851">
        <f t="shared" si="72"/>
        <v>72</v>
      </c>
      <c r="C550" s="993">
        <f>(C549+E549+G549+I549+G380+J380+'11. CashData'!M68)*IF(OR(A550&lt;='1. AgeData'!$I$30,'S. Setup'!J$84="keep"), 1,0)</f>
        <v>421073.56262092089</v>
      </c>
      <c r="D550" s="996">
        <f>(D549+F549+H549+J549+K380+H380+'11. CashData'!N68)*IF(OR(B550&lt;='1. AgeData'!$I$31,'S. Setup'!J$84="keep"), 1,0)</f>
        <v>186623.63529343071</v>
      </c>
      <c r="E550" s="993">
        <f t="shared" si="63"/>
        <v>2105.3678131046045</v>
      </c>
      <c r="F550" s="924">
        <f t="shared" si="64"/>
        <v>933.1181764671536</v>
      </c>
      <c r="G550" s="924">
        <f t="shared" si="65"/>
        <v>4210.7356262092089</v>
      </c>
      <c r="H550" s="924">
        <f t="shared" si="66"/>
        <v>3732.4727058686144</v>
      </c>
      <c r="I550" s="924">
        <f t="shared" si="67"/>
        <v>2736.9781570359855</v>
      </c>
      <c r="J550" s="858">
        <f t="shared" si="68"/>
        <v>466.5590882335768</v>
      </c>
      <c r="K550" s="857">
        <f t="shared" si="69"/>
        <v>10048.576145182427</v>
      </c>
      <c r="L550" s="994">
        <f t="shared" si="70"/>
        <v>7402.5690393717532</v>
      </c>
      <c r="M550" s="847"/>
    </row>
    <row r="551" spans="1:13" x14ac:dyDescent="0.25">
      <c r="A551" s="850">
        <f t="shared" si="71"/>
        <v>78</v>
      </c>
      <c r="B551" s="851">
        <f t="shared" si="72"/>
        <v>73</v>
      </c>
      <c r="C551" s="993">
        <f>(C550+E550+G550+I550+G381+J381+'11. CashData'!M69)*IF(OR(A551&lt;='1. AgeData'!$I$30,'S. Setup'!J$84="keep"), 1,0)</f>
        <v>455234.45193910244</v>
      </c>
      <c r="D551" s="996">
        <f>(D550+F550+H550+J550+K381+H381+'11. CashData'!N69)*IF(OR(B551&lt;='1. AgeData'!$I$31,'S. Setup'!J$84="keep"), 1,0)</f>
        <v>208293.99566689142</v>
      </c>
      <c r="E551" s="993">
        <f t="shared" si="63"/>
        <v>2276.1722596955124</v>
      </c>
      <c r="F551" s="924">
        <f t="shared" si="64"/>
        <v>1041.4699783344572</v>
      </c>
      <c r="G551" s="924">
        <f t="shared" si="65"/>
        <v>4552.3445193910247</v>
      </c>
      <c r="H551" s="924">
        <f t="shared" si="66"/>
        <v>4165.8799133378288</v>
      </c>
      <c r="I551" s="924">
        <f t="shared" si="67"/>
        <v>2959.0239376041659</v>
      </c>
      <c r="J551" s="858">
        <f t="shared" si="68"/>
        <v>520.7349891672286</v>
      </c>
      <c r="K551" s="857">
        <f t="shared" si="69"/>
        <v>10994.396692424365</v>
      </c>
      <c r="L551" s="994">
        <f t="shared" si="70"/>
        <v>8166.3738292764519</v>
      </c>
      <c r="M551" s="847"/>
    </row>
    <row r="552" spans="1:13" x14ac:dyDescent="0.25">
      <c r="A552" s="850">
        <f t="shared" si="71"/>
        <v>79</v>
      </c>
      <c r="B552" s="851">
        <f t="shared" si="72"/>
        <v>74</v>
      </c>
      <c r="C552" s="993">
        <f>(C551+E551+G551+I551+G382+J382+'11. CashData'!M70)*IF(OR(A552&lt;='1. AgeData'!$I$30,'S. Setup'!J$84="keep"), 1,0)</f>
        <v>490558.41931410873</v>
      </c>
      <c r="D552" s="996">
        <f>(D551+F551+H551+J551+K382+H382+'11. CashData'!N70)*IF(OR(B552&lt;='1. AgeData'!$I$31,'S. Setup'!J$84="keep"), 1,0)</f>
        <v>230835.00111124717</v>
      </c>
      <c r="E552" s="993">
        <f t="shared" si="63"/>
        <v>2452.7920965705439</v>
      </c>
      <c r="F552" s="924">
        <f t="shared" si="64"/>
        <v>1154.1750055562359</v>
      </c>
      <c r="G552" s="924">
        <f t="shared" si="65"/>
        <v>4905.5841931410878</v>
      </c>
      <c r="H552" s="924">
        <f t="shared" si="66"/>
        <v>4616.7000222249435</v>
      </c>
      <c r="I552" s="924">
        <f t="shared" si="67"/>
        <v>3188.6297255417066</v>
      </c>
      <c r="J552" s="858">
        <f t="shared" si="68"/>
        <v>577.08750277811794</v>
      </c>
      <c r="K552" s="857">
        <f t="shared" si="69"/>
        <v>11975.076311936577</v>
      </c>
      <c r="L552" s="994">
        <f t="shared" si="70"/>
        <v>8959.5047533228862</v>
      </c>
      <c r="M552" s="847"/>
    </row>
    <row r="553" spans="1:13" x14ac:dyDescent="0.25">
      <c r="A553" s="850">
        <f t="shared" si="71"/>
        <v>80</v>
      </c>
      <c r="B553" s="851">
        <f t="shared" si="72"/>
        <v>75</v>
      </c>
      <c r="C553" s="993">
        <f>(C552+E552+G552+I552+G383+J383+'11. CashData'!M71)*IF(OR(A553&lt;='1. AgeData'!$I$30,'S. Setup'!J$84="keep"), 1,0)</f>
        <v>521261.0897016995</v>
      </c>
      <c r="D553" s="996">
        <f>(D552+F552+H552+J552+K383+H383+'11. CashData'!N71)*IF(OR(B553&lt;='1. AgeData'!$I$31,'S. Setup'!J$84="keep"), 1,0)</f>
        <v>246607.29505220259</v>
      </c>
      <c r="E553" s="993">
        <f t="shared" si="63"/>
        <v>2606.3054485084976</v>
      </c>
      <c r="F553" s="924">
        <f t="shared" si="64"/>
        <v>1233.036475261013</v>
      </c>
      <c r="G553" s="924">
        <f t="shared" si="65"/>
        <v>5212.6108970169953</v>
      </c>
      <c r="H553" s="924">
        <f t="shared" si="66"/>
        <v>4932.1459010440522</v>
      </c>
      <c r="I553" s="924">
        <f t="shared" si="67"/>
        <v>3388.1970830610467</v>
      </c>
      <c r="J553" s="858">
        <f t="shared" si="68"/>
        <v>616.51823763050652</v>
      </c>
      <c r="K553" s="857">
        <f t="shared" si="69"/>
        <v>12751.062246569545</v>
      </c>
      <c r="L553" s="994">
        <f t="shared" si="70"/>
        <v>9553.3794593661114</v>
      </c>
      <c r="M553" s="847"/>
    </row>
    <row r="554" spans="1:13" x14ac:dyDescent="0.25">
      <c r="A554" s="850">
        <f t="shared" si="71"/>
        <v>81</v>
      </c>
      <c r="B554" s="851">
        <f t="shared" si="72"/>
        <v>76</v>
      </c>
      <c r="C554" s="993">
        <f>(C553+E553+G553+I553+G384+J384+'11. CashData'!M72)*IF(OR(A554&lt;='1. AgeData'!$I$30,'S. Setup'!J$84="keep"), 1,0)</f>
        <v>552928.96399179939</v>
      </c>
      <c r="D554" s="996">
        <f>(D553+F553+H553+J553+K384+H384+'11. CashData'!N72)*IF(OR(B554&lt;='1. AgeData'!$I$31,'S. Setup'!J$84="keep"), 1,0)</f>
        <v>264896.31901995832</v>
      </c>
      <c r="E554" s="993">
        <f t="shared" si="63"/>
        <v>2764.6448199589972</v>
      </c>
      <c r="F554" s="924">
        <f t="shared" si="64"/>
        <v>1324.4815950997915</v>
      </c>
      <c r="G554" s="924">
        <f t="shared" si="65"/>
        <v>5529.2896399179945</v>
      </c>
      <c r="H554" s="924">
        <f t="shared" si="66"/>
        <v>5297.9263803991662</v>
      </c>
      <c r="I554" s="924">
        <f t="shared" si="67"/>
        <v>3594.0382659466959</v>
      </c>
      <c r="J554" s="858">
        <f t="shared" si="68"/>
        <v>662.24079754989577</v>
      </c>
      <c r="K554" s="857">
        <f t="shared" si="69"/>
        <v>13591.860840276157</v>
      </c>
      <c r="L554" s="994">
        <f t="shared" si="70"/>
        <v>10216.446241445654</v>
      </c>
      <c r="M554" s="847"/>
    </row>
    <row r="555" spans="1:13" x14ac:dyDescent="0.25">
      <c r="A555" s="850">
        <f t="shared" si="71"/>
        <v>82</v>
      </c>
      <c r="B555" s="851">
        <f t="shared" si="72"/>
        <v>77</v>
      </c>
      <c r="C555" s="993">
        <f>(C554+E554+G554+I554+G385+J385+'11. CashData'!M73)*IF(OR(A555&lt;='1. AgeData'!$I$30,'S. Setup'!J$84="keep"), 1,0)</f>
        <v>585585.76690854935</v>
      </c>
      <c r="D555" s="996">
        <f>(D554+F554+H554+J554+K385+H385+'11. CashData'!N73)*IF(OR(B555&lt;='1. AgeData'!$I$31,'S. Setup'!J$84="keep"), 1,0)</f>
        <v>282513.47226781637</v>
      </c>
      <c r="E555" s="993">
        <f t="shared" si="63"/>
        <v>2927.9288345427467</v>
      </c>
      <c r="F555" s="924">
        <f t="shared" si="64"/>
        <v>1412.5673613390818</v>
      </c>
      <c r="G555" s="924">
        <f t="shared" si="65"/>
        <v>5855.8576690854934</v>
      </c>
      <c r="H555" s="924">
        <f t="shared" si="66"/>
        <v>5650.2694453563272</v>
      </c>
      <c r="I555" s="924">
        <f t="shared" si="67"/>
        <v>3806.3074849055706</v>
      </c>
      <c r="J555" s="858">
        <f t="shared" si="68"/>
        <v>706.2836806695409</v>
      </c>
      <c r="K555" s="857">
        <f t="shared" si="69"/>
        <v>14434.055948984567</v>
      </c>
      <c r="L555" s="994">
        <f t="shared" si="70"/>
        <v>10869.14429160098</v>
      </c>
      <c r="M555" s="847"/>
    </row>
    <row r="556" spans="1:13" x14ac:dyDescent="0.25">
      <c r="A556" s="873">
        <f t="shared" si="71"/>
        <v>83</v>
      </c>
      <c r="B556" s="851">
        <f t="shared" si="72"/>
        <v>78</v>
      </c>
      <c r="C556" s="993">
        <f>(C555+E555+G555+I555+G386+J386+'11. CashData'!M74)*IF(OR(A556&lt;='1. AgeData'!$I$30,'S. Setup'!J$84="keep"), 1,0)</f>
        <v>619264.37691652949</v>
      </c>
      <c r="D556" s="996">
        <f>(D555+F555+H555+J555+K386+H386+'11. CashData'!N74)*IF(OR(B556&lt;='1. AgeData'!$I$31,'S. Setup'!J$84="keep"), 1,0)</f>
        <v>300739.46596823586</v>
      </c>
      <c r="E556" s="993">
        <f t="shared" si="63"/>
        <v>3096.3218845826477</v>
      </c>
      <c r="F556" s="924">
        <f t="shared" si="64"/>
        <v>1503.6973298411792</v>
      </c>
      <c r="G556" s="924">
        <f t="shared" si="65"/>
        <v>6192.6437691652955</v>
      </c>
      <c r="H556" s="924">
        <f t="shared" si="66"/>
        <v>6014.7893193647169</v>
      </c>
      <c r="I556" s="924">
        <f t="shared" si="67"/>
        <v>4025.2184499574414</v>
      </c>
      <c r="J556" s="858">
        <f t="shared" si="68"/>
        <v>751.84866492058961</v>
      </c>
      <c r="K556" s="857">
        <f t="shared" si="69"/>
        <v>15303.75497311266</v>
      </c>
      <c r="L556" s="994">
        <f t="shared" si="70"/>
        <v>11543.705099163337</v>
      </c>
      <c r="M556" s="847"/>
    </row>
    <row r="557" spans="1:13" x14ac:dyDescent="0.25">
      <c r="A557" s="850">
        <f t="shared" si="71"/>
        <v>84</v>
      </c>
      <c r="B557" s="851">
        <f t="shared" si="72"/>
        <v>79</v>
      </c>
      <c r="C557" s="993">
        <f>(C556+E556+G556+I556+G387+J387+'11. CashData'!M75)*IF(OR(A557&lt;='1. AgeData'!$I$30,'S. Setup'!J$84="keep"), 1,0)</f>
        <v>653995.43712757924</v>
      </c>
      <c r="D557" s="996">
        <f>(D556+F556+H556+J556+K387+H387+'11. CashData'!N75)*IF(OR(B557&lt;='1. AgeData'!$I$31,'S. Setup'!J$84="keep"), 1,0)</f>
        <v>319622.24763419002</v>
      </c>
      <c r="E557" s="993">
        <f t="shared" si="63"/>
        <v>3269.9771856378961</v>
      </c>
      <c r="F557" s="924">
        <f t="shared" si="64"/>
        <v>1598.1112381709502</v>
      </c>
      <c r="G557" s="924">
        <f t="shared" si="65"/>
        <v>6539.9543712757923</v>
      </c>
      <c r="H557" s="924">
        <f t="shared" si="66"/>
        <v>6392.4449526838007</v>
      </c>
      <c r="I557" s="924">
        <f t="shared" si="67"/>
        <v>4250.9703413292646</v>
      </c>
      <c r="J557" s="858">
        <f t="shared" si="68"/>
        <v>799.05561908547509</v>
      </c>
      <c r="K557" s="857">
        <f t="shared" si="69"/>
        <v>16202.376509597489</v>
      </c>
      <c r="L557" s="994">
        <f t="shared" si="70"/>
        <v>12241.526532184016</v>
      </c>
      <c r="M557" s="847"/>
    </row>
    <row r="558" spans="1:13" x14ac:dyDescent="0.25">
      <c r="A558" s="850">
        <f t="shared" si="71"/>
        <v>85</v>
      </c>
      <c r="B558" s="851">
        <f t="shared" si="72"/>
        <v>80</v>
      </c>
      <c r="C558" s="993">
        <f>(C557+E557+G557+I557+G388+J388+'11. CashData'!M76)*IF(OR(A558&lt;='1. AgeData'!$I$30,'S. Setup'!J$84="keep"), 1,0)</f>
        <v>689810.58121480956</v>
      </c>
      <c r="D558" s="996">
        <f>(D557+F557+H557+J557+K388+H388+'11. CashData'!N76)*IF(OR(B558&lt;='1. AgeData'!$I$31,'S. Setup'!J$84="keep"), 1,0)</f>
        <v>339156.07930807443</v>
      </c>
      <c r="E558" s="993">
        <f t="shared" si="63"/>
        <v>3449.0529060740478</v>
      </c>
      <c r="F558" s="924">
        <f t="shared" si="64"/>
        <v>1695.7803965403723</v>
      </c>
      <c r="G558" s="924">
        <f t="shared" si="65"/>
        <v>6898.1058121480955</v>
      </c>
      <c r="H558" s="924">
        <f t="shared" si="66"/>
        <v>6783.1215861614892</v>
      </c>
      <c r="I558" s="924">
        <f t="shared" si="67"/>
        <v>4483.7687778962618</v>
      </c>
      <c r="J558" s="858">
        <f t="shared" si="68"/>
        <v>847.89019827018615</v>
      </c>
      <c r="K558" s="857">
        <f t="shared" si="69"/>
        <v>17130.280304383632</v>
      </c>
      <c r="L558" s="994">
        <f t="shared" si="70"/>
        <v>12962.670760598125</v>
      </c>
      <c r="M558" s="847"/>
    </row>
    <row r="559" spans="1:13" x14ac:dyDescent="0.25">
      <c r="A559" s="850">
        <f t="shared" si="71"/>
        <v>86</v>
      </c>
      <c r="B559" s="851">
        <f t="shared" si="72"/>
        <v>81</v>
      </c>
      <c r="C559" s="993">
        <f>(C558+E558+G558+I558+G389+J389+'11. CashData'!M77)*IF(OR(A559&lt;='1. AgeData'!$I$30,'S. Setup'!J$84="keep"), 1,0)</f>
        <v>687788.03770469804</v>
      </c>
      <c r="D559" s="996">
        <f>(D558+F558+H558+J558+K389+H389+'11. CashData'!N77)*IF(OR(B559&lt;='1. AgeData'!$I$31,'S. Setup'!J$84="keep"), 1,0)</f>
        <v>518164.45149407891</v>
      </c>
      <c r="E559" s="993">
        <f t="shared" si="63"/>
        <v>3438.9401885234902</v>
      </c>
      <c r="F559" s="924">
        <f t="shared" si="64"/>
        <v>2590.8222574703946</v>
      </c>
      <c r="G559" s="924">
        <f t="shared" si="65"/>
        <v>6877.8803770469804</v>
      </c>
      <c r="H559" s="924">
        <f t="shared" si="66"/>
        <v>10363.289029881578</v>
      </c>
      <c r="I559" s="924">
        <f t="shared" si="67"/>
        <v>4470.6222450805371</v>
      </c>
      <c r="J559" s="858">
        <f t="shared" si="68"/>
        <v>1295.4111287351973</v>
      </c>
      <c r="K559" s="857">
        <f t="shared" si="69"/>
        <v>20680.10959545205</v>
      </c>
      <c r="L559" s="994">
        <f t="shared" si="70"/>
        <v>17424.73353243251</v>
      </c>
      <c r="M559" s="847"/>
    </row>
    <row r="560" spans="1:13" x14ac:dyDescent="0.25">
      <c r="A560" s="850">
        <f t="shared" si="71"/>
        <v>87</v>
      </c>
      <c r="B560" s="851">
        <f t="shared" si="72"/>
        <v>82</v>
      </c>
      <c r="C560" s="993">
        <f>(C559+E559+G559+I559+G390+J390+'11. CashData'!M78)*IF(OR(A560&lt;='1. AgeData'!$I$30,'S. Setup'!J$84="keep"), 1,0)</f>
        <v>703098.23625265923</v>
      </c>
      <c r="D560" s="996">
        <f>(D559+F559+H559+J559+K390+H390+'11. CashData'!N78)*IF(OR(B560&lt;='1. AgeData'!$I$31,'S. Setup'!J$84="keep"), 1,0)</f>
        <v>527755.08513253543</v>
      </c>
      <c r="E560" s="993">
        <f t="shared" si="63"/>
        <v>3515.4911812632963</v>
      </c>
      <c r="F560" s="924">
        <f t="shared" si="64"/>
        <v>2638.7754256626772</v>
      </c>
      <c r="G560" s="924">
        <f t="shared" si="65"/>
        <v>7030.9823625265926</v>
      </c>
      <c r="H560" s="924">
        <f t="shared" si="66"/>
        <v>10555.101702650709</v>
      </c>
      <c r="I560" s="924">
        <f t="shared" si="67"/>
        <v>4570.1385356422852</v>
      </c>
      <c r="J560" s="858">
        <f t="shared" si="68"/>
        <v>1319.3877128313386</v>
      </c>
      <c r="K560" s="857">
        <f t="shared" si="69"/>
        <v>21101.575246440596</v>
      </c>
      <c r="L560" s="994">
        <f t="shared" si="70"/>
        <v>17764.015663955674</v>
      </c>
      <c r="M560" s="847"/>
    </row>
    <row r="561" spans="1:13" x14ac:dyDescent="0.25">
      <c r="A561" s="850">
        <f t="shared" si="71"/>
        <v>88</v>
      </c>
      <c r="B561" s="851">
        <f t="shared" si="72"/>
        <v>83</v>
      </c>
      <c r="C561" s="993">
        <f>(C560+E560+G560+I560+G391+J391+'11. CashData'!M79)*IF(OR(A561&lt;='1. AgeData'!$I$30,'S. Setup'!J$84="keep"), 1,0)</f>
        <v>718595.47418759891</v>
      </c>
      <c r="D561" s="996">
        <f>(D560+F560+H560+J560+K391+H391+'11. CashData'!N79)*IF(OR(B561&lt;='1. AgeData'!$I$31,'S. Setup'!J$84="keep"), 1,0)</f>
        <v>537371.42497786216</v>
      </c>
      <c r="E561" s="993">
        <f t="shared" si="63"/>
        <v>3592.9773709379947</v>
      </c>
      <c r="F561" s="924">
        <f t="shared" si="64"/>
        <v>2686.8571248893109</v>
      </c>
      <c r="G561" s="924">
        <f t="shared" si="65"/>
        <v>7185.9547418759894</v>
      </c>
      <c r="H561" s="924">
        <f t="shared" si="66"/>
        <v>10747.428499557243</v>
      </c>
      <c r="I561" s="924">
        <f t="shared" si="67"/>
        <v>4670.8705822193924</v>
      </c>
      <c r="J561" s="858">
        <f t="shared" si="68"/>
        <v>1343.4285624446554</v>
      </c>
      <c r="K561" s="857">
        <f t="shared" si="69"/>
        <v>21526.360612371227</v>
      </c>
      <c r="L561" s="994">
        <f t="shared" si="70"/>
        <v>18105.156206665946</v>
      </c>
      <c r="M561" s="847"/>
    </row>
    <row r="562" spans="1:13" x14ac:dyDescent="0.25">
      <c r="A562" s="850">
        <f t="shared" si="71"/>
        <v>89</v>
      </c>
      <c r="B562" s="851">
        <f t="shared" si="72"/>
        <v>84</v>
      </c>
      <c r="C562" s="993">
        <f>(C561+E561+G561+I561+G392+J392+'11. CashData'!M80)*IF(OR(A562&lt;='1. AgeData'!$I$30,'S. Setup'!J$84="keep"), 1,0)</f>
        <v>734282.16003839404</v>
      </c>
      <c r="D562" s="996">
        <f>(D561+F561+H561+J561+K392+H392+'11. CashData'!N80)*IF(OR(B562&lt;='1. AgeData'!$I$31,'S. Setup'!J$84="keep"), 1,0)</f>
        <v>547012.30807073636</v>
      </c>
      <c r="E562" s="993">
        <f t="shared" si="63"/>
        <v>3671.4108001919703</v>
      </c>
      <c r="F562" s="924">
        <f t="shared" si="64"/>
        <v>2735.0615403536817</v>
      </c>
      <c r="G562" s="924">
        <f t="shared" si="65"/>
        <v>7342.8216003839407</v>
      </c>
      <c r="H562" s="924">
        <f t="shared" si="66"/>
        <v>10940.246161414727</v>
      </c>
      <c r="I562" s="924">
        <f t="shared" si="67"/>
        <v>4772.8340402495614</v>
      </c>
      <c r="J562" s="858">
        <f t="shared" si="68"/>
        <v>1367.5307701768409</v>
      </c>
      <c r="K562" s="857">
        <f t="shared" si="69"/>
        <v>21954.47856199064</v>
      </c>
      <c r="L562" s="994">
        <f t="shared" si="70"/>
        <v>18448.141742017971</v>
      </c>
      <c r="M562" s="847"/>
    </row>
    <row r="563" spans="1:13" x14ac:dyDescent="0.25">
      <c r="A563" s="850">
        <f t="shared" si="71"/>
        <v>90</v>
      </c>
      <c r="B563" s="851">
        <f t="shared" si="72"/>
        <v>85</v>
      </c>
      <c r="C563" s="993">
        <f>(C562+E562+G562+I562+G393+J393+'11. CashData'!M81)*IF(OR(A563&lt;='1. AgeData'!$I$30,'S. Setup'!J$84="keep"), 1,0)</f>
        <v>750161.03380794614</v>
      </c>
      <c r="D563" s="996">
        <f>(D562+F562+H562+J562+K393+H393+'11. CashData'!N81)*IF(OR(B563&lt;='1. AgeData'!$I$31,'S. Setup'!J$84="keep"), 1,0)</f>
        <v>556676.83079070086</v>
      </c>
      <c r="E563" s="993">
        <f t="shared" si="63"/>
        <v>3750.8051690397306</v>
      </c>
      <c r="F563" s="924">
        <f t="shared" si="64"/>
        <v>2783.3841539535042</v>
      </c>
      <c r="G563" s="924">
        <f t="shared" si="65"/>
        <v>7501.6103380794611</v>
      </c>
      <c r="H563" s="924">
        <f t="shared" si="66"/>
        <v>11133.536615814017</v>
      </c>
      <c r="I563" s="924">
        <f t="shared" si="67"/>
        <v>4876.04671975165</v>
      </c>
      <c r="J563" s="858">
        <f t="shared" si="68"/>
        <v>1391.6920769767521</v>
      </c>
      <c r="K563" s="857">
        <f t="shared" si="69"/>
        <v>22385.952122933209</v>
      </c>
      <c r="L563" s="994">
        <f t="shared" si="70"/>
        <v>18792.967489519171</v>
      </c>
      <c r="M563" s="847"/>
    </row>
    <row r="564" spans="1:13" x14ac:dyDescent="0.25">
      <c r="A564" s="850">
        <f t="shared" si="71"/>
        <v>91</v>
      </c>
      <c r="B564" s="851">
        <f t="shared" si="72"/>
        <v>86</v>
      </c>
      <c r="C564" s="993">
        <f>(C563+E563+G563+I563+G394+J394+'11. CashData'!M82)*IF(OR(A564&lt;='1. AgeData'!$I$30,'S. Setup'!J$84="keep"), 1,0)</f>
        <v>766182.38871277648</v>
      </c>
      <c r="D564" s="996">
        <f>(D563+F563+H563+J563+K394+H394+'11. CashData'!N82)*IF(OR(B564&lt;='1. AgeData'!$I$31,'S. Setup'!J$84="keep"), 1,0)</f>
        <v>566311.56800749747</v>
      </c>
      <c r="E564" s="993">
        <f t="shared" si="63"/>
        <v>3830.9119435638822</v>
      </c>
      <c r="F564" s="924">
        <f t="shared" si="64"/>
        <v>2831.5578400374875</v>
      </c>
      <c r="G564" s="924">
        <f t="shared" si="65"/>
        <v>7661.8238871277645</v>
      </c>
      <c r="H564" s="924">
        <f t="shared" si="66"/>
        <v>11326.23136014995</v>
      </c>
      <c r="I564" s="924">
        <f t="shared" si="67"/>
        <v>4980.1855266330467</v>
      </c>
      <c r="J564" s="858">
        <f t="shared" si="68"/>
        <v>1415.7789200187437</v>
      </c>
      <c r="K564" s="857">
        <f t="shared" si="69"/>
        <v>22818.967190841598</v>
      </c>
      <c r="L564" s="994">
        <f t="shared" si="70"/>
        <v>19137.974726820485</v>
      </c>
      <c r="M564" s="847"/>
    </row>
    <row r="565" spans="1:13" x14ac:dyDescent="0.25">
      <c r="A565" s="850">
        <f t="shared" si="71"/>
        <v>92</v>
      </c>
      <c r="B565" s="851">
        <f t="shared" si="72"/>
        <v>87</v>
      </c>
      <c r="C565" s="993">
        <f>(C564+E564+G564+I564+G395+J395+'11. CashData'!M83)*IF(OR(A565&lt;='1. AgeData'!$I$30,'S. Setup'!J$84="keep"), 1,0)</f>
        <v>782980.26657437044</v>
      </c>
      <c r="D565" s="996">
        <f>(D564+F564+H564+J564+K395+H395+'11. CashData'!N83)*IF(OR(B565&lt;='1. AgeData'!$I$31,'S. Setup'!J$84="keep"), 1,0)</f>
        <v>576546.97695189784</v>
      </c>
      <c r="E565" s="993">
        <f t="shared" si="63"/>
        <v>3914.9013328718524</v>
      </c>
      <c r="F565" s="924">
        <f t="shared" si="64"/>
        <v>2882.7348847594894</v>
      </c>
      <c r="G565" s="924">
        <f t="shared" si="65"/>
        <v>7829.8026657437049</v>
      </c>
      <c r="H565" s="924">
        <f t="shared" si="66"/>
        <v>11530.939539037958</v>
      </c>
      <c r="I565" s="924">
        <f t="shared" si="67"/>
        <v>5089.371732733408</v>
      </c>
      <c r="J565" s="858">
        <f t="shared" si="68"/>
        <v>1441.3674423797447</v>
      </c>
      <c r="K565" s="857">
        <f t="shared" si="69"/>
        <v>23275.643537653516</v>
      </c>
      <c r="L565" s="994">
        <f t="shared" si="70"/>
        <v>19503.046156530854</v>
      </c>
      <c r="M565" s="847"/>
    </row>
    <row r="566" spans="1:13" x14ac:dyDescent="0.25">
      <c r="A566" s="850">
        <f t="shared" si="71"/>
        <v>93</v>
      </c>
      <c r="B566" s="851">
        <f t="shared" si="72"/>
        <v>88</v>
      </c>
      <c r="C566" s="993">
        <f>(C565+E565+G565+I565+G396+J396+'11. CashData'!M84)*IF(OR(A566&lt;='1. AgeData'!$I$30,'S. Setup'!J$84="keep"), 1,0)</f>
        <v>806993.45262424392</v>
      </c>
      <c r="D566" s="996">
        <f>(D565+F565+H565+J565+K396+H396+'11. CashData'!N84)*IF(OR(B566&lt;='1. AgeData'!$I$31,'S. Setup'!J$84="keep"), 1,0)</f>
        <v>563815.65936708055</v>
      </c>
      <c r="E566" s="993">
        <f t="shared" si="63"/>
        <v>4034.9672631212197</v>
      </c>
      <c r="F566" s="924">
        <f t="shared" si="64"/>
        <v>2819.0782968354029</v>
      </c>
      <c r="G566" s="924">
        <f t="shared" si="65"/>
        <v>8069.9345262424395</v>
      </c>
      <c r="H566" s="924">
        <f t="shared" si="66"/>
        <v>11276.313187341611</v>
      </c>
      <c r="I566" s="924">
        <f t="shared" si="67"/>
        <v>5245.4574420575855</v>
      </c>
      <c r="J566" s="858">
        <f t="shared" si="68"/>
        <v>1409.5391484177014</v>
      </c>
      <c r="K566" s="857">
        <f t="shared" si="69"/>
        <v>23381.214976705269</v>
      </c>
      <c r="L566" s="994">
        <f t="shared" si="70"/>
        <v>19340.848926234601</v>
      </c>
      <c r="M566" s="847"/>
    </row>
    <row r="567" spans="1:13" x14ac:dyDescent="0.25">
      <c r="A567" s="850">
        <f t="shared" si="71"/>
        <v>94</v>
      </c>
      <c r="B567" s="851">
        <f t="shared" si="72"/>
        <v>89</v>
      </c>
      <c r="C567" s="993">
        <f>(C566+E566+G566+I566+G397+J397+'11. CashData'!M85)*IF(OR(A567&lt;='1. AgeData'!$I$30,'S. Setup'!J$84="keep"), 1,0)</f>
        <v>831530.28777340194</v>
      </c>
      <c r="D567" s="996">
        <f>(D566+F566+H566+J566+K397+H397+'11. CashData'!N85)*IF(OR(B567&lt;='1. AgeData'!$I$31,'S. Setup'!J$84="keep"), 1,0)</f>
        <v>584916.22406119399</v>
      </c>
      <c r="E567" s="993">
        <f t="shared" si="63"/>
        <v>4157.6514388670093</v>
      </c>
      <c r="F567" s="924">
        <f t="shared" si="64"/>
        <v>2924.5811203059702</v>
      </c>
      <c r="G567" s="924">
        <f t="shared" si="65"/>
        <v>8315.3028777340187</v>
      </c>
      <c r="H567" s="924">
        <f t="shared" si="66"/>
        <v>11698.324481223881</v>
      </c>
      <c r="I567" s="924">
        <f t="shared" si="67"/>
        <v>5404.946870527112</v>
      </c>
      <c r="J567" s="858">
        <f t="shared" si="68"/>
        <v>1462.2905601529851</v>
      </c>
      <c r="K567" s="857">
        <f t="shared" si="69"/>
        <v>24171.278797824911</v>
      </c>
      <c r="L567" s="994">
        <f t="shared" si="70"/>
        <v>20027.852472056962</v>
      </c>
      <c r="M567" s="847"/>
    </row>
    <row r="568" spans="1:13" x14ac:dyDescent="0.25">
      <c r="A568" s="850">
        <f t="shared" si="71"/>
        <v>95</v>
      </c>
      <c r="B568" s="851">
        <f t="shared" si="72"/>
        <v>90</v>
      </c>
      <c r="C568" s="993">
        <f>(C567+E567+G567+I567+G398+J398+'11. CashData'!M86)*IF(OR(A568&lt;='1. AgeData'!$I$30,'S. Setup'!J$84="keep"), 1,0)</f>
        <v>856382.14746774058</v>
      </c>
      <c r="D568" s="996">
        <f>(D567+F567+H567+J567+K398+H398+'11. CashData'!N86)*IF(OR(B568&lt;='1. AgeData'!$I$31,'S. Setup'!J$84="keep"), 1,0)</f>
        <v>606584.36387693672</v>
      </c>
      <c r="E568" s="993">
        <f t="shared" si="63"/>
        <v>4281.9107373387033</v>
      </c>
      <c r="F568" s="924">
        <f t="shared" si="64"/>
        <v>3032.9218193846837</v>
      </c>
      <c r="G568" s="924">
        <f t="shared" si="65"/>
        <v>8563.8214746774065</v>
      </c>
      <c r="H568" s="924">
        <f t="shared" si="66"/>
        <v>12131.687277538735</v>
      </c>
      <c r="I568" s="924">
        <f t="shared" si="67"/>
        <v>5566.4839585403133</v>
      </c>
      <c r="J568" s="858">
        <f t="shared" si="68"/>
        <v>1516.4609096923418</v>
      </c>
      <c r="K568" s="857">
        <f t="shared" si="69"/>
        <v>24977.419489554843</v>
      </c>
      <c r="L568" s="994">
        <f t="shared" si="70"/>
        <v>20731.093055463731</v>
      </c>
      <c r="M568" s="847"/>
    </row>
    <row r="569" spans="1:13" ht="15.75" thickBot="1" x14ac:dyDescent="0.3">
      <c r="A569" s="873">
        <f t="shared" si="71"/>
        <v>96</v>
      </c>
      <c r="B569" s="851">
        <f t="shared" si="72"/>
        <v>91</v>
      </c>
      <c r="C569" s="993">
        <f>(C568+E568+G568+I568+G399+J399+'11. CashData'!M87)*IF(OR(A569&lt;='1. AgeData'!$I$30,'S. Setup'!J$84="keep"), 1,0)</f>
        <v>881564.80974977801</v>
      </c>
      <c r="D569" s="996">
        <f>(D568+F568+H568+J568+K399+H399+'11. CashData'!N87)*IF(OR(B569&lt;='1. AgeData'!$I$31,'S. Setup'!J$84="keep"), 1,0)</f>
        <v>628789.18589888711</v>
      </c>
      <c r="E569" s="1972">
        <f t="shared" si="63"/>
        <v>4407.8240487488902</v>
      </c>
      <c r="F569" s="1973">
        <f t="shared" si="64"/>
        <v>3143.9459294944354</v>
      </c>
      <c r="G569" s="1973">
        <f t="shared" si="65"/>
        <v>8815.6480974977803</v>
      </c>
      <c r="H569" s="1973">
        <f t="shared" si="66"/>
        <v>12575.783717977742</v>
      </c>
      <c r="I569" s="1973">
        <f t="shared" si="67"/>
        <v>5730.1712633735569</v>
      </c>
      <c r="J569" s="1433">
        <f t="shared" si="68"/>
        <v>1571.9729647472177</v>
      </c>
      <c r="K569" s="921">
        <f t="shared" si="69"/>
        <v>25799.255864224411</v>
      </c>
      <c r="L569" s="995">
        <f t="shared" si="70"/>
        <v>21449.900910845732</v>
      </c>
      <c r="M569" s="847"/>
    </row>
    <row r="570" spans="1:13" ht="15.75" thickTop="1" x14ac:dyDescent="0.25">
      <c r="A570" s="849"/>
      <c r="B570" s="849"/>
      <c r="C570" s="856"/>
      <c r="D570" s="856"/>
      <c r="E570" s="856"/>
      <c r="F570" s="856"/>
      <c r="G570" s="856"/>
      <c r="H570" s="856"/>
      <c r="I570" s="1014" t="s">
        <v>332</v>
      </c>
      <c r="J570" s="1015" t="s">
        <v>333</v>
      </c>
      <c r="K570" s="1014" t="s">
        <v>332</v>
      </c>
      <c r="L570" s="1015" t="s">
        <v>333</v>
      </c>
      <c r="M570" s="274"/>
    </row>
    <row r="571" spans="1:13" ht="15.75" thickBot="1" x14ac:dyDescent="0.3">
      <c r="A571" s="851"/>
      <c r="B571" s="851"/>
      <c r="C571" s="859"/>
      <c r="D571" s="859"/>
      <c r="E571" s="859"/>
      <c r="F571" s="859"/>
      <c r="G571" s="859"/>
      <c r="H571" s="859"/>
      <c r="I571" s="1016">
        <f>SUM(I533:I569)</f>
        <v>112134.2904955743</v>
      </c>
      <c r="J571" s="1017">
        <f>SUM(J533:J569)</f>
        <v>26149.559660440995</v>
      </c>
      <c r="K571" s="1016">
        <f>SUM(K533:K569)</f>
        <v>467967.91688869946</v>
      </c>
      <c r="L571" s="1017">
        <f>SUM(L533:L569)</f>
        <v>373629.88709998422</v>
      </c>
      <c r="M571" s="274"/>
    </row>
    <row r="572" spans="1:13" ht="15.75" thickTop="1" x14ac:dyDescent="0.25">
      <c r="A572" s="851"/>
      <c r="B572" s="851"/>
      <c r="C572" s="859"/>
      <c r="D572" s="859"/>
      <c r="E572" s="859"/>
      <c r="F572" s="859"/>
      <c r="G572" s="859"/>
      <c r="H572" s="859"/>
      <c r="I572" s="1018"/>
      <c r="J572" s="1018"/>
      <c r="K572" s="1018"/>
      <c r="L572" s="1018"/>
      <c r="M572" s="274"/>
    </row>
    <row r="573" spans="1:13" ht="15.75" thickBot="1" x14ac:dyDescent="0.3">
      <c r="A573" s="851"/>
      <c r="B573" s="851"/>
      <c r="C573" s="859"/>
      <c r="D573" s="859"/>
      <c r="E573" s="859"/>
      <c r="F573" s="859"/>
      <c r="G573" s="859"/>
      <c r="H573" s="859"/>
      <c r="I573" s="1018"/>
      <c r="J573" s="1018"/>
      <c r="K573" s="1018"/>
      <c r="L573" s="1018"/>
      <c r="M573" s="274"/>
    </row>
    <row r="574" spans="1:13" ht="19.5" thickTop="1" x14ac:dyDescent="0.3">
      <c r="A574" s="1623" t="s">
        <v>2271</v>
      </c>
      <c r="B574" s="1341"/>
      <c r="C574" s="1341"/>
      <c r="D574" s="1341"/>
      <c r="E574" s="1341"/>
      <c r="F574" s="1341"/>
      <c r="G574" s="1341"/>
      <c r="H574" s="1341"/>
      <c r="I574" s="1341"/>
      <c r="J574" s="1341"/>
      <c r="K574" s="2680"/>
      <c r="L574" s="2677"/>
      <c r="M574" s="274"/>
    </row>
    <row r="575" spans="1:13" x14ac:dyDescent="0.25">
      <c r="A575" s="1416" t="s">
        <v>2282</v>
      </c>
      <c r="B575" s="6"/>
      <c r="C575" s="6"/>
      <c r="D575" s="6"/>
      <c r="E575" s="6"/>
      <c r="F575" s="6"/>
      <c r="G575" s="6"/>
      <c r="H575" s="6"/>
      <c r="I575" s="6"/>
      <c r="J575" s="6"/>
      <c r="K575" s="1018"/>
      <c r="L575" s="2678"/>
      <c r="M575" s="274"/>
    </row>
    <row r="576" spans="1:13" x14ac:dyDescent="0.25">
      <c r="A576" s="1416" t="s">
        <v>2278</v>
      </c>
      <c r="B576" s="6"/>
      <c r="C576" s="6"/>
      <c r="D576" s="6"/>
      <c r="E576" s="6"/>
      <c r="F576" s="6"/>
      <c r="G576" s="6"/>
      <c r="H576" s="6"/>
      <c r="I576" s="6"/>
      <c r="J576" s="6"/>
      <c r="K576" s="1018"/>
      <c r="L576" s="2678"/>
      <c r="M576" s="274"/>
    </row>
    <row r="577" spans="1:13" x14ac:dyDescent="0.25">
      <c r="A577" s="1336"/>
      <c r="B577" s="6" t="s">
        <v>2269</v>
      </c>
      <c r="C577" s="6"/>
      <c r="D577" s="6"/>
      <c r="E577" s="1643"/>
      <c r="G577" s="6"/>
      <c r="H577" s="6" t="s">
        <v>2280</v>
      </c>
      <c r="I577" s="6"/>
      <c r="J577" s="6"/>
      <c r="K577" s="1018"/>
      <c r="L577" s="2678"/>
      <c r="M577" s="274"/>
    </row>
    <row r="578" spans="1:13" x14ac:dyDescent="0.25">
      <c r="A578" s="1336"/>
      <c r="B578" s="6" t="s">
        <v>2270</v>
      </c>
      <c r="C578" s="6"/>
      <c r="D578" s="6"/>
      <c r="E578" s="1643"/>
      <c r="G578" s="6"/>
      <c r="H578" s="6" t="s">
        <v>2279</v>
      </c>
      <c r="I578" s="6"/>
      <c r="J578" s="6"/>
      <c r="K578" s="1018"/>
      <c r="L578" s="2678"/>
      <c r="M578" s="274"/>
    </row>
    <row r="579" spans="1:13" x14ac:dyDescent="0.25">
      <c r="A579" s="1336"/>
      <c r="B579" s="6" t="s">
        <v>2277</v>
      </c>
      <c r="C579" s="6"/>
      <c r="D579" s="6"/>
      <c r="E579" s="1643"/>
      <c r="F579" s="6"/>
      <c r="G579" s="6"/>
      <c r="H579" s="6" t="s">
        <v>2283</v>
      </c>
      <c r="I579" s="6"/>
      <c r="J579" s="6"/>
      <c r="K579" s="1018"/>
      <c r="L579" s="2678"/>
      <c r="M579" s="274"/>
    </row>
    <row r="580" spans="1:13" x14ac:dyDescent="0.25">
      <c r="A580" s="1336" t="s">
        <v>194</v>
      </c>
      <c r="B580" s="6"/>
      <c r="C580" s="6"/>
      <c r="D580" s="6"/>
      <c r="E580" s="6"/>
      <c r="F580" s="6"/>
      <c r="G580" s="6"/>
      <c r="H580" s="6"/>
      <c r="I580" s="6"/>
      <c r="J580" s="6"/>
      <c r="K580" s="1018"/>
      <c r="L580" s="2678"/>
      <c r="M580" s="274"/>
    </row>
    <row r="581" spans="1:13" ht="16.5" thickBot="1" x14ac:dyDescent="0.3">
      <c r="A581" s="2676"/>
      <c r="B581" s="1314"/>
      <c r="C581" s="1314"/>
      <c r="D581" s="1314"/>
      <c r="E581" s="1314"/>
      <c r="F581" s="1314"/>
      <c r="G581" s="1314"/>
      <c r="H581" s="1314"/>
      <c r="I581" s="1314"/>
      <c r="J581" s="1314"/>
      <c r="K581" s="2681"/>
      <c r="L581" s="2679"/>
      <c r="M581" s="274"/>
    </row>
    <row r="582" spans="1:13" ht="74.25" thickTop="1" thickBot="1" x14ac:dyDescent="0.3">
      <c r="A582" s="2672" t="s">
        <v>142</v>
      </c>
      <c r="B582" s="2673" t="s">
        <v>143</v>
      </c>
      <c r="C582" s="2674" t="s">
        <v>2265</v>
      </c>
      <c r="D582" s="2690" t="s">
        <v>2266</v>
      </c>
      <c r="E582" s="2671" t="s">
        <v>2272</v>
      </c>
      <c r="F582" s="2675" t="s">
        <v>2267</v>
      </c>
      <c r="G582" s="2675" t="s">
        <v>2268</v>
      </c>
      <c r="H582" s="2691" t="s">
        <v>2273</v>
      </c>
      <c r="I582" s="2692" t="s">
        <v>2274</v>
      </c>
      <c r="J582" s="2410" t="s">
        <v>2275</v>
      </c>
      <c r="K582" s="2411" t="s">
        <v>2276</v>
      </c>
      <c r="L582" s="2682"/>
      <c r="M582" s="274"/>
    </row>
    <row r="583" spans="1:13" ht="15.75" thickTop="1" x14ac:dyDescent="0.25">
      <c r="A583" s="2013">
        <f>'1. AgeData'!$D$30</f>
        <v>60</v>
      </c>
      <c r="B583" s="2663">
        <f>'1. AgeData'!$D$31</f>
        <v>55</v>
      </c>
      <c r="C583" s="2665">
        <f t="shared" ref="C583:C619" si="73">$C364+$C411</f>
        <v>1000</v>
      </c>
      <c r="D583" s="2689">
        <f t="shared" ref="D583:D619" si="74">$D364+$G411</f>
        <v>0</v>
      </c>
      <c r="E583" s="2666">
        <f>C583+D583</f>
        <v>1000</v>
      </c>
      <c r="F583" s="2661">
        <f t="shared" ref="F583:F619" si="75">$E364+$E411</f>
        <v>6000</v>
      </c>
      <c r="G583" s="2661">
        <f t="shared" ref="G583:G619" si="76">$F364+$I411</f>
        <v>7170.5554117338652</v>
      </c>
      <c r="H583" s="2668">
        <f>F583+G583</f>
        <v>13170.555411733865</v>
      </c>
      <c r="I583" s="209">
        <f>IF(C533=0,0,(C583-F583)/C533)</f>
        <v>-4.5454545454545456E-2</v>
      </c>
      <c r="J583" s="209">
        <f>IF(D583=0,0,(D583-G583)/D533)</f>
        <v>0</v>
      </c>
      <c r="K583" s="209">
        <f>IF((C533+D533)=0,0,(C583+D583-F583-G583)/(C533+D533))</f>
        <v>-6.4055554798599285E-2</v>
      </c>
      <c r="L583" s="2683"/>
      <c r="M583" s="274"/>
    </row>
    <row r="584" spans="1:13" x14ac:dyDescent="0.25">
      <c r="A584" s="1336">
        <f>1+A583</f>
        <v>61</v>
      </c>
      <c r="B584" s="746">
        <f>1+B583</f>
        <v>56</v>
      </c>
      <c r="C584" s="2667">
        <f t="shared" si="73"/>
        <v>1010</v>
      </c>
      <c r="D584" s="2661">
        <f t="shared" si="74"/>
        <v>0</v>
      </c>
      <c r="E584" s="2668">
        <f t="shared" ref="E584:E619" si="77">C584+D584</f>
        <v>1010</v>
      </c>
      <c r="F584" s="2661">
        <f t="shared" si="75"/>
        <v>4973.4972335786078</v>
      </c>
      <c r="G584" s="2661">
        <f t="shared" si="76"/>
        <v>4973.4972335786078</v>
      </c>
      <c r="H584" s="2668">
        <f t="shared" ref="H584:H619" si="78">F584+G584</f>
        <v>9946.9944671572157</v>
      </c>
      <c r="I584" s="209">
        <f t="shared" ref="I584:I619" si="79">IF(C534=0,0,(C584-F584)/C534)</f>
        <v>-3.4651937144556055E-2</v>
      </c>
      <c r="J584" s="209">
        <f t="shared" ref="J584:J619" si="80">IF(D584=0,0,(D584-G584)/D534)</f>
        <v>0</v>
      </c>
      <c r="K584" s="209">
        <f t="shared" ref="K584:K619" si="81">IF((C534+D534)=0,0,(C584+D584-F584-G584)/(C534+D534))</f>
        <v>-4.5228734799918097E-2</v>
      </c>
      <c r="L584" s="2683"/>
      <c r="M584" s="274"/>
    </row>
    <row r="585" spans="1:13" x14ac:dyDescent="0.25">
      <c r="A585" s="1336">
        <f t="shared" ref="A585:A619" si="82">1+A584</f>
        <v>62</v>
      </c>
      <c r="B585" s="746">
        <f t="shared" ref="B585:B619" si="83">1+B584</f>
        <v>57</v>
      </c>
      <c r="C585" s="2667">
        <f t="shared" si="73"/>
        <v>1020.1</v>
      </c>
      <c r="D585" s="2661">
        <f t="shared" si="74"/>
        <v>0</v>
      </c>
      <c r="E585" s="2668">
        <f t="shared" si="77"/>
        <v>1020.1</v>
      </c>
      <c r="F585" s="2661">
        <f t="shared" si="75"/>
        <v>6729.3416916206461</v>
      </c>
      <c r="G585" s="2661">
        <f t="shared" si="76"/>
        <v>6729.3416916206461</v>
      </c>
      <c r="H585" s="2668">
        <f t="shared" si="78"/>
        <v>13458.683383241292</v>
      </c>
      <c r="I585" s="209">
        <f t="shared" si="79"/>
        <v>-4.8342572179613873E-2</v>
      </c>
      <c r="J585" s="209">
        <f t="shared" si="80"/>
        <v>0</v>
      </c>
      <c r="K585" s="209">
        <f t="shared" si="81"/>
        <v>-6.1017243193331926E-2</v>
      </c>
      <c r="L585" s="2683"/>
      <c r="M585" s="274"/>
    </row>
    <row r="586" spans="1:13" x14ac:dyDescent="0.25">
      <c r="A586" s="1336">
        <f t="shared" si="82"/>
        <v>63</v>
      </c>
      <c r="B586" s="746">
        <f t="shared" si="83"/>
        <v>58</v>
      </c>
      <c r="C586" s="2667">
        <f t="shared" si="73"/>
        <v>1030.3009999999999</v>
      </c>
      <c r="D586" s="2661">
        <f t="shared" si="74"/>
        <v>1200</v>
      </c>
      <c r="E586" s="2668">
        <f t="shared" si="77"/>
        <v>2230.3009999999999</v>
      </c>
      <c r="F586" s="2661">
        <f t="shared" si="75"/>
        <v>3656.9832599842712</v>
      </c>
      <c r="G586" s="2661">
        <f t="shared" si="76"/>
        <v>2018.8025074861939</v>
      </c>
      <c r="H586" s="2668">
        <f t="shared" si="78"/>
        <v>5675.7857674704646</v>
      </c>
      <c r="I586" s="209">
        <f t="shared" si="79"/>
        <v>-2.1759260415647373E-2</v>
      </c>
      <c r="J586" s="209">
        <f t="shared" si="80"/>
        <v>-9.39329387141709E-3</v>
      </c>
      <c r="K586" s="209">
        <f t="shared" si="81"/>
        <v>-1.657403865665133E-2</v>
      </c>
      <c r="L586" s="2683"/>
      <c r="M586" s="274"/>
    </row>
    <row r="587" spans="1:13" x14ac:dyDescent="0.25">
      <c r="A587" s="1336">
        <f t="shared" si="82"/>
        <v>64</v>
      </c>
      <c r="B587" s="746">
        <f t="shared" si="83"/>
        <v>59</v>
      </c>
      <c r="C587" s="2667">
        <f t="shared" si="73"/>
        <v>0</v>
      </c>
      <c r="D587" s="2661">
        <f t="shared" si="74"/>
        <v>1200</v>
      </c>
      <c r="E587" s="2668">
        <f t="shared" si="77"/>
        <v>1200</v>
      </c>
      <c r="F587" s="2661">
        <f t="shared" si="75"/>
        <v>4037.6050149723878</v>
      </c>
      <c r="G587" s="2661">
        <f t="shared" si="76"/>
        <v>1500</v>
      </c>
      <c r="H587" s="2668">
        <f t="shared" si="78"/>
        <v>5537.6050149723878</v>
      </c>
      <c r="I587" s="209">
        <f t="shared" si="79"/>
        <v>-3.6678093735415321E-2</v>
      </c>
      <c r="J587" s="209">
        <f t="shared" si="80"/>
        <v>-3.9212157769418898E-3</v>
      </c>
      <c r="K587" s="209">
        <f t="shared" si="81"/>
        <v>-2.3246832422054574E-2</v>
      </c>
      <c r="L587" s="2683"/>
      <c r="M587" s="274"/>
    </row>
    <row r="588" spans="1:13" x14ac:dyDescent="0.25">
      <c r="A588" s="1336">
        <f t="shared" si="82"/>
        <v>65</v>
      </c>
      <c r="B588" s="746">
        <f t="shared" si="83"/>
        <v>60</v>
      </c>
      <c r="C588" s="2667">
        <f t="shared" si="73"/>
        <v>0</v>
      </c>
      <c r="D588" s="2661">
        <f t="shared" si="74"/>
        <v>1200</v>
      </c>
      <c r="E588" s="2668">
        <f t="shared" si="77"/>
        <v>1200</v>
      </c>
      <c r="F588" s="2661">
        <f t="shared" si="75"/>
        <v>1500</v>
      </c>
      <c r="G588" s="2661">
        <f t="shared" si="76"/>
        <v>44372.778028580477</v>
      </c>
      <c r="H588" s="2668">
        <f t="shared" si="78"/>
        <v>45872.778028580477</v>
      </c>
      <c r="I588" s="209">
        <f t="shared" si="79"/>
        <v>-1.5078040489700342E-2</v>
      </c>
      <c r="J588" s="209">
        <f t="shared" si="80"/>
        <v>-0.64587089010212018</v>
      </c>
      <c r="K588" s="209">
        <f t="shared" si="81"/>
        <v>-0.26858451374250886</v>
      </c>
      <c r="L588" s="2683"/>
      <c r="M588" s="274"/>
    </row>
    <row r="589" spans="1:13" x14ac:dyDescent="0.25">
      <c r="A589" s="1336">
        <f t="shared" si="82"/>
        <v>66</v>
      </c>
      <c r="B589" s="746">
        <f t="shared" si="83"/>
        <v>61</v>
      </c>
      <c r="C589" s="2667">
        <f t="shared" si="73"/>
        <v>1400</v>
      </c>
      <c r="D589" s="2661">
        <f t="shared" si="74"/>
        <v>2240.4</v>
      </c>
      <c r="E589" s="2668">
        <f t="shared" si="77"/>
        <v>3640.4</v>
      </c>
      <c r="F589" s="2661">
        <f t="shared" si="75"/>
        <v>0</v>
      </c>
      <c r="G589" s="2661">
        <f t="shared" si="76"/>
        <v>604.93259870199824</v>
      </c>
      <c r="H589" s="2668">
        <f t="shared" si="78"/>
        <v>604.93259870199824</v>
      </c>
      <c r="I589" s="209">
        <f t="shared" si="79"/>
        <v>1.50698874812731E-2</v>
      </c>
      <c r="J589" s="209">
        <f t="shared" si="80"/>
        <v>2.7035530979934264E-2</v>
      </c>
      <c r="K589" s="209">
        <f t="shared" si="81"/>
        <v>1.9788728768907506E-2</v>
      </c>
      <c r="L589" s="2683"/>
      <c r="M589" s="274"/>
    </row>
    <row r="590" spans="1:13" x14ac:dyDescent="0.25">
      <c r="A590" s="1336">
        <f t="shared" si="82"/>
        <v>67</v>
      </c>
      <c r="B590" s="746">
        <f t="shared" si="83"/>
        <v>62</v>
      </c>
      <c r="C590" s="2667">
        <f t="shared" si="73"/>
        <v>0</v>
      </c>
      <c r="D590" s="2661">
        <f t="shared" si="74"/>
        <v>1200</v>
      </c>
      <c r="E590" s="2668">
        <f t="shared" si="77"/>
        <v>1200</v>
      </c>
      <c r="F590" s="2661">
        <f t="shared" si="75"/>
        <v>7373.2472420522972</v>
      </c>
      <c r="G590" s="2661">
        <f t="shared" si="76"/>
        <v>679.39833085934879</v>
      </c>
      <c r="H590" s="2668">
        <f t="shared" si="78"/>
        <v>8052.645572911646</v>
      </c>
      <c r="I590" s="209">
        <f t="shared" si="79"/>
        <v>-5.7681222135503529E-2</v>
      </c>
      <c r="J590" s="209">
        <f t="shared" si="80"/>
        <v>7.6626869024267272E-3</v>
      </c>
      <c r="K590" s="209">
        <f t="shared" si="81"/>
        <v>-3.5004027319366748E-2</v>
      </c>
      <c r="L590" s="2683"/>
      <c r="M590" s="274"/>
    </row>
    <row r="591" spans="1:13" x14ac:dyDescent="0.25">
      <c r="A591" s="1336">
        <f t="shared" si="82"/>
        <v>68</v>
      </c>
      <c r="B591" s="746">
        <f t="shared" si="83"/>
        <v>63</v>
      </c>
      <c r="C591" s="2667">
        <f t="shared" si="73"/>
        <v>0</v>
      </c>
      <c r="D591" s="2661">
        <f t="shared" si="74"/>
        <v>1200</v>
      </c>
      <c r="E591" s="2668">
        <f t="shared" si="77"/>
        <v>1200</v>
      </c>
      <c r="F591" s="2661">
        <f t="shared" si="75"/>
        <v>38963.68288815704</v>
      </c>
      <c r="G591" s="2661">
        <f t="shared" si="76"/>
        <v>3546.3620179471773</v>
      </c>
      <c r="H591" s="2668">
        <f t="shared" si="78"/>
        <v>42510.044906104216</v>
      </c>
      <c r="I591" s="209">
        <f t="shared" si="79"/>
        <v>-0.23437455359336223</v>
      </c>
      <c r="J591" s="209">
        <f t="shared" si="80"/>
        <v>-3.2099909090698528E-2</v>
      </c>
      <c r="K591" s="209">
        <f t="shared" si="81"/>
        <v>-0.17259914391894476</v>
      </c>
      <c r="L591" s="2683"/>
      <c r="M591" s="274"/>
    </row>
    <row r="592" spans="1:13" x14ac:dyDescent="0.25">
      <c r="A592" s="1336">
        <f t="shared" si="82"/>
        <v>69</v>
      </c>
      <c r="B592" s="746">
        <f t="shared" si="83"/>
        <v>64</v>
      </c>
      <c r="C592" s="2667">
        <f t="shared" si="73"/>
        <v>0</v>
      </c>
      <c r="D592" s="2661">
        <f t="shared" si="74"/>
        <v>1200</v>
      </c>
      <c r="E592" s="2668">
        <f t="shared" si="77"/>
        <v>1200</v>
      </c>
      <c r="F592" s="2661">
        <f t="shared" si="75"/>
        <v>3109.1284077425021</v>
      </c>
      <c r="G592" s="2661">
        <f t="shared" si="76"/>
        <v>924.62425386582709</v>
      </c>
      <c r="H592" s="2668">
        <f t="shared" si="78"/>
        <v>4033.7526616083292</v>
      </c>
      <c r="I592" s="209">
        <f t="shared" si="79"/>
        <v>-1.6802026982938457E-2</v>
      </c>
      <c r="J592" s="209">
        <f t="shared" si="80"/>
        <v>2.9782448922666149E-3</v>
      </c>
      <c r="K592" s="209">
        <f t="shared" si="81"/>
        <v>-1.0211453922673116E-2</v>
      </c>
      <c r="L592" s="2683"/>
      <c r="M592" s="274"/>
    </row>
    <row r="593" spans="1:13" x14ac:dyDescent="0.25">
      <c r="A593" s="1336">
        <f t="shared" si="82"/>
        <v>70</v>
      </c>
      <c r="B593" s="746">
        <f t="shared" si="83"/>
        <v>65</v>
      </c>
      <c r="C593" s="2667">
        <f t="shared" si="73"/>
        <v>0</v>
      </c>
      <c r="D593" s="2661">
        <f t="shared" si="74"/>
        <v>1200</v>
      </c>
      <c r="E593" s="2668">
        <f t="shared" si="77"/>
        <v>1200</v>
      </c>
      <c r="F593" s="2661">
        <f t="shared" si="75"/>
        <v>6764.4577884399123</v>
      </c>
      <c r="G593" s="2661">
        <f t="shared" si="76"/>
        <v>1008.5332669059877</v>
      </c>
      <c r="H593" s="2668">
        <f t="shared" si="78"/>
        <v>7772.9910553459003</v>
      </c>
      <c r="I593" s="209">
        <f t="shared" si="79"/>
        <v>-2.9933770723113932E-2</v>
      </c>
      <c r="J593" s="209">
        <f t="shared" si="80"/>
        <v>1.898467203579713E-3</v>
      </c>
      <c r="K593" s="209">
        <f t="shared" si="81"/>
        <v>-2.0111090900746417E-2</v>
      </c>
      <c r="L593" s="2683"/>
      <c r="M593" s="274"/>
    </row>
    <row r="594" spans="1:13" x14ac:dyDescent="0.25">
      <c r="A594" s="1336">
        <f t="shared" si="82"/>
        <v>71</v>
      </c>
      <c r="B594" s="746">
        <f t="shared" si="83"/>
        <v>66</v>
      </c>
      <c r="C594" s="2667">
        <f t="shared" si="73"/>
        <v>0</v>
      </c>
      <c r="D594" s="2661">
        <f t="shared" si="74"/>
        <v>1200</v>
      </c>
      <c r="E594" s="2668">
        <f t="shared" si="77"/>
        <v>1200</v>
      </c>
      <c r="F594" s="2661">
        <f t="shared" si="75"/>
        <v>9845.561683330563</v>
      </c>
      <c r="G594" s="2661">
        <f t="shared" si="76"/>
        <v>1102.0300527827753</v>
      </c>
      <c r="H594" s="2668">
        <f t="shared" si="78"/>
        <v>10947.591736113338</v>
      </c>
      <c r="I594" s="209">
        <f t="shared" si="79"/>
        <v>-3.4684823989305107E-2</v>
      </c>
      <c r="J594" s="209">
        <f t="shared" si="80"/>
        <v>8.8899524082702895E-4</v>
      </c>
      <c r="K594" s="209">
        <f t="shared" si="81"/>
        <v>-2.4736256075628096E-2</v>
      </c>
      <c r="L594" s="2683"/>
      <c r="M594" s="274"/>
    </row>
    <row r="595" spans="1:13" x14ac:dyDescent="0.25">
      <c r="A595" s="1336">
        <f t="shared" si="82"/>
        <v>72</v>
      </c>
      <c r="B595" s="746">
        <f t="shared" si="83"/>
        <v>67</v>
      </c>
      <c r="C595" s="2667">
        <f t="shared" si="73"/>
        <v>0</v>
      </c>
      <c r="D595" s="2661">
        <f t="shared" si="74"/>
        <v>1200</v>
      </c>
      <c r="E595" s="2668">
        <f t="shared" si="77"/>
        <v>1200</v>
      </c>
      <c r="F595" s="2661">
        <f t="shared" si="75"/>
        <v>4503.0267272611982</v>
      </c>
      <c r="G595" s="2661">
        <f t="shared" si="76"/>
        <v>1286.4762530081027</v>
      </c>
      <c r="H595" s="2668">
        <f t="shared" si="78"/>
        <v>5789.5029802693007</v>
      </c>
      <c r="I595" s="209">
        <f t="shared" si="79"/>
        <v>-1.2928487433118419E-2</v>
      </c>
      <c r="J595" s="209">
        <f t="shared" si="80"/>
        <v>-6.7219470865396589E-4</v>
      </c>
      <c r="K595" s="209">
        <f t="shared" si="81"/>
        <v>-9.6226021857106856E-3</v>
      </c>
      <c r="L595" s="2683"/>
      <c r="M595" s="274"/>
    </row>
    <row r="596" spans="1:13" x14ac:dyDescent="0.25">
      <c r="A596" s="1336">
        <f t="shared" si="82"/>
        <v>73</v>
      </c>
      <c r="B596" s="746">
        <f t="shared" si="83"/>
        <v>68</v>
      </c>
      <c r="C596" s="2667">
        <f t="shared" si="73"/>
        <v>0</v>
      </c>
      <c r="D596" s="2661">
        <f t="shared" si="74"/>
        <v>1200</v>
      </c>
      <c r="E596" s="2668">
        <f t="shared" si="77"/>
        <v>1200</v>
      </c>
      <c r="F596" s="2661">
        <f t="shared" si="75"/>
        <v>7330.8458278827966</v>
      </c>
      <c r="G596" s="2661">
        <f t="shared" si="76"/>
        <v>1613.7757376870413</v>
      </c>
      <c r="H596" s="2668">
        <f t="shared" si="78"/>
        <v>8944.6215655698379</v>
      </c>
      <c r="I596" s="209">
        <f t="shared" si="79"/>
        <v>-1.9211478052392216E-2</v>
      </c>
      <c r="J596" s="209">
        <f t="shared" si="80"/>
        <v>-2.5640225467764757E-3</v>
      </c>
      <c r="K596" s="209">
        <f t="shared" si="81"/>
        <v>-1.4263591478929975E-2</v>
      </c>
      <c r="L596" s="2683"/>
      <c r="M596" s="274"/>
    </row>
    <row r="597" spans="1:13" x14ac:dyDescent="0.25">
      <c r="A597" s="1336">
        <f t="shared" si="82"/>
        <v>74</v>
      </c>
      <c r="B597" s="746">
        <f t="shared" si="83"/>
        <v>69</v>
      </c>
      <c r="C597" s="2667">
        <f t="shared" si="73"/>
        <v>0</v>
      </c>
      <c r="D597" s="2661">
        <f t="shared" si="74"/>
        <v>0</v>
      </c>
      <c r="E597" s="2668">
        <f t="shared" si="77"/>
        <v>0</v>
      </c>
      <c r="F597" s="2661">
        <f t="shared" si="75"/>
        <v>5380.3505105059739</v>
      </c>
      <c r="G597" s="2661">
        <f t="shared" si="76"/>
        <v>8050.5948403294924</v>
      </c>
      <c r="H597" s="2668">
        <f t="shared" si="78"/>
        <v>13430.945350835467</v>
      </c>
      <c r="I597" s="209">
        <f t="shared" si="79"/>
        <v>-1.2929320138630592E-2</v>
      </c>
      <c r="J597" s="209">
        <f t="shared" si="80"/>
        <v>0</v>
      </c>
      <c r="K597" s="209">
        <f t="shared" si="81"/>
        <v>-2.1956828235307101E-2</v>
      </c>
      <c r="L597" s="2683"/>
      <c r="M597" s="274"/>
    </row>
    <row r="598" spans="1:13" x14ac:dyDescent="0.25">
      <c r="A598" s="1336">
        <f t="shared" si="82"/>
        <v>75</v>
      </c>
      <c r="B598" s="746">
        <f t="shared" si="83"/>
        <v>70</v>
      </c>
      <c r="C598" s="2667">
        <f t="shared" si="73"/>
        <v>0</v>
      </c>
      <c r="D598" s="2661">
        <f t="shared" si="74"/>
        <v>0</v>
      </c>
      <c r="E598" s="2668">
        <f t="shared" si="77"/>
        <v>0</v>
      </c>
      <c r="F598" s="2661">
        <f t="shared" si="75"/>
        <v>17197.327716682845</v>
      </c>
      <c r="G598" s="2661">
        <f t="shared" si="76"/>
        <v>8636.7531966299557</v>
      </c>
      <c r="H598" s="2668">
        <f t="shared" si="78"/>
        <v>25834.080913312799</v>
      </c>
      <c r="I598" s="209">
        <f t="shared" si="79"/>
        <v>-3.8090080618942757E-2</v>
      </c>
      <c r="J598" s="209">
        <f t="shared" si="80"/>
        <v>0</v>
      </c>
      <c r="K598" s="209">
        <f t="shared" si="81"/>
        <v>-3.7932979112339484E-2</v>
      </c>
      <c r="L598" s="2683"/>
      <c r="M598" s="274"/>
    </row>
    <row r="599" spans="1:13" x14ac:dyDescent="0.25">
      <c r="A599" s="1336">
        <f t="shared" si="82"/>
        <v>76</v>
      </c>
      <c r="B599" s="746">
        <f t="shared" si="83"/>
        <v>71</v>
      </c>
      <c r="C599" s="2667">
        <f t="shared" si="73"/>
        <v>0</v>
      </c>
      <c r="D599" s="2661">
        <f t="shared" si="74"/>
        <v>0</v>
      </c>
      <c r="E599" s="2668">
        <f t="shared" si="77"/>
        <v>0</v>
      </c>
      <c r="F599" s="2661">
        <f t="shared" si="75"/>
        <v>3900.2526203075686</v>
      </c>
      <c r="G599" s="2661">
        <f t="shared" si="76"/>
        <v>1669.1376346170464</v>
      </c>
      <c r="H599" s="2668">
        <f t="shared" si="78"/>
        <v>5569.390254924615</v>
      </c>
      <c r="I599" s="209">
        <f t="shared" si="79"/>
        <v>-0.01</v>
      </c>
      <c r="J599" s="209">
        <f t="shared" si="80"/>
        <v>0</v>
      </c>
      <c r="K599" s="209">
        <f t="shared" si="81"/>
        <v>-0.01</v>
      </c>
      <c r="L599" s="2683"/>
      <c r="M599" s="274"/>
    </row>
    <row r="600" spans="1:13" x14ac:dyDescent="0.25">
      <c r="A600" s="1336">
        <f t="shared" si="82"/>
        <v>77</v>
      </c>
      <c r="B600" s="746">
        <f t="shared" si="83"/>
        <v>72</v>
      </c>
      <c r="C600" s="2667">
        <f t="shared" si="73"/>
        <v>0</v>
      </c>
      <c r="D600" s="2661">
        <f t="shared" si="74"/>
        <v>0</v>
      </c>
      <c r="E600" s="2668">
        <f t="shared" si="77"/>
        <v>0</v>
      </c>
      <c r="F600" s="2661">
        <f t="shared" si="75"/>
        <v>21550.735626209207</v>
      </c>
      <c r="G600" s="2661">
        <f t="shared" si="76"/>
        <v>19206.236352934306</v>
      </c>
      <c r="H600" s="2668">
        <f t="shared" si="78"/>
        <v>40756.971979143513</v>
      </c>
      <c r="I600" s="209">
        <f t="shared" si="79"/>
        <v>-5.1180452869254697E-2</v>
      </c>
      <c r="J600" s="209">
        <f t="shared" si="80"/>
        <v>0</v>
      </c>
      <c r="K600" s="209">
        <f t="shared" si="81"/>
        <v>-6.7067895193566068E-2</v>
      </c>
      <c r="L600" s="2683"/>
      <c r="M600" s="274"/>
    </row>
    <row r="601" spans="1:13" x14ac:dyDescent="0.25">
      <c r="A601" s="1336">
        <f t="shared" si="82"/>
        <v>78</v>
      </c>
      <c r="B601" s="746">
        <f t="shared" si="83"/>
        <v>73</v>
      </c>
      <c r="C601" s="2667">
        <f t="shared" si="73"/>
        <v>0</v>
      </c>
      <c r="D601" s="2661">
        <f t="shared" si="74"/>
        <v>0</v>
      </c>
      <c r="E601" s="2668">
        <f t="shared" si="77"/>
        <v>0</v>
      </c>
      <c r="F601" s="2661">
        <f t="shared" si="75"/>
        <v>22239.144519391026</v>
      </c>
      <c r="G601" s="2661">
        <f t="shared" si="76"/>
        <v>19769.739956668913</v>
      </c>
      <c r="H601" s="2668">
        <f t="shared" si="78"/>
        <v>42008.884476059939</v>
      </c>
      <c r="I601" s="209">
        <f t="shared" si="79"/>
        <v>-4.8852068257711739E-2</v>
      </c>
      <c r="J601" s="209">
        <f t="shared" si="80"/>
        <v>0</v>
      </c>
      <c r="K601" s="209">
        <f t="shared" si="81"/>
        <v>-6.33113540611977E-2</v>
      </c>
      <c r="L601" s="2683"/>
      <c r="M601" s="274"/>
    </row>
    <row r="602" spans="1:13" x14ac:dyDescent="0.25">
      <c r="A602" s="1336">
        <f t="shared" si="82"/>
        <v>79</v>
      </c>
      <c r="B602" s="746">
        <f t="shared" si="83"/>
        <v>74</v>
      </c>
      <c r="C602" s="2667">
        <f t="shared" si="73"/>
        <v>0</v>
      </c>
      <c r="D602" s="2661">
        <f t="shared" si="74"/>
        <v>0</v>
      </c>
      <c r="E602" s="2668">
        <f t="shared" si="77"/>
        <v>0</v>
      </c>
      <c r="F602" s="2661">
        <f t="shared" si="75"/>
        <v>22946.120193141087</v>
      </c>
      <c r="G602" s="2661">
        <f t="shared" si="76"/>
        <v>20348.88601111247</v>
      </c>
      <c r="H602" s="2668">
        <f t="shared" si="78"/>
        <v>43295.006204253557</v>
      </c>
      <c r="I602" s="209">
        <f t="shared" si="79"/>
        <v>-4.677550988773977E-2</v>
      </c>
      <c r="J602" s="209">
        <f t="shared" si="80"/>
        <v>0</v>
      </c>
      <c r="K602" s="209">
        <f t="shared" si="81"/>
        <v>-6.0015804106898399E-2</v>
      </c>
      <c r="L602" s="2683"/>
      <c r="M602" s="274"/>
    </row>
    <row r="603" spans="1:13" x14ac:dyDescent="0.25">
      <c r="A603" s="1336">
        <f t="shared" si="82"/>
        <v>80</v>
      </c>
      <c r="B603" s="746">
        <f t="shared" si="83"/>
        <v>75</v>
      </c>
      <c r="C603" s="2667">
        <f t="shared" si="73"/>
        <v>0</v>
      </c>
      <c r="D603" s="2661">
        <f t="shared" si="74"/>
        <v>0</v>
      </c>
      <c r="E603" s="2668">
        <f t="shared" si="77"/>
        <v>0</v>
      </c>
      <c r="F603" s="2661">
        <f t="shared" si="75"/>
        <v>23613.957617016997</v>
      </c>
      <c r="G603" s="2661">
        <f t="shared" si="76"/>
        <v>20867.419670522027</v>
      </c>
      <c r="H603" s="2668">
        <f t="shared" si="78"/>
        <v>44481.377287539028</v>
      </c>
      <c r="I603" s="209">
        <f t="shared" si="79"/>
        <v>-4.5301592778640903E-2</v>
      </c>
      <c r="J603" s="209">
        <f t="shared" si="80"/>
        <v>0</v>
      </c>
      <c r="K603" s="209">
        <f t="shared" si="81"/>
        <v>-5.7928387430347304E-2</v>
      </c>
      <c r="L603" s="2683"/>
      <c r="M603" s="274"/>
    </row>
    <row r="604" spans="1:13" x14ac:dyDescent="0.25">
      <c r="A604" s="1336">
        <f t="shared" si="82"/>
        <v>81</v>
      </c>
      <c r="B604" s="746">
        <f t="shared" si="83"/>
        <v>76</v>
      </c>
      <c r="C604" s="2667">
        <f t="shared" si="73"/>
        <v>0</v>
      </c>
      <c r="D604" s="2661">
        <f t="shared" si="74"/>
        <v>0</v>
      </c>
      <c r="E604" s="2668">
        <f t="shared" si="77"/>
        <v>0</v>
      </c>
      <c r="F604" s="2661">
        <f t="shared" si="75"/>
        <v>5529.2896399179945</v>
      </c>
      <c r="G604" s="2661">
        <f t="shared" si="76"/>
        <v>2648.9631901995831</v>
      </c>
      <c r="H604" s="2668">
        <f t="shared" si="78"/>
        <v>8178.2528301175771</v>
      </c>
      <c r="I604" s="209">
        <f t="shared" si="79"/>
        <v>-0.01</v>
      </c>
      <c r="J604" s="209">
        <f t="shared" si="80"/>
        <v>0</v>
      </c>
      <c r="K604" s="209">
        <f t="shared" si="81"/>
        <v>-9.9999999999999985E-3</v>
      </c>
      <c r="L604" s="2683"/>
      <c r="M604" s="274"/>
    </row>
    <row r="605" spans="1:13" x14ac:dyDescent="0.25">
      <c r="A605" s="1336">
        <f t="shared" si="82"/>
        <v>82</v>
      </c>
      <c r="B605" s="746">
        <f t="shared" si="83"/>
        <v>77</v>
      </c>
      <c r="C605" s="2667">
        <f t="shared" si="73"/>
        <v>0</v>
      </c>
      <c r="D605" s="2661">
        <f t="shared" si="74"/>
        <v>0</v>
      </c>
      <c r="E605" s="2668">
        <f t="shared" si="77"/>
        <v>0</v>
      </c>
      <c r="F605" s="2661">
        <f t="shared" si="75"/>
        <v>5855.8576690854934</v>
      </c>
      <c r="G605" s="2661">
        <f t="shared" si="76"/>
        <v>2825.1347226781636</v>
      </c>
      <c r="H605" s="2668">
        <f t="shared" si="78"/>
        <v>8680.992391763657</v>
      </c>
      <c r="I605" s="209">
        <f t="shared" si="79"/>
        <v>-0.01</v>
      </c>
      <c r="J605" s="209">
        <f t="shared" si="80"/>
        <v>0</v>
      </c>
      <c r="K605" s="209">
        <f t="shared" si="81"/>
        <v>-9.9999999999999985E-3</v>
      </c>
      <c r="L605" s="2683"/>
      <c r="M605" s="274"/>
    </row>
    <row r="606" spans="1:13" x14ac:dyDescent="0.25">
      <c r="A606" s="1336">
        <f t="shared" si="82"/>
        <v>83</v>
      </c>
      <c r="B606" s="746">
        <f t="shared" si="83"/>
        <v>78</v>
      </c>
      <c r="C606" s="2667">
        <f t="shared" si="73"/>
        <v>0</v>
      </c>
      <c r="D606" s="2661">
        <f t="shared" si="74"/>
        <v>0</v>
      </c>
      <c r="E606" s="2668">
        <f t="shared" si="77"/>
        <v>0</v>
      </c>
      <c r="F606" s="2661">
        <f t="shared" si="75"/>
        <v>24233.179769165297</v>
      </c>
      <c r="G606" s="2661">
        <f t="shared" si="76"/>
        <v>21047.930659682359</v>
      </c>
      <c r="H606" s="2668">
        <f t="shared" si="78"/>
        <v>45281.110428847656</v>
      </c>
      <c r="I606" s="209">
        <f t="shared" si="79"/>
        <v>-3.9132203744430279E-2</v>
      </c>
      <c r="J606" s="209">
        <f t="shared" si="80"/>
        <v>0</v>
      </c>
      <c r="K606" s="209">
        <f t="shared" si="81"/>
        <v>-4.921839270460452E-2</v>
      </c>
      <c r="L606" s="2683"/>
      <c r="M606" s="274"/>
    </row>
    <row r="607" spans="1:13" x14ac:dyDescent="0.25">
      <c r="A607" s="1336">
        <f t="shared" si="82"/>
        <v>84</v>
      </c>
      <c r="B607" s="746">
        <f t="shared" si="83"/>
        <v>79</v>
      </c>
      <c r="C607" s="2667">
        <f t="shared" si="73"/>
        <v>0</v>
      </c>
      <c r="D607" s="2661">
        <f t="shared" si="74"/>
        <v>0</v>
      </c>
      <c r="E607" s="2668">
        <f t="shared" si="77"/>
        <v>0</v>
      </c>
      <c r="F607" s="2661">
        <f t="shared" si="75"/>
        <v>24941.301091275793</v>
      </c>
      <c r="G607" s="2661">
        <f t="shared" si="76"/>
        <v>21597.569196341901</v>
      </c>
      <c r="H607" s="2668">
        <f t="shared" si="78"/>
        <v>46538.870287617698</v>
      </c>
      <c r="I607" s="209">
        <f t="shared" si="79"/>
        <v>-3.8136812086672599E-2</v>
      </c>
      <c r="J607" s="209">
        <f t="shared" si="80"/>
        <v>0</v>
      </c>
      <c r="K607" s="209">
        <f t="shared" si="81"/>
        <v>-4.7799943464466872E-2</v>
      </c>
      <c r="L607" s="2683"/>
      <c r="M607" s="274"/>
    </row>
    <row r="608" spans="1:13" x14ac:dyDescent="0.25">
      <c r="A608" s="1336">
        <f t="shared" si="82"/>
        <v>85</v>
      </c>
      <c r="B608" s="746">
        <f t="shared" si="83"/>
        <v>80</v>
      </c>
      <c r="C608" s="2667">
        <f t="shared" si="73"/>
        <v>0</v>
      </c>
      <c r="D608" s="2661">
        <f t="shared" si="74"/>
        <v>0</v>
      </c>
      <c r="E608" s="2668">
        <f t="shared" si="77"/>
        <v>0</v>
      </c>
      <c r="F608" s="2661">
        <f t="shared" si="75"/>
        <v>25667.479466548095</v>
      </c>
      <c r="G608" s="2661">
        <f t="shared" si="76"/>
        <v>22160.934447480744</v>
      </c>
      <c r="H608" s="2668">
        <f t="shared" si="78"/>
        <v>47828.413914028839</v>
      </c>
      <c r="I608" s="209">
        <f t="shared" si="79"/>
        <v>-3.7209460343947884E-2</v>
      </c>
      <c r="J608" s="209">
        <f t="shared" si="80"/>
        <v>0</v>
      </c>
      <c r="K608" s="209">
        <f t="shared" si="81"/>
        <v>-4.6481986004992766E-2</v>
      </c>
      <c r="L608" s="2683"/>
      <c r="M608" s="274"/>
    </row>
    <row r="609" spans="1:13" x14ac:dyDescent="0.25">
      <c r="A609" s="1336">
        <f t="shared" si="82"/>
        <v>86</v>
      </c>
      <c r="B609" s="746">
        <f t="shared" si="83"/>
        <v>81</v>
      </c>
      <c r="C609" s="2667">
        <f t="shared" si="73"/>
        <v>0</v>
      </c>
      <c r="D609" s="2661">
        <f t="shared" si="74"/>
        <v>0</v>
      </c>
      <c r="E609" s="2668">
        <f t="shared" si="77"/>
        <v>0</v>
      </c>
      <c r="F609" s="2661">
        <f t="shared" si="75"/>
        <v>19144.761127488</v>
      </c>
      <c r="G609" s="2661">
        <f t="shared" si="76"/>
        <v>24326.405642428788</v>
      </c>
      <c r="H609" s="2668">
        <f t="shared" si="78"/>
        <v>43471.166769916788</v>
      </c>
      <c r="I609" s="209">
        <f t="shared" si="79"/>
        <v>-2.7835263304925067E-2</v>
      </c>
      <c r="J609" s="209">
        <f t="shared" si="80"/>
        <v>0</v>
      </c>
      <c r="K609" s="209">
        <f t="shared" si="81"/>
        <v>-3.6047163681214849E-2</v>
      </c>
      <c r="L609" s="2683"/>
      <c r="M609" s="274"/>
    </row>
    <row r="610" spans="1:13" x14ac:dyDescent="0.25">
      <c r="A610" s="1336">
        <f t="shared" si="82"/>
        <v>87</v>
      </c>
      <c r="B610" s="746">
        <f t="shared" si="83"/>
        <v>82</v>
      </c>
      <c r="C610" s="2667">
        <f t="shared" si="73"/>
        <v>0</v>
      </c>
      <c r="D610" s="2661">
        <f t="shared" si="74"/>
        <v>0</v>
      </c>
      <c r="E610" s="2668">
        <f t="shared" si="77"/>
        <v>0</v>
      </c>
      <c r="F610" s="2661">
        <f t="shared" si="75"/>
        <v>0</v>
      </c>
      <c r="G610" s="2661">
        <f t="shared" si="76"/>
        <v>5277.5508513253544</v>
      </c>
      <c r="H610" s="2668">
        <f t="shared" si="78"/>
        <v>5277.5508513253544</v>
      </c>
      <c r="I610" s="209">
        <f t="shared" si="79"/>
        <v>0</v>
      </c>
      <c r="J610" s="209">
        <f t="shared" si="80"/>
        <v>0</v>
      </c>
      <c r="K610" s="209">
        <f t="shared" si="81"/>
        <v>-4.2877171143236078E-3</v>
      </c>
      <c r="L610" s="2683"/>
      <c r="M610" s="274"/>
    </row>
    <row r="611" spans="1:13" x14ac:dyDescent="0.25">
      <c r="A611" s="1336">
        <f t="shared" si="82"/>
        <v>88</v>
      </c>
      <c r="B611" s="746">
        <f t="shared" si="83"/>
        <v>83</v>
      </c>
      <c r="C611" s="2667">
        <f t="shared" si="73"/>
        <v>0</v>
      </c>
      <c r="D611" s="2661">
        <f t="shared" si="74"/>
        <v>0</v>
      </c>
      <c r="E611" s="2668">
        <f t="shared" si="77"/>
        <v>0</v>
      </c>
      <c r="F611" s="2661">
        <f t="shared" si="75"/>
        <v>0</v>
      </c>
      <c r="G611" s="2661">
        <f t="shared" si="76"/>
        <v>5373.7142497786217</v>
      </c>
      <c r="H611" s="2668">
        <f t="shared" si="78"/>
        <v>5373.7142497786217</v>
      </c>
      <c r="I611" s="209">
        <f t="shared" si="79"/>
        <v>0</v>
      </c>
      <c r="J611" s="209">
        <f t="shared" si="80"/>
        <v>0</v>
      </c>
      <c r="K611" s="209">
        <f t="shared" si="81"/>
        <v>-4.2785476698066136E-3</v>
      </c>
      <c r="L611" s="2683"/>
      <c r="M611" s="274"/>
    </row>
    <row r="612" spans="1:13" x14ac:dyDescent="0.25">
      <c r="A612" s="1336">
        <f t="shared" si="82"/>
        <v>89</v>
      </c>
      <c r="B612" s="746">
        <f t="shared" si="83"/>
        <v>84</v>
      </c>
      <c r="C612" s="2667">
        <f t="shared" si="73"/>
        <v>0</v>
      </c>
      <c r="D612" s="2661">
        <f t="shared" si="74"/>
        <v>0</v>
      </c>
      <c r="E612" s="2668">
        <f t="shared" si="77"/>
        <v>0</v>
      </c>
      <c r="F612" s="2661">
        <f t="shared" si="75"/>
        <v>3000</v>
      </c>
      <c r="G612" s="2661">
        <f t="shared" si="76"/>
        <v>5470.1230807073634</v>
      </c>
      <c r="H612" s="2668">
        <f t="shared" si="78"/>
        <v>8470.1230807073625</v>
      </c>
      <c r="I612" s="209">
        <f t="shared" si="79"/>
        <v>-4.0856228889493062E-3</v>
      </c>
      <c r="J612" s="209">
        <f t="shared" si="80"/>
        <v>0</v>
      </c>
      <c r="K612" s="209">
        <f t="shared" si="81"/>
        <v>-6.6105983374822042E-3</v>
      </c>
      <c r="L612" s="2683"/>
      <c r="M612" s="274"/>
    </row>
    <row r="613" spans="1:13" x14ac:dyDescent="0.25">
      <c r="A613" s="1336">
        <f t="shared" si="82"/>
        <v>90</v>
      </c>
      <c r="B613" s="746">
        <f t="shared" si="83"/>
        <v>85</v>
      </c>
      <c r="C613" s="2667">
        <f t="shared" si="73"/>
        <v>0</v>
      </c>
      <c r="D613" s="2661">
        <f t="shared" si="74"/>
        <v>0</v>
      </c>
      <c r="E613" s="2668">
        <f t="shared" si="77"/>
        <v>0</v>
      </c>
      <c r="F613" s="2661">
        <f t="shared" si="75"/>
        <v>3000</v>
      </c>
      <c r="G613" s="2661">
        <f t="shared" si="76"/>
        <v>5566.7683079070084</v>
      </c>
      <c r="H613" s="2668">
        <f t="shared" si="78"/>
        <v>8566.7683079070084</v>
      </c>
      <c r="I613" s="209">
        <f t="shared" si="79"/>
        <v>-3.9991413373892341E-3</v>
      </c>
      <c r="J613" s="209">
        <f t="shared" si="80"/>
        <v>0</v>
      </c>
      <c r="K613" s="209">
        <f t="shared" si="81"/>
        <v>-6.5553413625170816E-3</v>
      </c>
      <c r="L613" s="2683"/>
      <c r="M613" s="274"/>
    </row>
    <row r="614" spans="1:13" s="1382" customFormat="1" ht="15.75" x14ac:dyDescent="0.25">
      <c r="A614" s="1336">
        <f t="shared" si="82"/>
        <v>91</v>
      </c>
      <c r="B614" s="746">
        <f t="shared" si="83"/>
        <v>86</v>
      </c>
      <c r="C614" s="2667">
        <f t="shared" si="73"/>
        <v>0</v>
      </c>
      <c r="D614" s="2661">
        <f t="shared" si="74"/>
        <v>0</v>
      </c>
      <c r="E614" s="2668">
        <f t="shared" si="77"/>
        <v>0</v>
      </c>
      <c r="F614" s="2661">
        <f t="shared" si="75"/>
        <v>3000</v>
      </c>
      <c r="G614" s="2661">
        <f t="shared" si="76"/>
        <v>5663.115680074975</v>
      </c>
      <c r="H614" s="2668">
        <f t="shared" si="78"/>
        <v>8663.1156800749741</v>
      </c>
      <c r="I614" s="209">
        <f t="shared" si="79"/>
        <v>-3.915516780593385E-3</v>
      </c>
      <c r="J614" s="209">
        <f t="shared" si="80"/>
        <v>0</v>
      </c>
      <c r="K614" s="209">
        <f t="shared" si="81"/>
        <v>-6.5014296210377433E-3</v>
      </c>
      <c r="L614" s="2684"/>
    </row>
    <row r="615" spans="1:13" s="1382" customFormat="1" ht="15.75" x14ac:dyDescent="0.25">
      <c r="A615" s="1336">
        <f t="shared" si="82"/>
        <v>92</v>
      </c>
      <c r="B615" s="746">
        <f t="shared" si="83"/>
        <v>87</v>
      </c>
      <c r="C615" s="2667">
        <f t="shared" si="73"/>
        <v>0</v>
      </c>
      <c r="D615" s="2661">
        <f t="shared" si="74"/>
        <v>0</v>
      </c>
      <c r="E615" s="2668">
        <f t="shared" si="77"/>
        <v>0</v>
      </c>
      <c r="F615" s="2661">
        <f t="shared" si="75"/>
        <v>3000</v>
      </c>
      <c r="G615" s="2661">
        <f t="shared" si="76"/>
        <v>5765.4697695189789</v>
      </c>
      <c r="H615" s="2668">
        <f t="shared" si="78"/>
        <v>8765.4697695189789</v>
      </c>
      <c r="I615" s="209">
        <f t="shared" si="79"/>
        <v>-3.8315141876120941E-3</v>
      </c>
      <c r="J615" s="209">
        <f t="shared" si="80"/>
        <v>0</v>
      </c>
      <c r="K615" s="209">
        <f t="shared" si="81"/>
        <v>-6.4474395870020062E-3</v>
      </c>
      <c r="L615" s="2684"/>
    </row>
    <row r="616" spans="1:13" x14ac:dyDescent="0.25">
      <c r="A616" s="1336">
        <f t="shared" si="82"/>
        <v>93</v>
      </c>
      <c r="B616" s="746">
        <f t="shared" si="83"/>
        <v>88</v>
      </c>
      <c r="C616" s="2667">
        <f t="shared" si="73"/>
        <v>0</v>
      </c>
      <c r="D616" s="2661">
        <f t="shared" si="74"/>
        <v>0</v>
      </c>
      <c r="E616" s="2668">
        <f t="shared" si="77"/>
        <v>0</v>
      </c>
      <c r="F616" s="2661">
        <f t="shared" si="75"/>
        <v>3000</v>
      </c>
      <c r="G616" s="2661">
        <f t="shared" si="76"/>
        <v>0</v>
      </c>
      <c r="H616" s="2668">
        <f t="shared" si="78"/>
        <v>3000</v>
      </c>
      <c r="I616" s="209">
        <f t="shared" si="79"/>
        <v>-3.7175022799061964E-3</v>
      </c>
      <c r="J616" s="209">
        <f t="shared" si="80"/>
        <v>0</v>
      </c>
      <c r="K616" s="209">
        <f t="shared" si="81"/>
        <v>-2.1884885165681526E-3</v>
      </c>
      <c r="L616" s="2685"/>
      <c r="M616" s="274"/>
    </row>
    <row r="617" spans="1:13" x14ac:dyDescent="0.25">
      <c r="A617" s="1336">
        <f t="shared" si="82"/>
        <v>94</v>
      </c>
      <c r="B617" s="746">
        <f t="shared" si="83"/>
        <v>89</v>
      </c>
      <c r="C617" s="2667">
        <f t="shared" si="73"/>
        <v>0</v>
      </c>
      <c r="D617" s="2661">
        <f t="shared" si="74"/>
        <v>0</v>
      </c>
      <c r="E617" s="2668">
        <f t="shared" si="77"/>
        <v>0</v>
      </c>
      <c r="F617" s="2661">
        <f t="shared" si="75"/>
        <v>3000</v>
      </c>
      <c r="G617" s="2661">
        <f t="shared" si="76"/>
        <v>0</v>
      </c>
      <c r="H617" s="2668">
        <f t="shared" si="78"/>
        <v>3000</v>
      </c>
      <c r="I617" s="209">
        <f t="shared" si="79"/>
        <v>-3.6078060464076827E-3</v>
      </c>
      <c r="J617" s="209">
        <f t="shared" si="80"/>
        <v>0</v>
      </c>
      <c r="K617" s="209">
        <f t="shared" si="81"/>
        <v>-2.1179761995490883E-3</v>
      </c>
      <c r="L617" s="2685"/>
      <c r="M617" s="274"/>
    </row>
    <row r="618" spans="1:13" x14ac:dyDescent="0.25">
      <c r="A618" s="1336">
        <f t="shared" si="82"/>
        <v>95</v>
      </c>
      <c r="B618" s="746">
        <f t="shared" si="83"/>
        <v>90</v>
      </c>
      <c r="C618" s="2667">
        <f t="shared" si="73"/>
        <v>0</v>
      </c>
      <c r="D618" s="2661">
        <f t="shared" si="74"/>
        <v>0</v>
      </c>
      <c r="E618" s="2668">
        <f t="shared" si="77"/>
        <v>0</v>
      </c>
      <c r="F618" s="2661">
        <f t="shared" si="75"/>
        <v>3000</v>
      </c>
      <c r="G618" s="2661">
        <f t="shared" si="76"/>
        <v>0</v>
      </c>
      <c r="H618" s="2668">
        <f t="shared" si="78"/>
        <v>3000</v>
      </c>
      <c r="I618" s="209">
        <f t="shared" si="79"/>
        <v>-3.5031089903856364E-3</v>
      </c>
      <c r="J618" s="209">
        <f t="shared" si="80"/>
        <v>0</v>
      </c>
      <c r="K618" s="209">
        <f t="shared" si="81"/>
        <v>-2.0506279376433347E-3</v>
      </c>
      <c r="L618" s="2685"/>
      <c r="M618" s="274"/>
    </row>
    <row r="619" spans="1:13" ht="15.75" thickBot="1" x14ac:dyDescent="0.3">
      <c r="A619" s="2073">
        <f t="shared" si="82"/>
        <v>96</v>
      </c>
      <c r="B619" s="2664">
        <f t="shared" si="83"/>
        <v>91</v>
      </c>
      <c r="C619" s="2669">
        <f t="shared" si="73"/>
        <v>0</v>
      </c>
      <c r="D619" s="2662">
        <f t="shared" si="74"/>
        <v>0</v>
      </c>
      <c r="E619" s="2670">
        <f t="shared" si="77"/>
        <v>0</v>
      </c>
      <c r="F619" s="2662">
        <f t="shared" si="75"/>
        <v>3000</v>
      </c>
      <c r="G619" s="2662">
        <f t="shared" si="76"/>
        <v>0</v>
      </c>
      <c r="H619" s="2670">
        <f t="shared" si="78"/>
        <v>3000</v>
      </c>
      <c r="I619" s="3070">
        <f t="shared" si="79"/>
        <v>-3.4030396481587273E-3</v>
      </c>
      <c r="J619" s="2687">
        <f t="shared" si="80"/>
        <v>0</v>
      </c>
      <c r="K619" s="2688">
        <f t="shared" si="81"/>
        <v>-1.9862893127326506E-3</v>
      </c>
      <c r="L619" s="2686"/>
      <c r="M619" s="274"/>
    </row>
    <row r="620" spans="1:13" ht="15.75" thickTop="1" x14ac:dyDescent="0.25">
      <c r="I620" s="859"/>
      <c r="J620" s="859"/>
      <c r="K620" s="859"/>
      <c r="L620" s="859"/>
      <c r="M620" s="274"/>
    </row>
    <row r="621" spans="1:13" s="1382" customFormat="1" ht="15.75" x14ac:dyDescent="0.25">
      <c r="B621" s="1383" t="s">
        <v>1116</v>
      </c>
      <c r="G621" s="1383" t="s">
        <v>1117</v>
      </c>
    </row>
    <row r="622" spans="1:13" ht="15.75" thickBot="1" x14ac:dyDescent="0.3">
      <c r="I622" s="859"/>
      <c r="J622" s="859"/>
      <c r="K622" s="859"/>
      <c r="L622" s="859"/>
      <c r="M622" s="274"/>
    </row>
    <row r="623" spans="1:13" ht="19.5" thickTop="1" x14ac:dyDescent="0.3">
      <c r="A623" s="960" t="s">
        <v>486</v>
      </c>
      <c r="B623" s="946"/>
      <c r="C623" s="946"/>
      <c r="D623" s="947"/>
      <c r="E623" s="947"/>
      <c r="F623" s="946"/>
      <c r="G623" s="946"/>
      <c r="H623" s="949"/>
    </row>
    <row r="624" spans="1:13" ht="15.75" x14ac:dyDescent="0.25">
      <c r="A624" s="964" t="s">
        <v>736</v>
      </c>
      <c r="B624" s="944"/>
      <c r="C624" s="944"/>
      <c r="D624" s="945"/>
      <c r="E624" s="945"/>
      <c r="F624" s="944"/>
      <c r="G624" s="944"/>
      <c r="H624" s="950"/>
    </row>
    <row r="625" spans="1:8" x14ac:dyDescent="0.25">
      <c r="A625" s="1054"/>
      <c r="B625" s="943" t="s">
        <v>326</v>
      </c>
      <c r="C625" s="945"/>
      <c r="D625" s="945"/>
      <c r="E625" s="945"/>
      <c r="F625" s="944"/>
      <c r="G625" s="944"/>
      <c r="H625" s="950"/>
    </row>
    <row r="626" spans="1:8" x14ac:dyDescent="0.25">
      <c r="A626" s="1054"/>
      <c r="B626" s="1356" t="s">
        <v>870</v>
      </c>
      <c r="C626" s="1357"/>
      <c r="D626" s="1357"/>
      <c r="E626" s="945"/>
      <c r="F626" s="944"/>
      <c r="G626" s="944"/>
      <c r="H626" s="950"/>
    </row>
    <row r="627" spans="1:8" x14ac:dyDescent="0.25">
      <c r="A627" s="1054"/>
      <c r="B627" s="942" t="s">
        <v>1103</v>
      </c>
      <c r="C627" s="945"/>
      <c r="D627" s="945"/>
      <c r="E627" s="945"/>
      <c r="F627" s="944"/>
      <c r="G627" s="944"/>
      <c r="H627" s="950"/>
    </row>
    <row r="628" spans="1:8" x14ac:dyDescent="0.25">
      <c r="A628" s="1054" t="s">
        <v>154</v>
      </c>
      <c r="B628" s="942" t="s">
        <v>1104</v>
      </c>
      <c r="C628" s="945"/>
      <c r="D628" s="945"/>
      <c r="E628" s="945"/>
      <c r="F628" s="944"/>
      <c r="G628" s="944"/>
      <c r="H628" s="950"/>
    </row>
    <row r="629" spans="1:8" x14ac:dyDescent="0.25">
      <c r="A629" s="1054"/>
      <c r="B629" s="942" t="s">
        <v>1105</v>
      </c>
      <c r="C629" s="945"/>
      <c r="D629" s="945"/>
      <c r="E629" s="945"/>
      <c r="F629" s="944"/>
      <c r="G629" s="944"/>
      <c r="H629" s="950"/>
    </row>
    <row r="630" spans="1:8" x14ac:dyDescent="0.25">
      <c r="A630" s="1890"/>
      <c r="B630" s="942" t="s">
        <v>1106</v>
      </c>
      <c r="C630" s="1019"/>
      <c r="D630" s="945"/>
      <c r="E630" s="945"/>
      <c r="F630" s="944"/>
      <c r="G630" s="944"/>
      <c r="H630" s="950"/>
    </row>
    <row r="631" spans="1:8" x14ac:dyDescent="0.25">
      <c r="A631" s="1890"/>
      <c r="B631" s="942" t="s">
        <v>1449</v>
      </c>
      <c r="C631" s="1019"/>
      <c r="D631" s="945"/>
      <c r="E631" s="945"/>
      <c r="F631" s="944"/>
      <c r="G631" s="944"/>
      <c r="H631" s="950"/>
    </row>
    <row r="632" spans="1:8" x14ac:dyDescent="0.25">
      <c r="A632" s="1890"/>
      <c r="B632" s="942" t="s">
        <v>1462</v>
      </c>
      <c r="C632" s="1019"/>
      <c r="D632" s="945"/>
      <c r="E632" s="945"/>
      <c r="F632" s="944"/>
      <c r="G632" s="944"/>
      <c r="H632" s="950"/>
    </row>
    <row r="633" spans="1:8" x14ac:dyDescent="0.25">
      <c r="A633" s="1890"/>
      <c r="B633" s="942" t="s">
        <v>1450</v>
      </c>
      <c r="C633" s="1019"/>
      <c r="D633" s="945"/>
      <c r="E633" s="945"/>
      <c r="F633" s="944"/>
      <c r="G633" s="944"/>
      <c r="H633" s="950"/>
    </row>
    <row r="634" spans="1:8" x14ac:dyDescent="0.25">
      <c r="A634" s="1890"/>
      <c r="B634" s="942" t="s">
        <v>1107</v>
      </c>
      <c r="C634" s="1019"/>
      <c r="D634" s="945"/>
      <c r="E634" s="945"/>
      <c r="F634" s="944"/>
      <c r="G634" s="944"/>
      <c r="H634" s="950"/>
    </row>
    <row r="635" spans="1:8" x14ac:dyDescent="0.25">
      <c r="A635" s="1890"/>
      <c r="B635" s="943" t="s">
        <v>1108</v>
      </c>
      <c r="C635" s="1019"/>
      <c r="D635" s="945"/>
      <c r="E635" s="945"/>
      <c r="F635" s="944"/>
      <c r="G635" s="944"/>
      <c r="H635" s="950"/>
    </row>
    <row r="636" spans="1:8" x14ac:dyDescent="0.25">
      <c r="A636" s="1890"/>
      <c r="B636" s="943" t="s">
        <v>1100</v>
      </c>
      <c r="C636" s="1019"/>
      <c r="D636" s="945"/>
      <c r="E636" s="945"/>
      <c r="F636" s="944"/>
      <c r="G636" s="944"/>
      <c r="H636" s="950"/>
    </row>
    <row r="637" spans="1:8" x14ac:dyDescent="0.25">
      <c r="A637" s="1054"/>
      <c r="B637" s="943" t="s">
        <v>1099</v>
      </c>
      <c r="C637" s="945"/>
      <c r="D637" s="945"/>
      <c r="E637" s="945"/>
      <c r="F637" s="944"/>
      <c r="G637" s="944"/>
      <c r="H637" s="950"/>
    </row>
    <row r="638" spans="1:8" x14ac:dyDescent="0.25">
      <c r="A638" s="1054"/>
      <c r="B638" s="943" t="s">
        <v>1098</v>
      </c>
      <c r="C638" s="945"/>
      <c r="D638" s="945"/>
      <c r="E638" s="945"/>
      <c r="F638" s="944"/>
      <c r="G638" s="944"/>
      <c r="H638" s="950"/>
    </row>
    <row r="639" spans="1:8" x14ac:dyDescent="0.25">
      <c r="A639" s="1054"/>
      <c r="B639" s="942" t="s">
        <v>1097</v>
      </c>
      <c r="C639" s="945"/>
      <c r="D639" s="945"/>
      <c r="E639" s="945"/>
      <c r="F639" s="944"/>
      <c r="G639" s="944"/>
      <c r="H639" s="950"/>
    </row>
    <row r="640" spans="1:8" x14ac:dyDescent="0.25">
      <c r="A640" s="1054"/>
      <c r="B640" s="943" t="s">
        <v>1101</v>
      </c>
      <c r="C640" s="945"/>
      <c r="D640" s="945"/>
      <c r="E640" s="945"/>
      <c r="F640" s="944"/>
      <c r="G640" s="944"/>
      <c r="H640" s="950"/>
    </row>
    <row r="641" spans="1:8" x14ac:dyDescent="0.25">
      <c r="A641" s="1054"/>
      <c r="B641" s="943" t="s">
        <v>1102</v>
      </c>
      <c r="C641" s="945"/>
      <c r="D641" s="1019" t="s">
        <v>1762</v>
      </c>
      <c r="E641" s="945"/>
      <c r="F641" s="944"/>
      <c r="G641" s="944"/>
      <c r="H641" s="950"/>
    </row>
    <row r="642" spans="1:8" x14ac:dyDescent="0.25">
      <c r="A642" s="1083"/>
      <c r="B642" s="1081" t="s">
        <v>719</v>
      </c>
      <c r="C642" s="945"/>
      <c r="D642" s="1019" t="s">
        <v>1764</v>
      </c>
      <c r="E642" s="945"/>
      <c r="F642" s="944"/>
      <c r="G642" s="944"/>
      <c r="H642" s="950"/>
    </row>
    <row r="643" spans="1:8" x14ac:dyDescent="0.25">
      <c r="A643" s="1083"/>
      <c r="B643" s="1081" t="s">
        <v>720</v>
      </c>
      <c r="C643" s="945"/>
      <c r="D643" s="1019" t="s">
        <v>1289</v>
      </c>
      <c r="E643" s="945"/>
      <c r="F643" s="945"/>
      <c r="G643" s="945"/>
      <c r="H643" s="950"/>
    </row>
    <row r="644" spans="1:8" x14ac:dyDescent="0.25">
      <c r="A644" s="1083"/>
      <c r="B644" s="1081" t="s">
        <v>721</v>
      </c>
      <c r="C644" s="945"/>
      <c r="D644" s="945" t="s">
        <v>722</v>
      </c>
      <c r="E644" s="945"/>
      <c r="F644" s="945"/>
      <c r="G644" s="945"/>
      <c r="H644" s="950"/>
    </row>
    <row r="645" spans="1:8" x14ac:dyDescent="0.25">
      <c r="A645" s="1083"/>
      <c r="B645" s="1081" t="s">
        <v>725</v>
      </c>
      <c r="C645" s="945"/>
      <c r="D645" s="1019" t="s">
        <v>1763</v>
      </c>
      <c r="E645" s="945"/>
      <c r="F645" s="945"/>
      <c r="G645" s="945"/>
      <c r="H645" s="950"/>
    </row>
    <row r="646" spans="1:8" ht="15.75" thickBot="1" x14ac:dyDescent="0.3">
      <c r="A646" s="1088"/>
      <c r="B646" s="1089" t="s">
        <v>577</v>
      </c>
      <c r="C646" s="948"/>
      <c r="D646" s="1087" t="s">
        <v>578</v>
      </c>
      <c r="E646" s="948"/>
      <c r="F646" s="948"/>
      <c r="G646" s="948"/>
      <c r="H646" s="951"/>
    </row>
    <row r="647" spans="1:8" ht="15.75" thickTop="1" x14ac:dyDescent="0.25"/>
  </sheetData>
  <sheetProtection sheet="1" objects="1" scenarios="1"/>
  <phoneticPr fontId="0" type="noConversion"/>
  <dataValidations count="2">
    <dataValidation type="list" allowBlank="1" showInputMessage="1" showErrorMessage="1" sqref="B200:B302 H200:H302">
      <formula1>"C,W,FC,FW,U"</formula1>
    </dataValidation>
    <dataValidation type="list" allowBlank="1" showInputMessage="1" showErrorMessage="1" sqref="F160">
      <formula1>"d37:B50"</formula1>
    </dataValidation>
  </dataValidations>
  <hyperlinks>
    <hyperlink ref="I175" location="'S. Setup'!A1" display="S. Setup"/>
    <hyperlink ref="I313" location="'S. Setup'!A1" display="S. Setup"/>
    <hyperlink ref="I123" location="'S. Setup'!A1" display="S. Setup"/>
    <hyperlink ref="B1" location="'8. RothData'!A1" display="Previous worksheet (RothData)"/>
    <hyperlink ref="G1" location="'10. ExpensesData'!A1" display="Next worksheet (ExpensesData)"/>
    <hyperlink ref="B621" location="'8. RothData'!A1" display="Previous worksheet (RothData)"/>
    <hyperlink ref="G621" location="'10. ExpensesData'!A1" display="Next worksheet (ExpensesData)"/>
    <hyperlink ref="B628" location="'S. Setup'!A1" display="Setup"/>
    <hyperlink ref="B629" location="'1. AgeData'!A1" display="AgeData"/>
    <hyperlink ref="B630" location="'2. TaxData'!A1" display="TaxData"/>
    <hyperlink ref="B632" location="'4. PensionData'!A1" display="4. PensionData"/>
    <hyperlink ref="B633" location="'5. SocSecData'!A1" display="5. SocSecData"/>
    <hyperlink ref="B631" location="'3. WorkData'!A1" display="3. WorkData"/>
    <hyperlink ref="B634" location="'6. AnnuityData'!A1" display="AnnuityData"/>
    <hyperlink ref="B635" location="'7. IRAdata'!A1" display="IRAdata"/>
    <hyperlink ref="B636" location="'8. RothData'!A1" display="RothData"/>
    <hyperlink ref="B637" location="'9. SavingsData'!A1" display="SavingsData"/>
    <hyperlink ref="B627" location="'R. Results'!A1" display="Results"/>
    <hyperlink ref="B639" location="'11. CashData'!A1" display="CashData"/>
    <hyperlink ref="B638" location="'10. ExpensesData'!A1" display="ExpensesData"/>
    <hyperlink ref="B640" location="'12. RMDtable'!A1" display="RMDtable"/>
    <hyperlink ref="B625" location="Introduction!A1" display="Introduction"/>
    <hyperlink ref="B645" location="'Appendix D'!A1" display="Appendix D"/>
    <hyperlink ref="B642" location="'Appendix A'!A1" display="Appendix A"/>
    <hyperlink ref="B643" location="'Appendix B'!A1" display="Appendix B"/>
    <hyperlink ref="B644" location="'Appendix C'!A1" display="Appendix C"/>
    <hyperlink ref="B646" location="FAQ!A1" display="FAQ"/>
    <hyperlink ref="B626" location="Assumptions!A1" display="Assumptions"/>
    <hyperlink ref="B641" location="'RS. Resources'!A1" display="Resources"/>
  </hyperlinks>
  <printOptions headings="1" gridLines="1"/>
  <pageMargins left="0.7" right="0.7" top="0.75" bottom="0.75" header="0.3" footer="0.3"/>
  <pageSetup orientation="landscape" horizontalDpi="1200" verticalDpi="1200" r:id="rId1"/>
  <headerFooter>
    <oddHeader>&amp;L&amp;F&amp;C   &amp;D &amp;T&amp;R&amp;A &amp;P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P574"/>
  <sheetViews>
    <sheetView zoomScaleNormal="100" workbookViewId="0">
      <selection activeCell="A34" sqref="A34"/>
    </sheetView>
  </sheetViews>
  <sheetFormatPr defaultRowHeight="15" x14ac:dyDescent="0.25"/>
  <cols>
    <col min="1" max="1" width="7.85546875" customWidth="1"/>
    <col min="2" max="2" width="7.42578125" customWidth="1"/>
    <col min="3" max="3" width="10.42578125" customWidth="1"/>
    <col min="5" max="5" width="9" customWidth="1"/>
    <col min="6" max="6" width="9.140625" customWidth="1"/>
    <col min="7" max="7" width="10.5703125" customWidth="1"/>
    <col min="9" max="9" width="7.85546875" customWidth="1"/>
    <col min="10" max="10" width="7.42578125" customWidth="1"/>
    <col min="11" max="11" width="10.42578125" customWidth="1"/>
    <col min="12" max="12" width="7.28515625" customWidth="1"/>
    <col min="13" max="13" width="7.140625" customWidth="1"/>
    <col min="14" max="14" width="9.85546875" customWidth="1"/>
  </cols>
  <sheetData>
    <row r="1" spans="1:16" s="1382" customFormat="1" ht="15.75" x14ac:dyDescent="0.25">
      <c r="B1" s="1383" t="s">
        <v>1114</v>
      </c>
      <c r="G1" s="1383" t="s">
        <v>1115</v>
      </c>
    </row>
    <row r="2" spans="1:16" s="1382" customFormat="1" ht="15.75" x14ac:dyDescent="0.25">
      <c r="A2" s="1406"/>
      <c r="B2" s="1407"/>
      <c r="C2" s="1406"/>
      <c r="D2" s="1406"/>
      <c r="E2" s="1406"/>
      <c r="F2" s="1406"/>
      <c r="G2" s="1407"/>
      <c r="H2" s="1406"/>
      <c r="I2" s="1406"/>
      <c r="J2" s="1406"/>
      <c r="K2" s="1406"/>
      <c r="L2" s="1406"/>
      <c r="M2" s="1406"/>
      <c r="N2" s="1500"/>
    </row>
    <row r="4" spans="1:16" ht="19.5" customHeight="1" x14ac:dyDescent="0.3">
      <c r="A4" s="230" t="s">
        <v>121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</row>
    <row r="5" spans="1:16" ht="19.5" customHeight="1" x14ac:dyDescent="0.3">
      <c r="A5" s="230"/>
      <c r="C5" s="6"/>
      <c r="D5" s="6"/>
      <c r="E5" s="6"/>
      <c r="F5" s="6"/>
      <c r="G5" s="6"/>
      <c r="H5" s="6"/>
      <c r="I5" s="6"/>
      <c r="J5" s="6"/>
      <c r="K5" s="6"/>
      <c r="L5" s="6"/>
      <c r="M5" s="6"/>
    </row>
    <row r="6" spans="1:16" ht="15.75" x14ac:dyDescent="0.25">
      <c r="A6" s="1582" t="s">
        <v>2989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</row>
    <row r="7" spans="1:16" x14ac:dyDescent="0.25">
      <c r="A7" s="6" t="s">
        <v>3446</v>
      </c>
      <c r="C7" s="6"/>
      <c r="D7" s="6"/>
      <c r="E7" s="6"/>
      <c r="F7" s="6"/>
      <c r="G7" s="6"/>
      <c r="H7" s="6"/>
      <c r="I7" s="6"/>
      <c r="J7" s="6"/>
      <c r="K7" s="6"/>
      <c r="L7" s="6"/>
      <c r="M7" s="6"/>
    </row>
    <row r="8" spans="1:16" x14ac:dyDescent="0.25">
      <c r="A8" s="6" t="s">
        <v>2995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</row>
    <row r="9" spans="1:16" ht="16.5" thickBot="1" x14ac:dyDescent="0.3">
      <c r="A9" s="1582"/>
      <c r="C9" s="6"/>
      <c r="D9" s="6"/>
      <c r="E9" s="6"/>
      <c r="F9" s="6"/>
      <c r="G9" s="6"/>
      <c r="H9" s="6"/>
      <c r="I9" s="6"/>
      <c r="J9" s="6"/>
      <c r="K9" s="6"/>
      <c r="L9" s="6"/>
      <c r="M9" s="6"/>
    </row>
    <row r="10" spans="1:16" ht="18.75" customHeight="1" thickBot="1" x14ac:dyDescent="0.35">
      <c r="A10" s="230"/>
      <c r="B10" s="637" t="s">
        <v>484</v>
      </c>
      <c r="C10" s="638"/>
      <c r="D10" s="638"/>
      <c r="E10" s="638"/>
      <c r="F10" s="639"/>
      <c r="G10" s="6"/>
      <c r="H10" s="6"/>
      <c r="I10" s="6"/>
      <c r="J10" s="6"/>
      <c r="K10" s="6"/>
      <c r="L10" s="6"/>
      <c r="M10" s="6"/>
    </row>
    <row r="11" spans="1:16" ht="19.5" thickBot="1" x14ac:dyDescent="0.35">
      <c r="A11" s="230"/>
      <c r="B11" s="714"/>
      <c r="C11" s="33"/>
      <c r="D11" s="33"/>
      <c r="E11" s="33"/>
      <c r="F11" s="33"/>
      <c r="G11" s="6"/>
      <c r="H11" s="6"/>
      <c r="I11" s="6"/>
      <c r="J11" s="6"/>
      <c r="K11" s="6"/>
      <c r="L11" s="6"/>
      <c r="M11" s="6"/>
    </row>
    <row r="12" spans="1:16" ht="18.75" x14ac:dyDescent="0.3">
      <c r="A12" s="699" t="s">
        <v>253</v>
      </c>
      <c r="B12" s="757"/>
      <c r="C12" s="737"/>
      <c r="D12" s="737"/>
      <c r="E12" s="737"/>
      <c r="F12" s="737"/>
      <c r="G12" s="701"/>
      <c r="H12" s="701"/>
      <c r="I12" s="701"/>
      <c r="J12" s="745"/>
      <c r="K12" s="6"/>
      <c r="L12" s="6"/>
      <c r="M12" s="6"/>
      <c r="N12" s="6"/>
    </row>
    <row r="13" spans="1:16" ht="18.75" x14ac:dyDescent="0.3">
      <c r="A13" s="739" t="s">
        <v>523</v>
      </c>
      <c r="B13" s="714"/>
      <c r="C13" s="33"/>
      <c r="D13" s="33"/>
      <c r="E13" s="33"/>
      <c r="F13" s="33"/>
      <c r="G13" s="6"/>
      <c r="H13" s="6"/>
      <c r="I13" s="6"/>
      <c r="J13" s="746"/>
      <c r="K13" s="6"/>
      <c r="L13" s="6"/>
      <c r="M13" s="6"/>
      <c r="N13" s="6"/>
      <c r="P13" s="714"/>
    </row>
    <row r="14" spans="1:16" ht="18.75" x14ac:dyDescent="0.3">
      <c r="A14" s="739" t="s">
        <v>276</v>
      </c>
      <c r="B14" s="714"/>
      <c r="C14" s="33"/>
      <c r="D14" s="33"/>
      <c r="E14" s="33"/>
      <c r="F14" s="33"/>
      <c r="G14" s="6"/>
      <c r="H14" s="6"/>
      <c r="I14" s="6"/>
      <c r="J14" s="746"/>
      <c r="K14" s="6"/>
      <c r="L14" s="6"/>
      <c r="N14" s="714"/>
      <c r="P14" s="714"/>
    </row>
    <row r="15" spans="1:16" ht="18.75" x14ac:dyDescent="0.3">
      <c r="A15" s="1888" t="s">
        <v>1198</v>
      </c>
      <c r="B15" s="748"/>
      <c r="C15" s="1238"/>
      <c r="D15" s="1238"/>
      <c r="E15" s="1238"/>
      <c r="F15" s="1238"/>
      <c r="G15" s="6"/>
      <c r="H15" s="6"/>
      <c r="I15" s="6"/>
      <c r="J15" s="746"/>
      <c r="K15" s="6"/>
      <c r="L15" s="6"/>
      <c r="N15" s="714"/>
      <c r="P15" s="714"/>
    </row>
    <row r="16" spans="1:16" ht="18.75" x14ac:dyDescent="0.3">
      <c r="A16" s="1888" t="s">
        <v>864</v>
      </c>
      <c r="B16" s="748"/>
      <c r="C16" s="1238"/>
      <c r="D16" s="1238"/>
      <c r="E16" s="1238"/>
      <c r="F16" s="1238"/>
      <c r="G16" s="6"/>
      <c r="H16" s="6"/>
      <c r="I16" s="6"/>
      <c r="J16" s="746"/>
      <c r="K16" s="6"/>
      <c r="L16" s="6"/>
      <c r="N16" s="714"/>
      <c r="P16" s="714"/>
    </row>
    <row r="17" spans="1:16" ht="18.75" x14ac:dyDescent="0.3">
      <c r="A17" s="1364" t="s">
        <v>1529</v>
      </c>
      <c r="B17" s="714"/>
      <c r="C17" s="33"/>
      <c r="D17" s="33"/>
      <c r="E17" s="33"/>
      <c r="F17" s="33"/>
      <c r="G17" s="6"/>
      <c r="H17" s="6"/>
      <c r="I17" s="6"/>
      <c r="J17" s="746"/>
      <c r="K17" s="6"/>
      <c r="L17" s="6"/>
      <c r="N17" s="714"/>
      <c r="P17" s="748"/>
    </row>
    <row r="18" spans="1:16" ht="18.75" x14ac:dyDescent="0.3">
      <c r="A18" s="1364" t="s">
        <v>1530</v>
      </c>
      <c r="B18" s="714"/>
      <c r="C18" s="33"/>
      <c r="D18" s="33"/>
      <c r="E18" s="33"/>
      <c r="F18" s="33"/>
      <c r="G18" s="6"/>
      <c r="H18" s="6"/>
      <c r="I18" s="6"/>
      <c r="J18" s="746"/>
      <c r="K18" s="6"/>
      <c r="L18" s="6"/>
      <c r="N18" s="714"/>
    </row>
    <row r="19" spans="1:16" ht="18.75" x14ac:dyDescent="0.3">
      <c r="A19" s="1364" t="s">
        <v>1526</v>
      </c>
      <c r="B19" s="714"/>
      <c r="C19" s="33"/>
      <c r="D19" s="33"/>
      <c r="E19" s="33"/>
      <c r="F19" s="33"/>
      <c r="G19" s="6"/>
      <c r="H19" s="6"/>
      <c r="I19" s="6"/>
      <c r="J19" s="746"/>
      <c r="K19" s="6"/>
      <c r="L19" s="6"/>
      <c r="N19" s="714"/>
    </row>
    <row r="20" spans="1:16" ht="18.75" x14ac:dyDescent="0.3">
      <c r="A20" s="1364" t="s">
        <v>1523</v>
      </c>
      <c r="B20" s="714"/>
      <c r="C20" s="33"/>
      <c r="D20" s="33"/>
      <c r="E20" s="33"/>
      <c r="F20" s="33"/>
      <c r="G20" s="6"/>
      <c r="H20" s="6"/>
      <c r="I20" s="6"/>
      <c r="J20" s="746"/>
      <c r="K20" s="6"/>
      <c r="L20" s="6"/>
      <c r="M20" s="6"/>
    </row>
    <row r="21" spans="1:16" ht="19.5" thickBot="1" x14ac:dyDescent="0.35">
      <c r="A21" s="1949" t="s">
        <v>1532</v>
      </c>
      <c r="B21" s="1950"/>
      <c r="C21" s="1951"/>
      <c r="D21" s="1951"/>
      <c r="E21" s="1951"/>
      <c r="F21" s="1951"/>
      <c r="G21" s="707"/>
      <c r="H21" s="707"/>
      <c r="I21" s="707"/>
      <c r="J21" s="747"/>
      <c r="K21" s="6"/>
      <c r="L21" s="6"/>
      <c r="N21" s="714"/>
    </row>
    <row r="22" spans="1:16" ht="18.75" x14ac:dyDescent="0.3">
      <c r="A22" s="230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33"/>
    </row>
    <row r="23" spans="1:16" x14ac:dyDescent="0.25">
      <c r="A23" s="6" t="s">
        <v>3447</v>
      </c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33"/>
    </row>
    <row r="24" spans="1:16" x14ac:dyDescent="0.25">
      <c r="A24" s="6" t="s">
        <v>3448</v>
      </c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33"/>
    </row>
    <row r="25" spans="1:16" x14ac:dyDescent="0.25">
      <c r="A25" s="6" t="s">
        <v>3449</v>
      </c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4"/>
    </row>
    <row r="26" spans="1:16" x14ac:dyDescent="0.25">
      <c r="A26" s="6" t="s">
        <v>3450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</row>
    <row r="27" spans="1:16" x14ac:dyDescent="0.25">
      <c r="A27" t="s">
        <v>3451</v>
      </c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</row>
    <row r="28" spans="1:16" s="6" customFormat="1" x14ac:dyDescent="0.25">
      <c r="A28" s="1652"/>
      <c r="H28" s="103"/>
      <c r="N28" s="64"/>
    </row>
    <row r="29" spans="1:16" s="6" customFormat="1" x14ac:dyDescent="0.25">
      <c r="A29" s="33" t="s">
        <v>3737</v>
      </c>
      <c r="H29" s="103"/>
    </row>
    <row r="30" spans="1:16" s="6" customFormat="1" x14ac:dyDescent="0.25">
      <c r="A30" s="1296" t="s">
        <v>3739</v>
      </c>
      <c r="H30" s="103"/>
    </row>
    <row r="31" spans="1:16" x14ac:dyDescent="0.25">
      <c r="A31" s="1296" t="s">
        <v>3738</v>
      </c>
    </row>
    <row r="32" spans="1:16" x14ac:dyDescent="0.25">
      <c r="A32" t="s">
        <v>3740</v>
      </c>
      <c r="J32" s="6"/>
    </row>
    <row r="33" spans="1:16" x14ac:dyDescent="0.25">
      <c r="A33" t="s">
        <v>3744</v>
      </c>
      <c r="J33" s="6"/>
    </row>
    <row r="34" spans="1:16" x14ac:dyDescent="0.25">
      <c r="A34" t="s">
        <v>3741</v>
      </c>
      <c r="J34" s="6"/>
    </row>
    <row r="35" spans="1:16" x14ac:dyDescent="0.25">
      <c r="A35" t="s">
        <v>3742</v>
      </c>
      <c r="J35" s="6"/>
    </row>
    <row r="36" spans="1:16" x14ac:dyDescent="0.25">
      <c r="A36" t="s">
        <v>3743</v>
      </c>
      <c r="G36" s="978" t="s">
        <v>2709</v>
      </c>
      <c r="J36" s="6"/>
      <c r="P36" s="33"/>
    </row>
    <row r="37" spans="1:16" x14ac:dyDescent="0.25">
      <c r="A37" s="64"/>
      <c r="J37" s="6"/>
    </row>
    <row r="38" spans="1:16" ht="15.75" x14ac:dyDescent="0.25">
      <c r="A38" s="1296" t="s">
        <v>3733</v>
      </c>
      <c r="J38" s="6"/>
    </row>
    <row r="39" spans="1:16" s="67" customFormat="1" x14ac:dyDescent="0.25">
      <c r="A39" s="1296" t="s">
        <v>3734</v>
      </c>
      <c r="J39" s="66"/>
    </row>
    <row r="40" spans="1:16" x14ac:dyDescent="0.25">
      <c r="A40" s="1296" t="s">
        <v>3452</v>
      </c>
      <c r="J40" s="6"/>
    </row>
    <row r="41" spans="1:16" x14ac:dyDescent="0.25">
      <c r="A41" s="1351" t="s">
        <v>3735</v>
      </c>
      <c r="J41" s="6"/>
    </row>
    <row r="42" spans="1:16" x14ac:dyDescent="0.25">
      <c r="A42" s="1351" t="s">
        <v>3453</v>
      </c>
      <c r="J42" s="6"/>
      <c r="O42" s="1351"/>
    </row>
    <row r="43" spans="1:16" x14ac:dyDescent="0.25">
      <c r="A43" t="s">
        <v>3454</v>
      </c>
      <c r="J43" s="6"/>
    </row>
    <row r="44" spans="1:16" x14ac:dyDescent="0.25">
      <c r="A44" s="1296" t="s">
        <v>3736</v>
      </c>
      <c r="J44" s="6"/>
    </row>
    <row r="45" spans="1:16" s="1094" customFormat="1" ht="12" x14ac:dyDescent="0.2">
      <c r="A45" s="684"/>
      <c r="B45" s="1144"/>
      <c r="C45" s="1144"/>
      <c r="D45" s="1144"/>
      <c r="E45" s="1144"/>
      <c r="F45" s="1144"/>
      <c r="G45" s="1143"/>
      <c r="H45" s="1144"/>
      <c r="I45" s="1146"/>
      <c r="J45" s="1144"/>
      <c r="K45" s="1143"/>
      <c r="L45" s="1144"/>
      <c r="M45" s="1144"/>
      <c r="N45" s="1144"/>
    </row>
    <row r="46" spans="1:16" ht="15.75" thickBot="1" x14ac:dyDescent="0.3">
      <c r="M46" s="6"/>
    </row>
    <row r="47" spans="1:16" ht="19.5" thickTop="1" x14ac:dyDescent="0.3">
      <c r="A47" s="1369" t="s">
        <v>277</v>
      </c>
      <c r="B47" s="1836"/>
      <c r="C47" s="36"/>
      <c r="D47" s="37"/>
      <c r="E47" s="112"/>
      <c r="F47" s="98"/>
      <c r="G47" s="99"/>
      <c r="H47" s="99"/>
      <c r="I47" s="99"/>
      <c r="J47" s="14"/>
      <c r="K47" s="14"/>
      <c r="L47" s="14"/>
      <c r="M47" s="14"/>
      <c r="N47" s="1336"/>
    </row>
    <row r="48" spans="1:16" x14ac:dyDescent="0.25">
      <c r="A48" s="1837" t="s">
        <v>1337</v>
      </c>
      <c r="B48" s="17"/>
      <c r="C48" s="17"/>
      <c r="D48" s="25"/>
      <c r="E48" s="24"/>
      <c r="F48" s="22"/>
      <c r="G48" s="23"/>
      <c r="H48" s="23"/>
      <c r="I48" s="23"/>
      <c r="J48" s="6"/>
      <c r="K48" s="6"/>
      <c r="L48" s="6"/>
      <c r="M48" s="6"/>
      <c r="N48" s="1336"/>
    </row>
    <row r="49" spans="1:14" x14ac:dyDescent="0.25">
      <c r="A49" s="1345" t="s">
        <v>616</v>
      </c>
      <c r="B49" s="64"/>
      <c r="C49" s="64"/>
      <c r="D49" s="134"/>
      <c r="E49" s="147"/>
      <c r="H49" s="1691">
        <v>31000</v>
      </c>
      <c r="I49" s="165" t="s">
        <v>3455</v>
      </c>
      <c r="J49" s="147"/>
      <c r="K49" s="147"/>
      <c r="L49" s="6"/>
      <c r="M49" s="6"/>
      <c r="N49" s="1336"/>
    </row>
    <row r="50" spans="1:14" ht="14.25" customHeight="1" thickBot="1" x14ac:dyDescent="0.3">
      <c r="A50" s="1345" t="s">
        <v>631</v>
      </c>
      <c r="B50" s="64"/>
      <c r="C50" s="64"/>
      <c r="D50" s="134"/>
      <c r="E50" s="147"/>
      <c r="H50" s="1691">
        <v>29000</v>
      </c>
      <c r="I50" s="6"/>
      <c r="J50" s="147"/>
      <c r="K50" s="147"/>
      <c r="L50" s="6"/>
      <c r="M50" s="1311"/>
      <c r="N50" s="6"/>
    </row>
    <row r="51" spans="1:14" ht="14.25" customHeight="1" thickTop="1" x14ac:dyDescent="0.25">
      <c r="A51" s="1345" t="s">
        <v>1255</v>
      </c>
      <c r="B51" s="64"/>
      <c r="C51" s="64"/>
      <c r="D51" s="134"/>
      <c r="E51" s="147"/>
      <c r="H51" s="1899">
        <f>H49+H50</f>
        <v>60000</v>
      </c>
      <c r="I51" s="6" t="s">
        <v>1256</v>
      </c>
      <c r="J51" s="147"/>
      <c r="K51" s="147"/>
      <c r="L51" s="6"/>
      <c r="M51" s="1311"/>
      <c r="N51" s="6"/>
    </row>
    <row r="52" spans="1:14" ht="14.25" customHeight="1" x14ac:dyDescent="0.25">
      <c r="A52" s="1345"/>
      <c r="B52" s="64"/>
      <c r="C52" s="64"/>
      <c r="D52" s="134"/>
      <c r="E52" s="147"/>
      <c r="H52" s="2091"/>
      <c r="I52" s="6"/>
      <c r="J52" s="147"/>
      <c r="K52" s="147"/>
      <c r="L52" s="6"/>
      <c r="M52" s="1311"/>
      <c r="N52" s="6"/>
    </row>
    <row r="53" spans="1:14" ht="14.25" customHeight="1" x14ac:dyDescent="0.25">
      <c r="A53" s="1345" t="s">
        <v>1709</v>
      </c>
      <c r="B53" s="1296"/>
      <c r="C53" s="1296"/>
      <c r="D53" s="134"/>
      <c r="E53" s="1296"/>
      <c r="H53" s="1693">
        <v>0.8</v>
      </c>
      <c r="I53" s="1643" t="s">
        <v>1714</v>
      </c>
      <c r="J53" s="147"/>
      <c r="K53" s="147"/>
      <c r="L53" s="6"/>
      <c r="M53" s="1311"/>
      <c r="N53" s="6"/>
    </row>
    <row r="54" spans="1:14" ht="14.25" customHeight="1" x14ac:dyDescent="0.25">
      <c r="A54" s="1345"/>
      <c r="B54" s="1296"/>
      <c r="C54" s="1296"/>
      <c r="D54" s="134"/>
      <c r="E54" s="1296"/>
      <c r="H54" s="1693"/>
      <c r="I54" s="1643"/>
      <c r="J54" s="147"/>
      <c r="K54" s="147"/>
      <c r="L54" s="6"/>
      <c r="M54" s="1311"/>
      <c r="N54" s="6"/>
    </row>
    <row r="55" spans="1:14" ht="14.25" customHeight="1" x14ac:dyDescent="0.25">
      <c r="A55" s="212" t="s">
        <v>1710</v>
      </c>
      <c r="B55" s="212"/>
      <c r="C55" s="1296"/>
      <c r="D55" s="134"/>
      <c r="E55" s="1358">
        <f>'3. WorkData'!E55</f>
        <v>69</v>
      </c>
      <c r="G55" t="s">
        <v>1711</v>
      </c>
      <c r="H55" s="1216">
        <f>H49*$H$53</f>
        <v>24800</v>
      </c>
      <c r="I55" s="1643" t="s">
        <v>2520</v>
      </c>
      <c r="J55" s="147"/>
      <c r="K55" s="147"/>
      <c r="L55" s="6"/>
      <c r="M55" s="1311"/>
      <c r="N55" s="6"/>
    </row>
    <row r="56" spans="1:14" ht="14.25" customHeight="1" thickBot="1" x14ac:dyDescent="0.3">
      <c r="A56" s="212" t="s">
        <v>1712</v>
      </c>
      <c r="B56" s="212"/>
      <c r="C56" s="1296"/>
      <c r="D56" s="134"/>
      <c r="E56" s="1358">
        <f>'3. WorkData'!J55</f>
        <v>66</v>
      </c>
      <c r="G56" t="s">
        <v>1711</v>
      </c>
      <c r="H56" s="1216">
        <f>H50*$H$53</f>
        <v>23200</v>
      </c>
      <c r="I56" s="3247" t="s">
        <v>3456</v>
      </c>
      <c r="J56" s="147"/>
      <c r="K56" s="147"/>
      <c r="L56" s="6"/>
      <c r="M56" s="1311"/>
      <c r="N56" s="6"/>
    </row>
    <row r="57" spans="1:14" ht="14.25" customHeight="1" thickTop="1" x14ac:dyDescent="0.25">
      <c r="A57" s="212" t="s">
        <v>1713</v>
      </c>
      <c r="B57" s="212"/>
      <c r="C57" s="1296"/>
      <c r="D57" s="134"/>
      <c r="E57" s="1296"/>
      <c r="H57" s="1899">
        <f>H55+H56</f>
        <v>48000</v>
      </c>
      <c r="I57" s="6"/>
      <c r="J57" s="147"/>
      <c r="K57" s="147"/>
      <c r="L57" s="6"/>
      <c r="M57" s="1311"/>
      <c r="N57" s="6"/>
    </row>
    <row r="58" spans="1:14" ht="14.25" customHeight="1" x14ac:dyDescent="0.25">
      <c r="A58" s="1345"/>
      <c r="B58" s="64"/>
      <c r="C58" s="64"/>
      <c r="D58" s="134"/>
      <c r="E58" s="147"/>
      <c r="H58" s="24"/>
      <c r="I58" s="6"/>
      <c r="J58" s="147"/>
      <c r="K58" s="147"/>
      <c r="L58" s="6"/>
      <c r="M58" s="1311"/>
      <c r="N58" s="6"/>
    </row>
    <row r="59" spans="1:14" x14ac:dyDescent="0.25">
      <c r="A59" s="1837" t="s">
        <v>1249</v>
      </c>
      <c r="B59" s="17"/>
      <c r="C59" s="17"/>
      <c r="D59" s="25"/>
      <c r="E59" s="24"/>
      <c r="F59" s="22"/>
      <c r="G59" s="23"/>
      <c r="H59" s="23"/>
      <c r="I59" s="23"/>
      <c r="J59" s="6"/>
      <c r="K59" s="6"/>
      <c r="L59" s="6"/>
      <c r="M59" s="6"/>
      <c r="N59" s="1336"/>
    </row>
    <row r="60" spans="1:14" x14ac:dyDescent="0.25">
      <c r="A60" s="1556" t="s">
        <v>1250</v>
      </c>
      <c r="B60" s="1296"/>
      <c r="C60" s="1296"/>
      <c r="D60" s="134"/>
      <c r="E60" s="147"/>
      <c r="H60" s="24"/>
      <c r="I60" s="6"/>
      <c r="J60" s="147"/>
      <c r="K60" s="147"/>
      <c r="L60" s="6"/>
      <c r="M60" s="6"/>
      <c r="N60" s="1336"/>
    </row>
    <row r="61" spans="1:14" x14ac:dyDescent="0.25">
      <c r="A61" s="1345" t="s">
        <v>1251</v>
      </c>
      <c r="B61" s="1296"/>
      <c r="C61" s="1296"/>
      <c r="D61" s="134"/>
      <c r="E61" s="147"/>
      <c r="H61" s="1681">
        <v>0.6</v>
      </c>
      <c r="I61" s="6" t="s">
        <v>1252</v>
      </c>
      <c r="J61" s="147"/>
      <c r="K61" s="1352">
        <f>(H49+H50)*H61</f>
        <v>36000</v>
      </c>
      <c r="L61" s="6"/>
      <c r="M61" s="6"/>
      <c r="N61" s="1336"/>
    </row>
    <row r="62" spans="1:14" x14ac:dyDescent="0.25">
      <c r="A62" s="1345"/>
      <c r="B62" s="64"/>
      <c r="C62" s="64"/>
      <c r="D62" s="134"/>
      <c r="E62" s="147"/>
      <c r="H62" s="24"/>
      <c r="I62" s="6"/>
      <c r="J62" s="147"/>
      <c r="K62" s="147"/>
      <c r="L62" s="6"/>
      <c r="M62" s="6"/>
      <c r="N62" s="1336"/>
    </row>
    <row r="63" spans="1:14" ht="18.75" x14ac:dyDescent="0.3">
      <c r="A63" s="1814" t="s">
        <v>2904</v>
      </c>
      <c r="B63" s="64"/>
      <c r="C63" s="64"/>
      <c r="D63" s="134"/>
      <c r="E63" s="147"/>
      <c r="H63" s="24"/>
      <c r="I63" s="6"/>
      <c r="J63" s="147"/>
      <c r="K63" s="147"/>
      <c r="L63" s="6"/>
      <c r="M63" s="6"/>
      <c r="N63" s="1336"/>
    </row>
    <row r="64" spans="1:14" x14ac:dyDescent="0.25">
      <c r="A64" s="1555" t="s">
        <v>810</v>
      </c>
      <c r="B64" s="64"/>
      <c r="C64" s="64"/>
      <c r="D64" s="134"/>
      <c r="E64" s="147"/>
      <c r="H64" s="24"/>
      <c r="I64" s="6"/>
      <c r="J64" s="147"/>
      <c r="K64" s="147"/>
      <c r="L64" s="6"/>
      <c r="M64" s="6"/>
      <c r="N64" s="1336"/>
    </row>
    <row r="65" spans="1:14" x14ac:dyDescent="0.25">
      <c r="A65" s="1345" t="s">
        <v>2819</v>
      </c>
      <c r="B65" s="64"/>
      <c r="C65" s="64"/>
      <c r="D65" s="134"/>
      <c r="E65" s="147"/>
      <c r="H65" s="1691">
        <v>7000</v>
      </c>
      <c r="I65" s="165" t="s">
        <v>3455</v>
      </c>
      <c r="J65" s="147"/>
      <c r="K65" s="147"/>
      <c r="L65" s="6"/>
      <c r="M65" s="6"/>
      <c r="N65" s="1336"/>
    </row>
    <row r="66" spans="1:14" x14ac:dyDescent="0.25">
      <c r="A66" s="1345" t="s">
        <v>2820</v>
      </c>
      <c r="B66" s="64"/>
      <c r="C66" s="64"/>
      <c r="D66" s="134"/>
      <c r="E66" s="147"/>
      <c r="H66" s="1691">
        <v>6500</v>
      </c>
      <c r="I66" s="6" t="s">
        <v>1312</v>
      </c>
      <c r="J66" s="147"/>
      <c r="K66" s="147"/>
      <c r="L66" s="6"/>
      <c r="M66" s="6"/>
      <c r="N66" s="1336"/>
    </row>
    <row r="67" spans="1:14" x14ac:dyDescent="0.25">
      <c r="A67" s="1345"/>
      <c r="B67" s="64"/>
      <c r="C67" s="64"/>
      <c r="D67" s="134"/>
      <c r="E67" s="147"/>
      <c r="H67" s="24"/>
      <c r="I67" s="6"/>
      <c r="J67" s="147"/>
      <c r="K67" s="147"/>
      <c r="L67" s="6"/>
      <c r="M67" s="6"/>
      <c r="N67" s="1336"/>
    </row>
    <row r="68" spans="1:14" x14ac:dyDescent="0.25">
      <c r="A68" s="1837" t="s">
        <v>1257</v>
      </c>
      <c r="B68" s="17"/>
      <c r="C68" s="17"/>
      <c r="D68" s="25"/>
      <c r="E68" s="24"/>
      <c r="F68" s="22"/>
      <c r="G68" s="23"/>
      <c r="H68" s="23"/>
      <c r="I68" s="23"/>
      <c r="J68" s="6"/>
      <c r="K68" s="6"/>
      <c r="L68" s="6"/>
      <c r="M68" s="6"/>
      <c r="N68" s="1336"/>
    </row>
    <row r="69" spans="1:14" x14ac:dyDescent="0.25">
      <c r="A69" s="1556" t="s">
        <v>1258</v>
      </c>
      <c r="B69" s="1296"/>
      <c r="C69" s="1296"/>
      <c r="D69" s="134"/>
      <c r="E69" s="147"/>
      <c r="H69" s="24"/>
      <c r="I69" s="1156"/>
      <c r="J69" s="147"/>
      <c r="K69" s="147"/>
      <c r="L69" s="6"/>
      <c r="M69" s="6"/>
      <c r="N69" s="1336"/>
    </row>
    <row r="70" spans="1:14" x14ac:dyDescent="0.25">
      <c r="A70" s="1345" t="s">
        <v>1259</v>
      </c>
      <c r="B70" s="1296"/>
      <c r="C70" s="1296"/>
      <c r="D70" s="134"/>
      <c r="E70" s="147"/>
      <c r="H70" s="1681">
        <v>0.55000000000000004</v>
      </c>
      <c r="I70" s="1156" t="s">
        <v>1468</v>
      </c>
      <c r="J70" s="147"/>
      <c r="L70" s="1352">
        <f>(H65+H66)*H70</f>
        <v>7425.0000000000009</v>
      </c>
      <c r="M70" s="6"/>
      <c r="N70" s="1336"/>
    </row>
    <row r="71" spans="1:14" x14ac:dyDescent="0.25">
      <c r="A71" s="1345"/>
      <c r="B71" s="64"/>
      <c r="C71" s="64"/>
      <c r="D71" s="134"/>
      <c r="E71" s="147"/>
      <c r="H71" s="24"/>
      <c r="I71" s="6" t="s">
        <v>1469</v>
      </c>
      <c r="J71" s="147"/>
      <c r="K71" s="147"/>
      <c r="L71" s="6"/>
      <c r="M71" s="6"/>
      <c r="N71" s="1336"/>
    </row>
    <row r="72" spans="1:14" ht="18.75" x14ac:dyDescent="0.3">
      <c r="A72" s="1814" t="s">
        <v>809</v>
      </c>
      <c r="B72" s="64"/>
      <c r="C72" s="64"/>
      <c r="D72" s="134"/>
      <c r="E72" s="147"/>
      <c r="H72" s="24"/>
      <c r="I72" s="6"/>
      <c r="J72" s="147"/>
      <c r="K72" s="147"/>
      <c r="L72" s="6"/>
      <c r="M72" s="6"/>
      <c r="N72" s="1336"/>
    </row>
    <row r="73" spans="1:14" x14ac:dyDescent="0.25">
      <c r="A73" s="1838" t="s">
        <v>714</v>
      </c>
      <c r="B73" s="6"/>
      <c r="C73" s="64"/>
      <c r="D73" s="134"/>
      <c r="F73" s="342"/>
      <c r="H73" s="343"/>
      <c r="I73" s="23"/>
      <c r="J73" s="147"/>
      <c r="K73" s="147"/>
      <c r="L73" s="6"/>
      <c r="M73" s="6"/>
      <c r="N73" s="1336"/>
    </row>
    <row r="74" spans="1:14" x14ac:dyDescent="0.25">
      <c r="A74" s="1345" t="s">
        <v>643</v>
      </c>
      <c r="B74" s="102"/>
      <c r="C74" s="102"/>
      <c r="D74" s="102"/>
      <c r="E74" s="102"/>
      <c r="H74" s="420">
        <f>IF(H75&gt;0,H75,'1. AgeData'!$E$38)</f>
        <v>0.02</v>
      </c>
      <c r="I74" s="293" t="s">
        <v>122</v>
      </c>
      <c r="J74" s="147"/>
      <c r="K74" s="147"/>
      <c r="L74" s="6"/>
      <c r="M74" s="6"/>
      <c r="N74" s="1336"/>
    </row>
    <row r="75" spans="1:14" x14ac:dyDescent="0.25">
      <c r="A75" s="1345" t="s">
        <v>1204</v>
      </c>
      <c r="B75" s="102"/>
      <c r="C75" s="102"/>
      <c r="D75" s="102"/>
      <c r="E75" s="102"/>
      <c r="H75" s="697">
        <v>0</v>
      </c>
      <c r="I75" s="3" t="s">
        <v>935</v>
      </c>
      <c r="J75" s="147"/>
      <c r="K75" s="147"/>
      <c r="L75" s="6"/>
      <c r="M75" s="6"/>
      <c r="N75" s="1336"/>
    </row>
    <row r="76" spans="1:14" x14ac:dyDescent="0.25">
      <c r="A76" s="1345"/>
      <c r="B76" s="102"/>
      <c r="C76" s="102"/>
      <c r="D76" s="102"/>
      <c r="E76" s="102"/>
      <c r="H76" s="25"/>
      <c r="I76" s="293"/>
      <c r="J76" s="147"/>
      <c r="K76" s="147"/>
      <c r="L76" s="6"/>
      <c r="M76" s="6"/>
      <c r="N76" s="1336"/>
    </row>
    <row r="77" spans="1:14" x14ac:dyDescent="0.25">
      <c r="A77" s="1345" t="s">
        <v>642</v>
      </c>
      <c r="B77" s="102"/>
      <c r="C77" s="102"/>
      <c r="D77" s="102"/>
      <c r="E77" s="102"/>
      <c r="H77" s="420">
        <f>IF(H78&gt;0,H78,'1. AgeData'!$E$38)</f>
        <v>0.02</v>
      </c>
      <c r="I77" s="293" t="s">
        <v>122</v>
      </c>
      <c r="J77" s="147"/>
      <c r="K77" s="147"/>
      <c r="L77" s="6"/>
      <c r="M77" s="6"/>
      <c r="N77" s="1336"/>
    </row>
    <row r="78" spans="1:14" x14ac:dyDescent="0.25">
      <c r="A78" s="1345" t="s">
        <v>1204</v>
      </c>
      <c r="B78" s="102"/>
      <c r="C78" s="102"/>
      <c r="D78" s="102"/>
      <c r="E78" s="102"/>
      <c r="H78" s="697">
        <v>0</v>
      </c>
      <c r="I78" s="3" t="s">
        <v>935</v>
      </c>
      <c r="J78" s="147"/>
      <c r="K78" s="147"/>
      <c r="L78" s="6"/>
      <c r="M78" s="6"/>
      <c r="N78" s="1336"/>
    </row>
    <row r="79" spans="1:14" x14ac:dyDescent="0.25">
      <c r="A79" s="1839"/>
      <c r="B79" s="102"/>
      <c r="C79" s="102"/>
      <c r="D79" s="102"/>
      <c r="E79" s="102"/>
      <c r="G79" s="25"/>
      <c r="H79" s="293"/>
      <c r="I79" s="23"/>
      <c r="J79" s="147"/>
      <c r="K79" s="147"/>
      <c r="L79" s="6"/>
      <c r="M79" s="6"/>
      <c r="N79" s="1336"/>
    </row>
    <row r="80" spans="1:14" x14ac:dyDescent="0.25">
      <c r="A80" s="1840"/>
      <c r="B80" s="64" t="s">
        <v>619</v>
      </c>
      <c r="I80" s="23"/>
      <c r="J80" s="147"/>
      <c r="K80" s="147"/>
      <c r="L80" s="6"/>
      <c r="M80" s="6"/>
      <c r="N80" s="1336"/>
    </row>
    <row r="81" spans="1:14" x14ac:dyDescent="0.25">
      <c r="A81" s="1840"/>
      <c r="B81" s="165" t="s">
        <v>264</v>
      </c>
      <c r="I81" s="23"/>
      <c r="J81" s="147"/>
      <c r="K81" s="147"/>
      <c r="L81" s="6"/>
      <c r="M81" s="6"/>
      <c r="N81" s="1336"/>
    </row>
    <row r="82" spans="1:14" x14ac:dyDescent="0.25">
      <c r="A82" s="1840"/>
      <c r="B82" s="165" t="s">
        <v>1203</v>
      </c>
      <c r="I82" s="23"/>
      <c r="J82" s="147"/>
      <c r="K82" s="147"/>
      <c r="L82" s="6"/>
      <c r="M82" s="6"/>
      <c r="N82" s="1336"/>
    </row>
    <row r="83" spans="1:14" x14ac:dyDescent="0.25">
      <c r="A83" s="1345" t="s">
        <v>617</v>
      </c>
      <c r="B83" s="64"/>
      <c r="C83" s="64"/>
      <c r="D83" s="298"/>
      <c r="E83" s="297"/>
      <c r="F83" s="1199">
        <f>IF(F84&lt;&gt;0,F84,'1. AgeData'!$D$30)</f>
        <v>60</v>
      </c>
      <c r="G83" s="166" t="str">
        <f>IF('10. ExpensesData'!$F$83&gt;='1. AgeData'!$D$30, ".", CONCATENATE("   ERROR in ExpensesData - must specify start age of Expenses &gt;= Current age of S1 of ",'1. AgeData'!$D$30))</f>
        <v>.</v>
      </c>
      <c r="I83" s="23"/>
      <c r="J83" s="147"/>
      <c r="K83" s="147"/>
      <c r="L83" s="6"/>
      <c r="M83" s="6"/>
      <c r="N83" s="1336"/>
    </row>
    <row r="84" spans="1:14" x14ac:dyDescent="0.25">
      <c r="A84" s="1345" t="s">
        <v>3442</v>
      </c>
      <c r="B84" s="64"/>
      <c r="C84" s="64"/>
      <c r="D84" s="298"/>
      <c r="E84" s="297"/>
      <c r="F84" s="1694">
        <v>0</v>
      </c>
      <c r="G84" s="166"/>
      <c r="H84" s="1180" t="s">
        <v>782</v>
      </c>
      <c r="I84" s="23"/>
      <c r="J84" s="147"/>
      <c r="K84" s="147"/>
      <c r="L84" s="6"/>
      <c r="M84" s="6"/>
      <c r="N84" s="1336"/>
    </row>
    <row r="85" spans="1:14" x14ac:dyDescent="0.25">
      <c r="A85" s="1345" t="s">
        <v>618</v>
      </c>
      <c r="B85" s="64"/>
      <c r="C85" s="64"/>
      <c r="D85" s="296"/>
      <c r="E85" s="297"/>
      <c r="F85" s="1199">
        <f>IF(F86&lt;&gt;0,F86,'1. AgeData'!$D$31)</f>
        <v>55</v>
      </c>
      <c r="G85" s="166" t="str">
        <f>IF('10. ExpensesData'!$F$85&gt;='1. AgeData'!$D$31, ".", CONCATENATE("   ERROR in ExpensesData - must specify start age of Expenses &gt;= Current age of S2 of ",'1. AgeData'!$D$31))</f>
        <v>.</v>
      </c>
      <c r="H85" s="23"/>
      <c r="I85" s="23"/>
      <c r="J85" s="147"/>
      <c r="K85" s="147"/>
      <c r="L85" s="6"/>
      <c r="M85" s="6"/>
      <c r="N85" s="1336"/>
    </row>
    <row r="86" spans="1:14" x14ac:dyDescent="0.25">
      <c r="A86" s="1345" t="s">
        <v>3443</v>
      </c>
      <c r="B86" s="64"/>
      <c r="C86" s="64"/>
      <c r="D86" s="296"/>
      <c r="E86" s="297"/>
      <c r="F86" s="1694">
        <v>0</v>
      </c>
      <c r="G86" s="166"/>
      <c r="H86" s="1180" t="s">
        <v>782</v>
      </c>
      <c r="I86" s="23"/>
      <c r="J86" s="147"/>
      <c r="K86" s="147"/>
      <c r="L86" s="6"/>
      <c r="M86" s="6"/>
      <c r="N86" s="1336"/>
    </row>
    <row r="87" spans="1:14" x14ac:dyDescent="0.25">
      <c r="A87" s="1345"/>
      <c r="B87" s="64"/>
      <c r="C87" s="64"/>
      <c r="D87" s="296"/>
      <c r="E87" s="297"/>
      <c r="F87" s="100"/>
      <c r="G87" s="166"/>
      <c r="H87" s="1547"/>
      <c r="I87" s="23"/>
      <c r="J87" s="147"/>
      <c r="K87" s="147"/>
      <c r="L87" s="6"/>
      <c r="M87" s="6"/>
      <c r="N87" s="1336"/>
    </row>
    <row r="88" spans="1:14" x14ac:dyDescent="0.25">
      <c r="A88" s="1345"/>
      <c r="B88" s="165" t="s">
        <v>265</v>
      </c>
      <c r="C88" s="64"/>
      <c r="D88" s="296"/>
      <c r="E88" s="297"/>
      <c r="F88" s="100"/>
      <c r="G88" s="166"/>
      <c r="H88" s="23"/>
      <c r="I88" s="23"/>
      <c r="J88" s="147"/>
      <c r="K88" s="147"/>
      <c r="L88" s="6"/>
      <c r="M88" s="6"/>
      <c r="N88" s="1336"/>
    </row>
    <row r="89" spans="1:14" x14ac:dyDescent="0.25">
      <c r="A89" s="84" t="s">
        <v>620</v>
      </c>
      <c r="B89" s="64"/>
      <c r="C89" s="64"/>
      <c r="D89" s="296"/>
      <c r="E89" s="297"/>
      <c r="F89" s="1199">
        <f>IF(F90&gt;'1. AgeData'!I30,F90,'1. AgeData'!I30)</f>
        <v>85</v>
      </c>
      <c r="G89" s="166" t="str">
        <f>IF('10. ExpensesData'!$F$89&gt;='10. ExpensesData'!$F$83,".",CONCATENATE("   ERROR in ExpensesData - must specify end age &gt;= Age start age for S1 which is ",'10. ExpensesData'!$F$83))</f>
        <v>.</v>
      </c>
      <c r="I89" s="23"/>
      <c r="J89" s="147"/>
      <c r="K89" s="147"/>
      <c r="L89" s="6"/>
      <c r="M89" s="6"/>
      <c r="N89" s="1336"/>
    </row>
    <row r="90" spans="1:14" x14ac:dyDescent="0.25">
      <c r="A90" s="84" t="s">
        <v>3444</v>
      </c>
      <c r="B90" s="64"/>
      <c r="C90" s="64"/>
      <c r="D90" s="296"/>
      <c r="E90" s="297"/>
      <c r="F90" s="1694">
        <v>0</v>
      </c>
      <c r="G90" s="166"/>
      <c r="H90" s="1180" t="s">
        <v>1238</v>
      </c>
      <c r="I90" s="23"/>
      <c r="J90" s="147"/>
      <c r="K90" s="147"/>
      <c r="L90" s="6"/>
      <c r="M90" s="6"/>
      <c r="N90" s="1336"/>
    </row>
    <row r="91" spans="1:14" x14ac:dyDescent="0.25">
      <c r="A91" s="1345" t="s">
        <v>621</v>
      </c>
      <c r="B91" s="64"/>
      <c r="C91" s="64"/>
      <c r="D91" s="296"/>
      <c r="E91" s="297"/>
      <c r="F91" s="1199">
        <f>IF(F92&gt;'1. AgeData'!I30,F92,'1. AgeData'!I31)</f>
        <v>87</v>
      </c>
      <c r="G91" s="166" t="str">
        <f>IF('10. ExpensesData'!$F$91&gt;='10. ExpensesData'!$F$85,".",CONCATENATE("   ERROR in ExpensesData - must specify end age &gt;= Age start age for S2 which is ",'10. ExpensesData'!$F$85))</f>
        <v>.</v>
      </c>
      <c r="H91" s="1180"/>
      <c r="I91" s="23"/>
      <c r="J91" s="147"/>
      <c r="K91" s="147"/>
      <c r="L91" s="6"/>
      <c r="M91" s="6"/>
      <c r="N91" s="1336"/>
    </row>
    <row r="92" spans="1:14" ht="15.75" thickBot="1" x14ac:dyDescent="0.3">
      <c r="A92" s="146" t="s">
        <v>3445</v>
      </c>
      <c r="B92" s="86"/>
      <c r="C92" s="86"/>
      <c r="D92" s="329"/>
      <c r="E92" s="330"/>
      <c r="F92" s="1715">
        <v>0</v>
      </c>
      <c r="G92" s="167"/>
      <c r="H92" s="1766" t="s">
        <v>1238</v>
      </c>
      <c r="I92" s="45"/>
      <c r="J92" s="224"/>
      <c r="K92" s="224"/>
      <c r="L92" s="41"/>
      <c r="M92" s="43"/>
      <c r="N92" s="6"/>
    </row>
    <row r="93" spans="1:14" ht="15.75" thickTop="1" x14ac:dyDescent="0.25">
      <c r="A93" s="84"/>
      <c r="B93" s="64"/>
      <c r="C93" s="64"/>
      <c r="D93" s="296"/>
      <c r="E93" s="297"/>
      <c r="F93" s="100"/>
      <c r="G93" s="166"/>
      <c r="H93" s="23"/>
      <c r="I93" s="23"/>
      <c r="J93" s="147"/>
      <c r="K93" s="147"/>
      <c r="L93" s="6"/>
      <c r="M93" s="6"/>
      <c r="N93" s="6"/>
    </row>
    <row r="94" spans="1:14" ht="15.75" thickBot="1" x14ac:dyDescent="0.3"/>
    <row r="95" spans="1:14" s="228" customFormat="1" ht="19.5" thickTop="1" x14ac:dyDescent="0.3">
      <c r="A95" s="265" t="s">
        <v>1528</v>
      </c>
      <c r="B95" s="756"/>
      <c r="C95" s="756"/>
      <c r="D95" s="756"/>
      <c r="E95" s="756"/>
      <c r="F95" s="756"/>
      <c r="G95" s="756"/>
      <c r="H95" s="756"/>
      <c r="I95" s="756"/>
      <c r="J95" s="756"/>
      <c r="K95" s="756"/>
      <c r="L95" s="756"/>
      <c r="M95" s="756"/>
      <c r="N95" s="1497"/>
    </row>
    <row r="96" spans="1:14" s="228" customFormat="1" ht="19.5" thickBot="1" x14ac:dyDescent="0.35">
      <c r="A96" s="163"/>
      <c r="B96" s="815"/>
      <c r="C96" s="815"/>
      <c r="D96" s="815"/>
      <c r="E96" s="815"/>
      <c r="F96" s="815"/>
      <c r="G96" s="815"/>
      <c r="H96" s="815"/>
      <c r="I96" s="815"/>
      <c r="J96" s="815"/>
      <c r="K96" s="815"/>
      <c r="L96" s="815"/>
      <c r="M96" s="815"/>
      <c r="N96" s="1497"/>
    </row>
    <row r="97" spans="1:14" s="228" customFormat="1" ht="19.5" thickBot="1" x14ac:dyDescent="0.35">
      <c r="A97" s="139"/>
      <c r="B97" s="818" t="str">
        <f>IF('S. Setup'!$J$63="no","IGNORING irregular Expenses &amp; Deductions by using $0","USING irregular Expenses &amp; Deductions")</f>
        <v>USING irregular Expenses &amp; Deductions</v>
      </c>
      <c r="C97" s="715"/>
      <c r="D97" s="715"/>
      <c r="E97" s="715"/>
      <c r="F97" s="715"/>
      <c r="G97" s="715"/>
      <c r="H97" s="715"/>
      <c r="I97" s="716"/>
      <c r="J97" s="815"/>
      <c r="K97" s="815"/>
      <c r="L97" s="815"/>
      <c r="M97" s="815"/>
      <c r="N97" s="1497"/>
    </row>
    <row r="98" spans="1:14" s="228" customFormat="1" ht="15.75" x14ac:dyDescent="0.25">
      <c r="A98" s="135"/>
      <c r="B98" s="1095" t="s">
        <v>179</v>
      </c>
      <c r="C98" s="1095"/>
      <c r="D98" s="1095"/>
      <c r="E98" s="1095"/>
      <c r="F98" s="1095"/>
      <c r="G98" s="1095"/>
      <c r="H98" s="1095"/>
      <c r="I98" s="1473" t="s">
        <v>1104</v>
      </c>
      <c r="J98" s="815"/>
      <c r="K98" s="815"/>
      <c r="L98" s="815"/>
      <c r="M98" s="815"/>
      <c r="N98" s="1497"/>
    </row>
    <row r="99" spans="1:14" s="228" customFormat="1" ht="15.75" x14ac:dyDescent="0.25">
      <c r="A99" s="135"/>
      <c r="B99" s="815"/>
      <c r="C99" s="815"/>
      <c r="D99" s="815"/>
      <c r="E99" s="815"/>
      <c r="F99" s="815"/>
      <c r="G99" s="815"/>
      <c r="H99" s="815"/>
      <c r="I99" s="815"/>
      <c r="J99" s="815"/>
      <c r="K99" s="815"/>
      <c r="L99" s="815"/>
      <c r="M99" s="815"/>
      <c r="N99" s="1497"/>
    </row>
    <row r="100" spans="1:14" x14ac:dyDescent="0.25">
      <c r="A100" s="38" t="s">
        <v>3458</v>
      </c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1336"/>
    </row>
    <row r="101" spans="1:14" x14ac:dyDescent="0.25">
      <c r="A101" s="38" t="s">
        <v>1527</v>
      </c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1336"/>
    </row>
    <row r="102" spans="1:14" ht="15.75" x14ac:dyDescent="0.25">
      <c r="A102" s="1267" t="s">
        <v>3457</v>
      </c>
      <c r="B102" s="294"/>
      <c r="C102" s="294"/>
      <c r="D102" s="294"/>
      <c r="E102" s="294"/>
      <c r="F102" s="295"/>
      <c r="G102" s="66"/>
      <c r="H102" s="6"/>
      <c r="I102" s="6"/>
      <c r="J102" s="6"/>
      <c r="K102" s="6"/>
      <c r="L102" s="6"/>
      <c r="M102" s="6"/>
      <c r="N102" s="1336"/>
    </row>
    <row r="103" spans="1:14" ht="15.75" thickBot="1" x14ac:dyDescent="0.3">
      <c r="A103" s="691"/>
      <c r="B103" s="6"/>
      <c r="C103" s="6"/>
      <c r="D103" s="6"/>
      <c r="E103" s="6"/>
      <c r="F103" s="543"/>
      <c r="G103" s="543"/>
      <c r="H103" s="543"/>
      <c r="I103" s="33"/>
      <c r="J103" s="33"/>
      <c r="K103" s="33"/>
      <c r="L103" s="33"/>
      <c r="M103" s="6"/>
      <c r="N103" s="1336"/>
    </row>
    <row r="104" spans="1:14" ht="19.5" thickTop="1" x14ac:dyDescent="0.3">
      <c r="A104" s="1340" t="s">
        <v>1524</v>
      </c>
      <c r="B104" s="1498"/>
      <c r="C104" s="1498"/>
      <c r="D104" s="1498"/>
      <c r="E104" s="1498"/>
      <c r="F104" s="1498"/>
      <c r="G104" s="1498"/>
      <c r="H104" s="1498"/>
      <c r="I104" s="1341"/>
      <c r="J104" s="1341"/>
      <c r="K104" s="1341"/>
      <c r="L104" s="1341"/>
      <c r="M104" s="1342"/>
      <c r="N104" s="1336"/>
    </row>
    <row r="105" spans="1:14" ht="15.75" x14ac:dyDescent="0.25">
      <c r="A105" s="1416" t="s">
        <v>1480</v>
      </c>
      <c r="B105" s="693"/>
      <c r="C105" s="693"/>
      <c r="D105" s="693"/>
      <c r="E105" s="693"/>
      <c r="F105" s="693"/>
      <c r="G105" s="693"/>
      <c r="H105" s="693"/>
      <c r="I105" s="6"/>
      <c r="J105" s="6"/>
      <c r="K105" s="6"/>
      <c r="L105" s="6"/>
      <c r="M105" s="1311"/>
      <c r="N105" s="1336"/>
    </row>
    <row r="106" spans="1:14" ht="15.75" x14ac:dyDescent="0.25">
      <c r="A106" s="1416" t="s">
        <v>1228</v>
      </c>
      <c r="B106" s="693"/>
      <c r="C106" s="693"/>
      <c r="D106" s="693"/>
      <c r="E106" s="693"/>
      <c r="F106" s="693"/>
      <c r="G106" s="693"/>
      <c r="H106" s="693"/>
      <c r="I106" s="6"/>
      <c r="J106" s="6"/>
      <c r="K106" s="6"/>
      <c r="L106" s="6"/>
      <c r="M106" s="1311"/>
      <c r="N106" s="1336"/>
    </row>
    <row r="107" spans="1:14" ht="15.75" x14ac:dyDescent="0.25">
      <c r="A107" s="1416" t="s">
        <v>3459</v>
      </c>
      <c r="B107" s="693"/>
      <c r="C107" s="693"/>
      <c r="D107" s="693"/>
      <c r="E107" s="693"/>
      <c r="F107" s="693"/>
      <c r="G107" s="693"/>
      <c r="H107" s="693"/>
      <c r="I107" s="6"/>
      <c r="J107" s="6"/>
      <c r="K107" s="6"/>
      <c r="L107" s="6"/>
      <c r="M107" s="1311"/>
      <c r="N107" s="1336"/>
    </row>
    <row r="108" spans="1:14" ht="15.75" x14ac:dyDescent="0.25">
      <c r="A108" s="1416" t="s">
        <v>1431</v>
      </c>
      <c r="B108" s="693"/>
      <c r="C108" s="693"/>
      <c r="D108" s="693"/>
      <c r="E108" s="693"/>
      <c r="F108" s="693"/>
      <c r="G108" s="693"/>
      <c r="H108" s="693"/>
      <c r="I108" s="6"/>
      <c r="J108" s="6"/>
      <c r="K108" s="6"/>
      <c r="L108" s="6"/>
      <c r="M108" s="1311"/>
      <c r="N108" s="1336"/>
    </row>
    <row r="109" spans="1:14" ht="15.75" x14ac:dyDescent="0.25">
      <c r="A109" s="1267" t="s">
        <v>1507</v>
      </c>
      <c r="B109" s="693"/>
      <c r="C109" s="693"/>
      <c r="D109" s="693"/>
      <c r="E109" s="693"/>
      <c r="F109" s="693"/>
      <c r="G109" s="693"/>
      <c r="H109" s="693"/>
      <c r="I109" s="6"/>
      <c r="J109" s="6"/>
      <c r="K109" s="6"/>
      <c r="L109" s="6"/>
      <c r="M109" s="1311"/>
      <c r="N109" s="1336"/>
    </row>
    <row r="110" spans="1:14" ht="15.75" x14ac:dyDescent="0.25">
      <c r="A110" s="1416"/>
      <c r="B110" s="693"/>
      <c r="C110" s="693"/>
      <c r="D110" s="693"/>
      <c r="E110" s="693"/>
      <c r="F110" s="693"/>
      <c r="G110" s="693"/>
      <c r="H110" s="693"/>
      <c r="I110" s="6"/>
      <c r="J110" s="6"/>
      <c r="K110" s="6"/>
      <c r="L110" s="6"/>
      <c r="M110" s="1311"/>
      <c r="N110" s="1336"/>
    </row>
    <row r="111" spans="1:14" ht="15.75" x14ac:dyDescent="0.25">
      <c r="A111" s="1416" t="s">
        <v>3354</v>
      </c>
      <c r="B111" s="693"/>
      <c r="C111" s="693"/>
      <c r="D111" s="693"/>
      <c r="E111" s="693"/>
      <c r="F111" s="693"/>
      <c r="G111" s="693"/>
      <c r="H111" s="693"/>
      <c r="I111" s="6"/>
      <c r="J111" s="6"/>
      <c r="K111" s="6"/>
      <c r="L111" s="6"/>
      <c r="M111" s="1311"/>
      <c r="N111" s="1336"/>
    </row>
    <row r="112" spans="1:14" ht="15.75" x14ac:dyDescent="0.25">
      <c r="A112" s="1416" t="s">
        <v>3355</v>
      </c>
      <c r="B112" s="693"/>
      <c r="C112" s="693"/>
      <c r="D112" s="693"/>
      <c r="E112" s="693"/>
      <c r="F112" s="693"/>
      <c r="G112" s="693"/>
      <c r="H112" s="693"/>
      <c r="I112" s="6"/>
      <c r="J112" s="6"/>
      <c r="K112" s="6"/>
      <c r="L112" s="6"/>
      <c r="M112" s="1311"/>
      <c r="N112" s="1336"/>
    </row>
    <row r="113" spans="1:14" ht="15.75" x14ac:dyDescent="0.25">
      <c r="A113" s="1416" t="s">
        <v>1920</v>
      </c>
      <c r="B113" s="693"/>
      <c r="C113" s="693"/>
      <c r="D113" s="693"/>
      <c r="E113" s="693"/>
      <c r="F113" s="693"/>
      <c r="G113" s="693"/>
      <c r="H113" s="693"/>
      <c r="I113" s="6"/>
      <c r="J113" s="6"/>
      <c r="K113" s="6"/>
      <c r="L113" s="6"/>
      <c r="M113" s="1311"/>
      <c r="N113" s="1336"/>
    </row>
    <row r="114" spans="1:14" ht="16.5" thickBot="1" x14ac:dyDescent="0.3">
      <c r="A114" s="214"/>
      <c r="B114" s="1499"/>
      <c r="C114" s="1499"/>
      <c r="D114" s="1499"/>
      <c r="E114" s="1499"/>
      <c r="F114" s="1499"/>
      <c r="G114" s="1499"/>
      <c r="H114" s="1499"/>
      <c r="I114" s="1314"/>
      <c r="J114" s="1314"/>
      <c r="K114" s="1314"/>
      <c r="L114" s="1314"/>
      <c r="M114" s="1315"/>
      <c r="N114" s="1336"/>
    </row>
    <row r="115" spans="1:14" s="306" customFormat="1" ht="37.5" thickTop="1" thickBot="1" x14ac:dyDescent="0.25">
      <c r="A115" s="1857" t="s">
        <v>687</v>
      </c>
      <c r="B115" s="666" t="s">
        <v>1424</v>
      </c>
      <c r="C115" s="1908" t="s">
        <v>630</v>
      </c>
      <c r="D115" s="1859" t="s">
        <v>623</v>
      </c>
      <c r="E115" s="1860" t="s">
        <v>624</v>
      </c>
      <c r="F115" s="1861" t="s">
        <v>625</v>
      </c>
      <c r="G115" s="1858" t="s">
        <v>1425</v>
      </c>
      <c r="H115" s="1908" t="s">
        <v>626</v>
      </c>
      <c r="I115" s="1859" t="s">
        <v>627</v>
      </c>
      <c r="J115" s="1860" t="s">
        <v>628</v>
      </c>
      <c r="K115" s="1862" t="s">
        <v>629</v>
      </c>
      <c r="L115" s="1863"/>
      <c r="M115" s="1864"/>
    </row>
    <row r="116" spans="1:14" s="306" customFormat="1" ht="26.25" thickTop="1" x14ac:dyDescent="0.2">
      <c r="A116" s="1487">
        <v>1</v>
      </c>
      <c r="B116" s="1798" t="s">
        <v>1423</v>
      </c>
      <c r="C116" s="3229">
        <v>61</v>
      </c>
      <c r="D116" s="3230" t="s">
        <v>2450</v>
      </c>
      <c r="E116" s="3231">
        <v>1234</v>
      </c>
      <c r="F116" s="1905">
        <f>IF(E116=0,0,  E116*(IF(B116="FE",1,POWER((1+'2. TaxData'!$I$65),(C116-'1. AgeData'!$D$30)))))</f>
        <v>1258.68</v>
      </c>
      <c r="G116" s="1798" t="s">
        <v>1423</v>
      </c>
      <c r="H116" s="1707">
        <v>56</v>
      </c>
      <c r="I116" s="3232" t="s">
        <v>2466</v>
      </c>
      <c r="J116" s="1682">
        <v>2000</v>
      </c>
      <c r="K116" s="1865">
        <f>IF(J116=0,0,  J116*IF(G116="FE",1,POWER((1+'2. TaxData'!$I$65),(H116-'1. AgeData'!$D$31))))</f>
        <v>2040</v>
      </c>
      <c r="L116" s="316"/>
      <c r="M116" s="1455"/>
    </row>
    <row r="117" spans="1:14" s="306" customFormat="1" ht="12" x14ac:dyDescent="0.2">
      <c r="A117" s="1487">
        <v>2</v>
      </c>
      <c r="B117" s="1798" t="s">
        <v>1423</v>
      </c>
      <c r="C117" s="1707">
        <v>0</v>
      </c>
      <c r="D117" s="1717"/>
      <c r="E117" s="1683">
        <v>0</v>
      </c>
      <c r="F117" s="1213">
        <f>IF(E117=0,0,  E117*(IF(B117="FE",1,POWER((1+'2. TaxData'!$I$65),(C117-'1. AgeData'!$D$30)))))</f>
        <v>0</v>
      </c>
      <c r="G117" s="1798" t="s">
        <v>1423</v>
      </c>
      <c r="H117" s="1707">
        <v>0</v>
      </c>
      <c r="I117" s="1717"/>
      <c r="J117" s="1682">
        <v>0</v>
      </c>
      <c r="K117" s="1865">
        <f>IF(J117=0,0,  J117*IF(G117="FE",1,POWER((1+'2. TaxData'!$I$65),(H117-'1. AgeData'!$D$31))))</f>
        <v>0</v>
      </c>
      <c r="L117" s="316"/>
      <c r="M117" s="1455"/>
    </row>
    <row r="118" spans="1:14" s="306" customFormat="1" ht="12.75" x14ac:dyDescent="0.2">
      <c r="A118" s="1487">
        <v>3</v>
      </c>
      <c r="B118" s="1798" t="s">
        <v>1423</v>
      </c>
      <c r="C118" s="1700">
        <v>60</v>
      </c>
      <c r="D118" s="3232" t="s">
        <v>2439</v>
      </c>
      <c r="E118" s="3233">
        <v>9000</v>
      </c>
      <c r="F118" s="1213">
        <f>IF(E118=0,0,  E118*(IF(B118="FE",1,POWER((1+'2. TaxData'!$I$65),(C118-'1. AgeData'!$D$30)))))</f>
        <v>9000</v>
      </c>
      <c r="G118" s="1798" t="s">
        <v>1423</v>
      </c>
      <c r="H118" s="1700">
        <v>64</v>
      </c>
      <c r="I118" s="3232" t="s">
        <v>2439</v>
      </c>
      <c r="J118" s="3234">
        <v>6000</v>
      </c>
      <c r="K118" s="1865">
        <f>IF(J118=0,0,  J118*IF(G118="FE",1,POWER((1+'2. TaxData'!$I$65),(H118-'1. AgeData'!$D$31))))</f>
        <v>7170.5554117338652</v>
      </c>
      <c r="L118" s="316"/>
      <c r="M118" s="1455"/>
    </row>
    <row r="119" spans="1:14" s="306" customFormat="1" ht="12.75" x14ac:dyDescent="0.2">
      <c r="A119" s="1487">
        <v>4</v>
      </c>
      <c r="B119" s="1798" t="s">
        <v>1423</v>
      </c>
      <c r="C119" s="1700">
        <v>71</v>
      </c>
      <c r="D119" s="3232" t="s">
        <v>2449</v>
      </c>
      <c r="E119" s="3233">
        <v>30000</v>
      </c>
      <c r="F119" s="1213">
        <f>IF(E119=0,0,  E119*(IF(B119="FE",1,POWER((1+'2. TaxData'!$I$65),(C119-'1. AgeData'!$D$30)))))</f>
        <v>37301.229251839562</v>
      </c>
      <c r="G119" s="1798" t="s">
        <v>1423</v>
      </c>
      <c r="H119" s="1700">
        <v>74</v>
      </c>
      <c r="I119" s="3232" t="s">
        <v>2449</v>
      </c>
      <c r="J119" s="1904">
        <v>30000</v>
      </c>
      <c r="K119" s="1865">
        <f>IF(J119=0,0,  J119*IF(G119="FE",1,POWER((1+'2. TaxData'!$I$65),(H119-'1. AgeData'!$D$31))))</f>
        <v>43704.335175833941</v>
      </c>
      <c r="L119" s="316"/>
      <c r="M119" s="1455"/>
    </row>
    <row r="120" spans="1:14" s="306" customFormat="1" ht="12" x14ac:dyDescent="0.2">
      <c r="A120" s="1487">
        <v>5</v>
      </c>
      <c r="B120" s="1798" t="s">
        <v>1423</v>
      </c>
      <c r="C120" s="1707">
        <v>0</v>
      </c>
      <c r="D120" s="1717"/>
      <c r="E120" s="1683">
        <v>0</v>
      </c>
      <c r="F120" s="1213">
        <f>IF(E120=0,0,  E120*(IF(B120="FE",1,POWER((1+'2. TaxData'!$I$65),(C120-'1. AgeData'!$D$30)))))</f>
        <v>0</v>
      </c>
      <c r="G120" s="1798" t="s">
        <v>1423</v>
      </c>
      <c r="H120" s="1707">
        <v>0</v>
      </c>
      <c r="I120" s="1717"/>
      <c r="J120" s="1682">
        <v>0</v>
      </c>
      <c r="K120" s="1865">
        <f>IF(J120=0,0,  J120*IF(G120="FE",1,POWER((1+'2. TaxData'!$I$65),(H120-'1. AgeData'!$D$31))))</f>
        <v>0</v>
      </c>
      <c r="L120" s="316"/>
      <c r="M120" s="1455"/>
    </row>
    <row r="121" spans="1:14" s="306" customFormat="1" ht="12.75" x14ac:dyDescent="0.2">
      <c r="A121" s="1487">
        <v>6</v>
      </c>
      <c r="B121" s="1798" t="s">
        <v>1423</v>
      </c>
      <c r="C121" s="1700">
        <v>60</v>
      </c>
      <c r="D121" s="3232" t="s">
        <v>2440</v>
      </c>
      <c r="E121" s="3233">
        <v>1500</v>
      </c>
      <c r="F121" s="1213">
        <f>IF(E121=0,0,  E121*(IF(B121="FE",1,POWER((1+'2. TaxData'!$I$65),(C121-'1. AgeData'!$D$30)))))</f>
        <v>1500</v>
      </c>
      <c r="G121" s="1798" t="s">
        <v>1423</v>
      </c>
      <c r="H121" s="1700">
        <v>55</v>
      </c>
      <c r="I121" s="3232" t="s">
        <v>2440</v>
      </c>
      <c r="J121" s="3234">
        <v>1500</v>
      </c>
      <c r="K121" s="1865">
        <f>IF(J121=0,0,  J121*IF(G121="FE",1,POWER((1+'2. TaxData'!$I$65),(H121-'1. AgeData'!$D$31))))</f>
        <v>1500</v>
      </c>
      <c r="L121" s="316"/>
      <c r="M121" s="1455"/>
    </row>
    <row r="122" spans="1:14" s="306" customFormat="1" ht="25.5" x14ac:dyDescent="0.2">
      <c r="A122" s="1487">
        <v>7</v>
      </c>
      <c r="B122" s="1798" t="s">
        <v>1423</v>
      </c>
      <c r="C122" s="1700">
        <v>70</v>
      </c>
      <c r="D122" s="3232" t="s">
        <v>2452</v>
      </c>
      <c r="E122" s="3233">
        <v>10000</v>
      </c>
      <c r="F122" s="1213">
        <f>IF(E122=0,0,  E122*(IF(B122="FE",1,POWER((1+'2. TaxData'!$I$65),(C122-'1. AgeData'!$D$30)))))</f>
        <v>12189.944199947571</v>
      </c>
      <c r="G122" s="1798" t="s">
        <v>1423</v>
      </c>
      <c r="H122" s="1700">
        <v>65</v>
      </c>
      <c r="I122" s="3232" t="s">
        <v>2452</v>
      </c>
      <c r="J122" s="3234">
        <v>10000</v>
      </c>
      <c r="K122" s="1865">
        <f>IF(J122=0,0,  J122*IF(G122="FE",1,POWER((1+'2. TaxData'!$I$65),(H122-'1. AgeData'!$D$31))))</f>
        <v>12189.944199947571</v>
      </c>
      <c r="L122" s="316"/>
      <c r="M122" s="1455"/>
    </row>
    <row r="123" spans="1:14" s="306" customFormat="1" ht="12.75" x14ac:dyDescent="0.2">
      <c r="A123" s="1487">
        <v>8</v>
      </c>
      <c r="B123" s="1798" t="s">
        <v>1423</v>
      </c>
      <c r="C123" s="1700">
        <v>71</v>
      </c>
      <c r="D123" s="3232" t="s">
        <v>2440</v>
      </c>
      <c r="E123" s="3233">
        <v>4000</v>
      </c>
      <c r="F123" s="1213">
        <f>IF(E123=0,0,  E123*(IF(B123="FE",1,POWER((1+'2. TaxData'!$I$65),(C123-'1. AgeData'!$D$30)))))</f>
        <v>4973.4972335786078</v>
      </c>
      <c r="G123" s="1798" t="s">
        <v>1423</v>
      </c>
      <c r="H123" s="1700">
        <v>66</v>
      </c>
      <c r="I123" s="3232" t="s">
        <v>2440</v>
      </c>
      <c r="J123" s="3234">
        <v>3500</v>
      </c>
      <c r="K123" s="1865">
        <f>IF(J123=0,0,  J123*IF(G123="FE",1,POWER((1+'2. TaxData'!$I$65),(H123-'1. AgeData'!$D$31))))</f>
        <v>4351.8100793812819</v>
      </c>
      <c r="L123" s="316"/>
      <c r="M123" s="1455"/>
    </row>
    <row r="124" spans="1:14" s="306" customFormat="1" ht="12" x14ac:dyDescent="0.2">
      <c r="A124" s="1487">
        <v>9</v>
      </c>
      <c r="B124" s="1798" t="s">
        <v>1423</v>
      </c>
      <c r="C124" s="1707">
        <v>0</v>
      </c>
      <c r="D124" s="1717"/>
      <c r="E124" s="1683">
        <v>0</v>
      </c>
      <c r="F124" s="1213">
        <f>IF(E124=0,0,  E124*(IF(B124="FE",1,POWER((1+'2. TaxData'!$I$65),(C124-'1. AgeData'!$D$30)))))</f>
        <v>0</v>
      </c>
      <c r="G124" s="1798" t="s">
        <v>1423</v>
      </c>
      <c r="H124" s="1707">
        <v>0</v>
      </c>
      <c r="I124" s="1717"/>
      <c r="J124" s="1682">
        <v>0</v>
      </c>
      <c r="K124" s="1865">
        <f>IF(J124=0,0,  J124*IF(G124="FE",1,POWER((1+'2. TaxData'!$I$65),(H124-'1. AgeData'!$D$31))))</f>
        <v>0</v>
      </c>
      <c r="L124" s="316"/>
      <c r="M124" s="1455"/>
    </row>
    <row r="125" spans="1:14" s="306" customFormat="1" ht="12.75" x14ac:dyDescent="0.2">
      <c r="A125" s="1487">
        <v>10</v>
      </c>
      <c r="B125" s="1798" t="s">
        <v>1423</v>
      </c>
      <c r="C125" s="1700">
        <v>62</v>
      </c>
      <c r="D125" s="3232" t="s">
        <v>2442</v>
      </c>
      <c r="E125" s="3233">
        <v>1400</v>
      </c>
      <c r="F125" s="1213">
        <f>IF(E125=0,0,  E125*(IF(B125="FE",1,POWER((1+'2. TaxData'!$I$65),(C125-'1. AgeData'!$D$30)))))</f>
        <v>1456.56</v>
      </c>
      <c r="G125" s="1798" t="s">
        <v>1423</v>
      </c>
      <c r="H125" s="1700">
        <v>59</v>
      </c>
      <c r="I125" s="3232" t="s">
        <v>2442</v>
      </c>
      <c r="J125" s="3234">
        <v>1500</v>
      </c>
      <c r="K125" s="1865">
        <f>IF(J125=0,0,  J125*IF(G125="FE",1,POWER((1+'2. TaxData'!$I$65),(H125-'1. AgeData'!$D$31))))</f>
        <v>1623.64824</v>
      </c>
      <c r="L125" s="316"/>
      <c r="M125" s="1455"/>
    </row>
    <row r="126" spans="1:14" s="306" customFormat="1" ht="12.75" x14ac:dyDescent="0.2">
      <c r="A126" s="1487">
        <v>11</v>
      </c>
      <c r="B126" s="1798" t="s">
        <v>1423</v>
      </c>
      <c r="C126" s="1700">
        <v>74</v>
      </c>
      <c r="D126" s="3232" t="s">
        <v>2442</v>
      </c>
      <c r="E126" s="3233">
        <v>1500</v>
      </c>
      <c r="F126" s="1213">
        <f>IF(E126=0,0,  E126*(IF(B126="FE",1,POWER((1+'2. TaxData'!$I$65),(C126-'1. AgeData'!$D$30)))))</f>
        <v>1979.2181445943081</v>
      </c>
      <c r="G126" s="1798" t="s">
        <v>1423</v>
      </c>
      <c r="H126" s="1700">
        <v>63</v>
      </c>
      <c r="I126" s="3232" t="s">
        <v>2442</v>
      </c>
      <c r="J126" s="3234">
        <v>1500</v>
      </c>
      <c r="K126" s="1865">
        <f>IF(J126=0,0,  J126*IF(G126="FE",1,POWER((1+'2. TaxData'!$I$65),(H126-'1. AgeData'!$D$31))))</f>
        <v>1757.4890715033982</v>
      </c>
      <c r="L126" s="316"/>
      <c r="M126" s="1455"/>
    </row>
    <row r="127" spans="1:14" s="306" customFormat="1" ht="12.75" x14ac:dyDescent="0.2">
      <c r="A127" s="1487">
        <v>12</v>
      </c>
      <c r="B127" s="1798" t="s">
        <v>1423</v>
      </c>
      <c r="C127" s="1700">
        <v>76</v>
      </c>
      <c r="D127" s="3232" t="s">
        <v>2442</v>
      </c>
      <c r="E127" s="3233">
        <v>1500</v>
      </c>
      <c r="F127" s="1213">
        <f>IF(E127=0,0,  E127*(IF(B127="FE",1,POWER((1+'2. TaxData'!$I$65),(C127-'1. AgeData'!$D$30)))))</f>
        <v>2059.178557635918</v>
      </c>
      <c r="G127" s="1798" t="s">
        <v>1423</v>
      </c>
      <c r="H127" s="1700">
        <v>74</v>
      </c>
      <c r="I127" s="3232" t="s">
        <v>2442</v>
      </c>
      <c r="J127" s="3234">
        <v>1300</v>
      </c>
      <c r="K127" s="1865">
        <f>IF(J127=0,0,  J127*IF(G127="FE",1,POWER((1+'2. TaxData'!$I$65),(H127-'1. AgeData'!$D$31))))</f>
        <v>1893.8545242861376</v>
      </c>
      <c r="L127" s="316"/>
      <c r="M127" s="1455"/>
    </row>
    <row r="128" spans="1:14" s="306" customFormat="1" ht="12" x14ac:dyDescent="0.2">
      <c r="A128" s="1487">
        <v>13</v>
      </c>
      <c r="B128" s="1798" t="s">
        <v>1423</v>
      </c>
      <c r="C128" s="1707">
        <v>0</v>
      </c>
      <c r="D128" s="1717"/>
      <c r="E128" s="1683">
        <v>0</v>
      </c>
      <c r="F128" s="1213">
        <f>IF(E128=0,0,  E128*(IF(B128="FE",1,POWER((1+'2. TaxData'!$I$65),(C128-'1. AgeData'!$D$30)))))</f>
        <v>0</v>
      </c>
      <c r="G128" s="1798" t="s">
        <v>1423</v>
      </c>
      <c r="H128" s="1707">
        <v>0</v>
      </c>
      <c r="I128" s="1717"/>
      <c r="J128" s="1682">
        <v>0</v>
      </c>
      <c r="K128" s="1865">
        <f>IF(J128=0,0,  J128*IF(G128="FE",1,POWER((1+'2. TaxData'!$I$65),(H128-'1. AgeData'!$D$31))))</f>
        <v>0</v>
      </c>
      <c r="L128" s="316"/>
      <c r="M128" s="1455"/>
    </row>
    <row r="129" spans="1:13" s="306" customFormat="1" ht="12" x14ac:dyDescent="0.2">
      <c r="A129" s="1487">
        <v>14</v>
      </c>
      <c r="B129" s="1798" t="s">
        <v>1423</v>
      </c>
      <c r="C129" s="1707">
        <v>0</v>
      </c>
      <c r="D129" s="1717"/>
      <c r="E129" s="1683">
        <v>0</v>
      </c>
      <c r="F129" s="1213">
        <f>IF(E129=0,0,  E129*(IF(B129="FE",1,POWER((1+'2. TaxData'!$I$65),(C129-'1. AgeData'!$D$30)))))</f>
        <v>0</v>
      </c>
      <c r="G129" s="1798" t="s">
        <v>1423</v>
      </c>
      <c r="H129" s="1707">
        <v>0</v>
      </c>
      <c r="I129" s="1717"/>
      <c r="J129" s="1682">
        <v>0</v>
      </c>
      <c r="K129" s="1865">
        <f>IF(J129=0,0,  J129*IF(G129="FE",1,POWER((1+'2. TaxData'!$I$65),(H129-'1. AgeData'!$D$31))))</f>
        <v>0</v>
      </c>
      <c r="L129" s="316"/>
      <c r="M129" s="1455"/>
    </row>
    <row r="130" spans="1:13" s="306" customFormat="1" ht="51" x14ac:dyDescent="0.2">
      <c r="A130" s="1487">
        <v>15</v>
      </c>
      <c r="B130" s="1798" t="s">
        <v>1423</v>
      </c>
      <c r="C130" s="1700">
        <v>75</v>
      </c>
      <c r="D130" s="3232" t="s">
        <v>2441</v>
      </c>
      <c r="E130" s="3233">
        <v>75000</v>
      </c>
      <c r="F130" s="1213">
        <f>IF(E130=0,0,  E130*(IF(B130="FE",1,POWER((1+'2. TaxData'!$I$65),(C130-'1. AgeData'!$D$30)))))</f>
        <v>100940.12537430969</v>
      </c>
      <c r="G130" s="1798" t="s">
        <v>1423</v>
      </c>
      <c r="H130" s="1700">
        <v>70</v>
      </c>
      <c r="I130" s="3232" t="s">
        <v>2441</v>
      </c>
      <c r="J130" s="3234">
        <v>75000</v>
      </c>
      <c r="K130" s="1865">
        <f>IF(J130=0,0,  J130*IF(G130="FE",1,POWER((1+'2. TaxData'!$I$65),(H130-'1. AgeData'!$D$31))))</f>
        <v>100940.12537430969</v>
      </c>
      <c r="L130" s="316"/>
      <c r="M130" s="1455"/>
    </row>
    <row r="131" spans="1:13" s="306" customFormat="1" ht="24" x14ac:dyDescent="0.2">
      <c r="A131" s="1487">
        <v>16</v>
      </c>
      <c r="B131" s="1798" t="s">
        <v>1423</v>
      </c>
      <c r="C131" s="1707">
        <v>72</v>
      </c>
      <c r="D131" s="1717" t="s">
        <v>2453</v>
      </c>
      <c r="E131" s="1683">
        <v>10000</v>
      </c>
      <c r="F131" s="1213">
        <f>IF(E131=0,0,  E131*(IF(B131="FE",1,POWER((1+'2. TaxData'!$I$65),(C131-'1. AgeData'!$D$30)))))</f>
        <v>12682.417945625453</v>
      </c>
      <c r="G131" s="1798" t="s">
        <v>1423</v>
      </c>
      <c r="H131" s="1707">
        <v>67</v>
      </c>
      <c r="I131" s="1717" t="s">
        <v>2453</v>
      </c>
      <c r="J131" s="1682">
        <v>5000</v>
      </c>
      <c r="K131" s="1865">
        <f>IF(J131=0,0,  J131*IF(G131="FE",1,POWER((1+'2. TaxData'!$I$65),(H131-'1. AgeData'!$D$31))))</f>
        <v>6341.2089728127266</v>
      </c>
      <c r="L131" s="316"/>
      <c r="M131" s="1455"/>
    </row>
    <row r="132" spans="1:13" s="306" customFormat="1" ht="12" x14ac:dyDescent="0.2">
      <c r="A132" s="1487">
        <v>17</v>
      </c>
      <c r="B132" s="1798" t="s">
        <v>1423</v>
      </c>
      <c r="C132" s="3221">
        <v>0</v>
      </c>
      <c r="D132" s="1718"/>
      <c r="E132" s="1903">
        <v>0</v>
      </c>
      <c r="F132" s="1213">
        <f>IF(E132=0,0,  E132*(IF(B132="FE",1,POWER((1+'2. TaxData'!$I$65),(C132-'1. AgeData'!$D$30)))))</f>
        <v>0</v>
      </c>
      <c r="G132" s="1798" t="s">
        <v>1423</v>
      </c>
      <c r="H132" s="3221">
        <v>0</v>
      </c>
      <c r="I132" s="1718"/>
      <c r="J132" s="3223">
        <v>0</v>
      </c>
      <c r="K132" s="1865">
        <f>IF(J132=0,0,  J132*IF(G132="FE",1,POWER((1+'2. TaxData'!$I$65),(H132-'1. AgeData'!$D$31))))</f>
        <v>0</v>
      </c>
      <c r="L132" s="316"/>
      <c r="M132" s="1455"/>
    </row>
    <row r="133" spans="1:13" s="306" customFormat="1" ht="12" x14ac:dyDescent="0.2">
      <c r="A133" s="1487">
        <v>18</v>
      </c>
      <c r="B133" s="1798" t="s">
        <v>1423</v>
      </c>
      <c r="C133" s="3221">
        <v>0</v>
      </c>
      <c r="D133" s="1718"/>
      <c r="E133" s="1903">
        <v>0</v>
      </c>
      <c r="F133" s="1213">
        <f>IF(E133=0,0,  E133*(IF(B133="FE",1,POWER((1+'2. TaxData'!$I$65),(C133-'1. AgeData'!$D$30)))))</f>
        <v>0</v>
      </c>
      <c r="G133" s="1798" t="s">
        <v>1423</v>
      </c>
      <c r="H133" s="3221">
        <v>0</v>
      </c>
      <c r="I133" s="1718"/>
      <c r="J133" s="3223">
        <v>0</v>
      </c>
      <c r="K133" s="1865">
        <f>IF(J133=0,0,  J133*IF(G133="FE",1,POWER((1+'2. TaxData'!$I$65),(H133-'1. AgeData'!$D$31))))</f>
        <v>0</v>
      </c>
      <c r="L133" s="316"/>
      <c r="M133" s="1455"/>
    </row>
    <row r="134" spans="1:13" s="306" customFormat="1" ht="36" x14ac:dyDescent="0.2">
      <c r="A134" s="1487">
        <v>19</v>
      </c>
      <c r="B134" s="1798" t="s">
        <v>1423</v>
      </c>
      <c r="C134" s="3221">
        <v>61</v>
      </c>
      <c r="D134" s="1718" t="s">
        <v>2454</v>
      </c>
      <c r="E134" s="1903">
        <v>17000</v>
      </c>
      <c r="F134" s="1213">
        <f>IF(E134=0,0,  E134*(IF(B134="FE",1,POWER((1+'2. TaxData'!$I$65),(C134-'1. AgeData'!$D$30)))))</f>
        <v>17340</v>
      </c>
      <c r="G134" s="1798" t="s">
        <v>1423</v>
      </c>
      <c r="H134" s="3221">
        <v>56</v>
      </c>
      <c r="I134" s="1718" t="s">
        <v>2454</v>
      </c>
      <c r="J134" s="3223">
        <v>17000</v>
      </c>
      <c r="K134" s="1865">
        <f>IF(J134=0,0,  J134*IF(G134="FE",1,POWER((1+'2. TaxData'!$I$65),(H134-'1. AgeData'!$D$31))))</f>
        <v>17340</v>
      </c>
      <c r="L134" s="316"/>
      <c r="M134" s="1455"/>
    </row>
    <row r="135" spans="1:13" s="306" customFormat="1" ht="36" x14ac:dyDescent="0.2">
      <c r="A135" s="1487">
        <v>20</v>
      </c>
      <c r="B135" s="1798" t="s">
        <v>1423</v>
      </c>
      <c r="C135" s="3221">
        <v>62</v>
      </c>
      <c r="D135" s="1718" t="s">
        <v>2455</v>
      </c>
      <c r="E135" s="1683">
        <v>17000</v>
      </c>
      <c r="F135" s="1213">
        <f>IF(E135=0,0,  E135*(IF(B135="FE",1,POWER((1+'2. TaxData'!$I$65),(C135-'1. AgeData'!$D$30)))))</f>
        <v>17686.8</v>
      </c>
      <c r="G135" s="1798" t="s">
        <v>1423</v>
      </c>
      <c r="H135" s="3221">
        <v>57</v>
      </c>
      <c r="I135" s="1718" t="s">
        <v>2455</v>
      </c>
      <c r="J135" s="1682">
        <v>17000</v>
      </c>
      <c r="K135" s="1865">
        <f>IF(J135=0,0,  J135*IF(G135="FE",1,POWER((1+'2. TaxData'!$I$65),(H135-'1. AgeData'!$D$31))))</f>
        <v>17686.8</v>
      </c>
      <c r="L135" s="316"/>
      <c r="M135" s="1455"/>
    </row>
    <row r="136" spans="1:13" s="306" customFormat="1" ht="36" x14ac:dyDescent="0.2">
      <c r="A136" s="1487">
        <v>21</v>
      </c>
      <c r="B136" s="1798" t="s">
        <v>1423</v>
      </c>
      <c r="C136" s="1707">
        <v>63</v>
      </c>
      <c r="D136" s="1718" t="s">
        <v>2456</v>
      </c>
      <c r="E136" s="1903">
        <v>17000</v>
      </c>
      <c r="F136" s="1213">
        <f>IF(E136=0,0,  E136*(IF(B136="FE",1,POWER((1+'2. TaxData'!$I$65),(C136-'1. AgeData'!$D$30)))))</f>
        <v>18040.536</v>
      </c>
      <c r="G136" s="1798" t="s">
        <v>1423</v>
      </c>
      <c r="H136" s="3221">
        <v>58</v>
      </c>
      <c r="I136" s="1718" t="s">
        <v>2456</v>
      </c>
      <c r="J136" s="3223">
        <v>17000</v>
      </c>
      <c r="K136" s="1865">
        <f>IF(J136=0,0,  J136*IF(G136="FE",1,POWER((1+'2. TaxData'!$I$65),(H136-'1. AgeData'!$D$31))))</f>
        <v>18040.536</v>
      </c>
      <c r="L136" s="316"/>
      <c r="M136" s="1455"/>
    </row>
    <row r="137" spans="1:13" s="306" customFormat="1" ht="36" x14ac:dyDescent="0.2">
      <c r="A137" s="1487">
        <v>22</v>
      </c>
      <c r="B137" s="1798" t="s">
        <v>1423</v>
      </c>
      <c r="C137" s="1707">
        <v>64</v>
      </c>
      <c r="D137" s="1718" t="s">
        <v>2457</v>
      </c>
      <c r="E137" s="1683">
        <v>17000</v>
      </c>
      <c r="F137" s="1213">
        <f>IF(E137=0,0,  E137*(IF(B137="FE",1,POWER((1+'2. TaxData'!$I$65),(C137-'1. AgeData'!$D$30)))))</f>
        <v>18401.346720000001</v>
      </c>
      <c r="G137" s="1798" t="s">
        <v>1423</v>
      </c>
      <c r="H137" s="3221">
        <v>59</v>
      </c>
      <c r="I137" s="1718" t="s">
        <v>2457</v>
      </c>
      <c r="J137" s="1682">
        <v>17000</v>
      </c>
      <c r="K137" s="1865">
        <f>IF(J137=0,0,  J137*IF(G137="FE",1,POWER((1+'2. TaxData'!$I$65),(H137-'1. AgeData'!$D$31))))</f>
        <v>18401.346720000001</v>
      </c>
      <c r="L137" s="316"/>
      <c r="M137" s="1455"/>
    </row>
    <row r="138" spans="1:13" s="306" customFormat="1" ht="12" x14ac:dyDescent="0.2">
      <c r="A138" s="1487">
        <v>23</v>
      </c>
      <c r="B138" s="1798" t="s">
        <v>1423</v>
      </c>
      <c r="C138" s="1707">
        <v>0</v>
      </c>
      <c r="D138" s="1717"/>
      <c r="E138" s="1683">
        <v>0</v>
      </c>
      <c r="F138" s="1213">
        <f>IF(E138=0,0,  E138*(IF(B138="FE",1,POWER((1+'2. TaxData'!$I$65),(C138-'1. AgeData'!$D$30)))))</f>
        <v>0</v>
      </c>
      <c r="G138" s="1798" t="s">
        <v>1423</v>
      </c>
      <c r="H138" s="1707">
        <v>0</v>
      </c>
      <c r="I138" s="1716"/>
      <c r="J138" s="1682">
        <v>0</v>
      </c>
      <c r="K138" s="1865">
        <f>IF(J138=0,0,  J138*IF(G138="FE",1,POWER((1+'2. TaxData'!$I$65),(H138-'1. AgeData'!$D$31))))</f>
        <v>0</v>
      </c>
      <c r="L138" s="316"/>
      <c r="M138" s="1455"/>
    </row>
    <row r="139" spans="1:13" s="306" customFormat="1" ht="12" x14ac:dyDescent="0.2">
      <c r="A139" s="1487">
        <v>24</v>
      </c>
      <c r="B139" s="1798" t="s">
        <v>1423</v>
      </c>
      <c r="C139" s="1707">
        <v>0</v>
      </c>
      <c r="D139" s="1717"/>
      <c r="E139" s="1683">
        <v>0</v>
      </c>
      <c r="F139" s="1213">
        <f>IF(E139=0,0,  E139*(IF(B139="FE",1,POWER((1+'2. TaxData'!$I$65),(C139-'1. AgeData'!$D$30)))))</f>
        <v>0</v>
      </c>
      <c r="G139" s="1798" t="s">
        <v>1423</v>
      </c>
      <c r="H139" s="1707">
        <v>0</v>
      </c>
      <c r="I139" s="1716"/>
      <c r="J139" s="1682">
        <v>0</v>
      </c>
      <c r="K139" s="1865">
        <f>IF(J139=0,0,  J139*IF(G139="FE",1,POWER((1+'2. TaxData'!$I$65),(H139-'1. AgeData'!$D$31))))</f>
        <v>0</v>
      </c>
      <c r="L139" s="316"/>
      <c r="M139" s="1455"/>
    </row>
    <row r="140" spans="1:13" s="306" customFormat="1" ht="36" x14ac:dyDescent="0.2">
      <c r="A140" s="1487">
        <v>25</v>
      </c>
      <c r="B140" s="1798" t="s">
        <v>1423</v>
      </c>
      <c r="C140" s="1707">
        <v>63</v>
      </c>
      <c r="D140" s="1718" t="s">
        <v>2458</v>
      </c>
      <c r="E140" s="1903">
        <v>17000</v>
      </c>
      <c r="F140" s="1213">
        <f>IF(E140=0,0,  E140*(IF(B140="FE",1,POWER((1+'2. TaxData'!$I$65),(C140-'1. AgeData'!$D$30)))))</f>
        <v>18040.536</v>
      </c>
      <c r="G140" s="1798" t="s">
        <v>1423</v>
      </c>
      <c r="H140" s="1707">
        <v>58</v>
      </c>
      <c r="I140" s="1718" t="s">
        <v>2458</v>
      </c>
      <c r="J140" s="3223">
        <v>17000</v>
      </c>
      <c r="K140" s="1865">
        <f>IF(J140=0,0,  J140*IF(G140="FE",1,POWER((1+'2. TaxData'!$I$65),(H140-'1. AgeData'!$D$31))))</f>
        <v>18040.536</v>
      </c>
      <c r="L140" s="316"/>
      <c r="M140" s="1455"/>
    </row>
    <row r="141" spans="1:13" s="306" customFormat="1" ht="36" x14ac:dyDescent="0.2">
      <c r="A141" s="1487">
        <v>26</v>
      </c>
      <c r="B141" s="1798" t="s">
        <v>1423</v>
      </c>
      <c r="C141" s="1707">
        <v>64</v>
      </c>
      <c r="D141" s="1718" t="s">
        <v>2459</v>
      </c>
      <c r="E141" s="1683">
        <v>17000</v>
      </c>
      <c r="F141" s="1213">
        <f>IF(E141=0,0,  E141*(IF(B141="FE",1,POWER((1+'2. TaxData'!$I$65),(C141-'1. AgeData'!$D$30)))))</f>
        <v>18401.346720000001</v>
      </c>
      <c r="G141" s="1798" t="s">
        <v>1423</v>
      </c>
      <c r="H141" s="1707">
        <v>59</v>
      </c>
      <c r="I141" s="1718" t="s">
        <v>2459</v>
      </c>
      <c r="J141" s="1682">
        <v>17000</v>
      </c>
      <c r="K141" s="1865">
        <f>IF(J141=0,0,  J141*IF(G141="FE",1,POWER((1+'2. TaxData'!$I$65),(H141-'1. AgeData'!$D$31))))</f>
        <v>18401.346720000001</v>
      </c>
      <c r="L141" s="316"/>
      <c r="M141" s="1455"/>
    </row>
    <row r="142" spans="1:13" s="306" customFormat="1" ht="36" x14ac:dyDescent="0.2">
      <c r="A142" s="1487">
        <v>27</v>
      </c>
      <c r="B142" s="1798" t="s">
        <v>1423</v>
      </c>
      <c r="C142" s="1707">
        <v>65</v>
      </c>
      <c r="D142" s="1718" t="s">
        <v>2460</v>
      </c>
      <c r="E142" s="1903">
        <v>17000</v>
      </c>
      <c r="F142" s="1213">
        <f>IF(E142=0,0,  E142*(IF(B142="FE",1,POWER((1+'2. TaxData'!$I$65),(C142-'1. AgeData'!$D$30)))))</f>
        <v>18769.373654399998</v>
      </c>
      <c r="G142" s="1798" t="s">
        <v>1423</v>
      </c>
      <c r="H142" s="1707">
        <v>60</v>
      </c>
      <c r="I142" s="1718" t="s">
        <v>2460</v>
      </c>
      <c r="J142" s="3223">
        <v>17000</v>
      </c>
      <c r="K142" s="1865">
        <f>IF(J142=0,0,  J142*IF(G142="FE",1,POWER((1+'2. TaxData'!$I$65),(H142-'1. AgeData'!$D$31))))</f>
        <v>18769.373654399998</v>
      </c>
      <c r="L142" s="316"/>
      <c r="M142" s="1455"/>
    </row>
    <row r="143" spans="1:13" s="1129" customFormat="1" ht="36" x14ac:dyDescent="0.2">
      <c r="A143" s="1851">
        <v>28</v>
      </c>
      <c r="B143" s="1798" t="s">
        <v>1423</v>
      </c>
      <c r="C143" s="1707">
        <v>66</v>
      </c>
      <c r="D143" s="1718" t="s">
        <v>2461</v>
      </c>
      <c r="E143" s="1683">
        <v>17000</v>
      </c>
      <c r="F143" s="1213">
        <f>IF(E143=0,0,  E143*(IF(B143="FE",1,POWER((1+'2. TaxData'!$I$65),(C143-'1. AgeData'!$D$30)))))</f>
        <v>19144.761127488</v>
      </c>
      <c r="G143" s="1798" t="s">
        <v>1423</v>
      </c>
      <c r="H143" s="1707">
        <v>61</v>
      </c>
      <c r="I143" s="1718" t="s">
        <v>2461</v>
      </c>
      <c r="J143" s="1682">
        <v>17000</v>
      </c>
      <c r="K143" s="1865">
        <f>IF(J143=0,0,  J143*IF(G143="FE",1,POWER((1+'2. TaxData'!$I$65),(H143-'1. AgeData'!$D$31))))</f>
        <v>19144.761127488</v>
      </c>
      <c r="L143" s="1128"/>
      <c r="M143" s="1866"/>
    </row>
    <row r="144" spans="1:13" s="306" customFormat="1" ht="12" x14ac:dyDescent="0.2">
      <c r="A144" s="1487">
        <v>29</v>
      </c>
      <c r="B144" s="1798" t="s">
        <v>1423</v>
      </c>
      <c r="C144" s="1707">
        <v>0</v>
      </c>
      <c r="D144" s="1717"/>
      <c r="E144" s="1683">
        <v>0</v>
      </c>
      <c r="F144" s="1213">
        <f>IF(E144=0,0,  E144*(IF(B144="FE",1,POWER((1+'2. TaxData'!$I$65),(C144-'1. AgeData'!$D$30)))))</f>
        <v>0</v>
      </c>
      <c r="G144" s="1798" t="s">
        <v>1423</v>
      </c>
      <c r="H144" s="1707">
        <v>0</v>
      </c>
      <c r="I144" s="1716"/>
      <c r="J144" s="1682">
        <v>0</v>
      </c>
      <c r="K144" s="1865">
        <f>IF(J144=0,0,  J144*IF(G144="FE",1,POWER((1+'2. TaxData'!$I$65),(H144-'1. AgeData'!$D$31))))</f>
        <v>0</v>
      </c>
      <c r="L144" s="316"/>
      <c r="M144" s="1455"/>
    </row>
    <row r="145" spans="1:14" s="306" customFormat="1" ht="12" x14ac:dyDescent="0.2">
      <c r="A145" s="1487">
        <v>30</v>
      </c>
      <c r="B145" s="1798" t="s">
        <v>1423</v>
      </c>
      <c r="C145" s="1707">
        <v>0</v>
      </c>
      <c r="D145" s="1717"/>
      <c r="E145" s="1683">
        <v>0</v>
      </c>
      <c r="F145" s="1213">
        <f>IF(E145=0,0,  E145*(IF(B145="FE",1,POWER((1+'2. TaxData'!$I$65),(C145-'1. AgeData'!$D$30)))))</f>
        <v>0</v>
      </c>
      <c r="G145" s="1798" t="s">
        <v>1423</v>
      </c>
      <c r="H145" s="1707">
        <v>0</v>
      </c>
      <c r="I145" s="1716"/>
      <c r="J145" s="1682">
        <v>0</v>
      </c>
      <c r="K145" s="1865">
        <f>IF(J145=0,0,  J145*IF(G145="FE",1,POWER((1+'2. TaxData'!$I$65),(H145-'1. AgeData'!$D$31))))</f>
        <v>0</v>
      </c>
      <c r="L145" s="316"/>
      <c r="M145" s="1455"/>
    </row>
    <row r="146" spans="1:14" s="306" customFormat="1" ht="24" x14ac:dyDescent="0.2">
      <c r="A146" s="1487">
        <v>31</v>
      </c>
      <c r="B146" s="1798" t="s">
        <v>2467</v>
      </c>
      <c r="C146" s="1707">
        <v>60</v>
      </c>
      <c r="D146" s="1717" t="s">
        <v>2462</v>
      </c>
      <c r="E146" s="1683">
        <v>7000</v>
      </c>
      <c r="F146" s="1213">
        <f>IF(E146=0,0,  E146*(IF(B146="FE",1,POWER((1+'2. TaxData'!$I$65),(C146-'1. AgeData'!$D$30)))))</f>
        <v>7000</v>
      </c>
      <c r="G146" s="1798" t="s">
        <v>2467</v>
      </c>
      <c r="H146" s="1707">
        <v>55</v>
      </c>
      <c r="I146" s="1717" t="s">
        <v>2462</v>
      </c>
      <c r="J146" s="1682">
        <v>7000</v>
      </c>
      <c r="K146" s="1865">
        <f>IF(J146=0,0,  J146*IF(G146="FE",1,POWER((1+'2. TaxData'!$I$65),(H146-'1. AgeData'!$D$31))))</f>
        <v>7000</v>
      </c>
      <c r="L146" s="316"/>
      <c r="M146" s="1455"/>
    </row>
    <row r="147" spans="1:14" s="306" customFormat="1" ht="24" x14ac:dyDescent="0.2">
      <c r="A147" s="1487">
        <v>32</v>
      </c>
      <c r="B147" s="1798" t="s">
        <v>2467</v>
      </c>
      <c r="C147" s="1707">
        <v>61</v>
      </c>
      <c r="D147" s="1717" t="s">
        <v>2462</v>
      </c>
      <c r="E147" s="1683">
        <v>7000</v>
      </c>
      <c r="F147" s="1213">
        <f>IF(E147=0,0,  E147*(IF(B147="FE",1,POWER((1+'2. TaxData'!$I$65),(C147-'1. AgeData'!$D$30)))))</f>
        <v>7000</v>
      </c>
      <c r="G147" s="1798" t="s">
        <v>2467</v>
      </c>
      <c r="H147" s="1707">
        <v>56</v>
      </c>
      <c r="I147" s="1717" t="s">
        <v>2462</v>
      </c>
      <c r="J147" s="1682">
        <v>7000</v>
      </c>
      <c r="K147" s="1865">
        <f>IF(J147=0,0,  J147*IF(G147="FE",1,POWER((1+'2. TaxData'!$I$65),(H147-'1. AgeData'!$D$31))))</f>
        <v>7000</v>
      </c>
      <c r="L147" s="316"/>
      <c r="M147" s="1455"/>
    </row>
    <row r="148" spans="1:14" s="306" customFormat="1" ht="24" x14ac:dyDescent="0.2">
      <c r="A148" s="1487">
        <v>33</v>
      </c>
      <c r="B148" s="1798" t="s">
        <v>2467</v>
      </c>
      <c r="C148" s="1707">
        <v>62</v>
      </c>
      <c r="D148" s="1717" t="s">
        <v>2462</v>
      </c>
      <c r="E148" s="1683">
        <v>7000</v>
      </c>
      <c r="F148" s="1213">
        <f>IF(E148=0,0,  E148*(IF(B148="FE",1,POWER((1+'2. TaxData'!$I$65),(C148-'1. AgeData'!$D$30)))))</f>
        <v>7000</v>
      </c>
      <c r="G148" s="1798" t="s">
        <v>2467</v>
      </c>
      <c r="H148" s="1707">
        <v>57</v>
      </c>
      <c r="I148" s="1717" t="s">
        <v>2462</v>
      </c>
      <c r="J148" s="1682">
        <v>7000</v>
      </c>
      <c r="K148" s="1865">
        <f>IF(J148=0,0,  J148*IF(G148="FE",1,POWER((1+'2. TaxData'!$I$65),(H148-'1. AgeData'!$D$31))))</f>
        <v>7000</v>
      </c>
      <c r="L148" s="316"/>
      <c r="M148" s="1455"/>
    </row>
    <row r="149" spans="1:14" s="306" customFormat="1" ht="24" x14ac:dyDescent="0.2">
      <c r="A149" s="1487">
        <v>34</v>
      </c>
      <c r="B149" s="1798" t="s">
        <v>2467</v>
      </c>
      <c r="C149" s="1707">
        <v>63</v>
      </c>
      <c r="D149" s="1717" t="s">
        <v>2462</v>
      </c>
      <c r="E149" s="1683">
        <v>7000</v>
      </c>
      <c r="F149" s="1213">
        <f>IF(E149=0,0,  E149*(IF(B149="FE",1,POWER((1+'2. TaxData'!$I$65),(C149-'1. AgeData'!$D$30)))))</f>
        <v>7000</v>
      </c>
      <c r="G149" s="1798" t="s">
        <v>2467</v>
      </c>
      <c r="H149" s="1707">
        <v>58</v>
      </c>
      <c r="I149" s="1717" t="s">
        <v>2462</v>
      </c>
      <c r="J149" s="1682">
        <v>7000</v>
      </c>
      <c r="K149" s="1865">
        <f>IF(J149=0,0,  J149*IF(G149="FE",1,POWER((1+'2. TaxData'!$I$65),(H149-'1. AgeData'!$D$31))))</f>
        <v>7000</v>
      </c>
      <c r="L149" s="316"/>
      <c r="M149" s="1455"/>
    </row>
    <row r="150" spans="1:14" s="306" customFormat="1" ht="24" x14ac:dyDescent="0.2">
      <c r="A150" s="1487">
        <v>35</v>
      </c>
      <c r="B150" s="1798" t="s">
        <v>2467</v>
      </c>
      <c r="C150" s="1707">
        <v>64</v>
      </c>
      <c r="D150" s="1717" t="s">
        <v>2462</v>
      </c>
      <c r="E150" s="1683">
        <v>7000</v>
      </c>
      <c r="F150" s="1213">
        <f>IF(E150=0,0,  E150*(IF(B150="FE",1,POWER((1+'2. TaxData'!$I$65),(C150-'1. AgeData'!$D$30)))))</f>
        <v>7000</v>
      </c>
      <c r="G150" s="1798" t="s">
        <v>2467</v>
      </c>
      <c r="H150" s="1707">
        <v>59</v>
      </c>
      <c r="I150" s="1717" t="s">
        <v>2462</v>
      </c>
      <c r="J150" s="1682">
        <v>7000</v>
      </c>
      <c r="K150" s="1865">
        <f>IF(J150=0,0,  J150*IF(G150="FE",1,POWER((1+'2. TaxData'!$I$65),(H150-'1. AgeData'!$D$31))))</f>
        <v>7000</v>
      </c>
      <c r="L150" s="316"/>
      <c r="M150" s="1455"/>
    </row>
    <row r="151" spans="1:14" s="306" customFormat="1" ht="24" x14ac:dyDescent="0.2">
      <c r="A151" s="1487">
        <v>36</v>
      </c>
      <c r="B151" s="1798" t="s">
        <v>2467</v>
      </c>
      <c r="C151" s="1707">
        <v>65</v>
      </c>
      <c r="D151" s="1717" t="s">
        <v>2462</v>
      </c>
      <c r="E151" s="1683">
        <v>7000</v>
      </c>
      <c r="F151" s="1213">
        <f>IF(E151=0,0,  E151*(IF(B151="FE",1,POWER((1+'2. TaxData'!$I$65),(C151-'1. AgeData'!$D$30)))))</f>
        <v>7000</v>
      </c>
      <c r="G151" s="1798" t="s">
        <v>2467</v>
      </c>
      <c r="H151" s="1707">
        <v>60</v>
      </c>
      <c r="I151" s="1717" t="s">
        <v>2462</v>
      </c>
      <c r="J151" s="1682">
        <v>7000</v>
      </c>
      <c r="K151" s="1865">
        <f>IF(J151=0,0,  J151*IF(G151="FE",1,POWER((1+'2. TaxData'!$I$65),(H151-'1. AgeData'!$D$31))))</f>
        <v>7000</v>
      </c>
      <c r="L151" s="316"/>
      <c r="M151" s="1455"/>
    </row>
    <row r="152" spans="1:14" s="306" customFormat="1" ht="24" x14ac:dyDescent="0.2">
      <c r="A152" s="1487">
        <v>37</v>
      </c>
      <c r="B152" s="1798" t="s">
        <v>2467</v>
      </c>
      <c r="C152" s="1707">
        <v>66</v>
      </c>
      <c r="D152" s="1717" t="s">
        <v>2462</v>
      </c>
      <c r="E152" s="1683">
        <v>7000</v>
      </c>
      <c r="F152" s="1213">
        <f>IF(E152=0,0,  E152*(IF(B152="FE",1,POWER((1+'2. TaxData'!$I$65),(C152-'1. AgeData'!$D$30)))))</f>
        <v>7000</v>
      </c>
      <c r="G152" s="1798" t="s">
        <v>2467</v>
      </c>
      <c r="H152" s="1707">
        <v>61</v>
      </c>
      <c r="I152" s="1717" t="s">
        <v>2462</v>
      </c>
      <c r="J152" s="1682">
        <v>7000</v>
      </c>
      <c r="K152" s="1865">
        <f>IF(J152=0,0,  J152*IF(G152="FE",1,POWER((1+'2. TaxData'!$I$65),(H152-'1. AgeData'!$D$31))))</f>
        <v>7000</v>
      </c>
      <c r="L152" s="316"/>
      <c r="M152" s="1455"/>
    </row>
    <row r="153" spans="1:14" s="306" customFormat="1" ht="24" x14ac:dyDescent="0.2">
      <c r="A153" s="1487">
        <v>38</v>
      </c>
      <c r="B153" s="1798" t="s">
        <v>2467</v>
      </c>
      <c r="C153" s="1707">
        <v>67</v>
      </c>
      <c r="D153" s="1717" t="s">
        <v>2462</v>
      </c>
      <c r="E153" s="1683">
        <v>7000</v>
      </c>
      <c r="F153" s="1213">
        <f>IF(E153=0,0,  E153*(IF(B153="FE",1,POWER((1+'2. TaxData'!$I$65),(C153-'1. AgeData'!$D$30)))))</f>
        <v>7000</v>
      </c>
      <c r="G153" s="1798" t="s">
        <v>2467</v>
      </c>
      <c r="H153" s="1707">
        <v>62</v>
      </c>
      <c r="I153" s="1717" t="s">
        <v>2462</v>
      </c>
      <c r="J153" s="1682">
        <v>7000</v>
      </c>
      <c r="K153" s="1865">
        <f>IF(J153=0,0,  J153*IF(G153="FE",1,POWER((1+'2. TaxData'!$I$65),(H153-'1. AgeData'!$D$31))))</f>
        <v>7000</v>
      </c>
      <c r="L153" s="316"/>
      <c r="M153" s="1455"/>
    </row>
    <row r="154" spans="1:14" s="306" customFormat="1" ht="24" x14ac:dyDescent="0.2">
      <c r="A154" s="1487">
        <v>39</v>
      </c>
      <c r="B154" s="1798" t="s">
        <v>2467</v>
      </c>
      <c r="C154" s="1707">
        <v>68</v>
      </c>
      <c r="D154" s="1717" t="s">
        <v>2462</v>
      </c>
      <c r="E154" s="1683">
        <v>7000</v>
      </c>
      <c r="F154" s="1213">
        <f>IF(E154=0,0,  E154*(IF(B154="FE",1,POWER((1+'2. TaxData'!$I$65),(C154-'1. AgeData'!$D$30)))))</f>
        <v>7000</v>
      </c>
      <c r="G154" s="1798" t="s">
        <v>2467</v>
      </c>
      <c r="H154" s="1707">
        <v>63</v>
      </c>
      <c r="I154" s="1717" t="s">
        <v>2462</v>
      </c>
      <c r="J154" s="1682">
        <v>7000</v>
      </c>
      <c r="K154" s="1865">
        <f>IF(J154=0,0,  J154*IF(G154="FE",1,POWER((1+'2. TaxData'!$I$65),(H154-'1. AgeData'!$D$31))))</f>
        <v>7000</v>
      </c>
      <c r="L154" s="316"/>
      <c r="M154" s="1455"/>
    </row>
    <row r="155" spans="1:14" s="306" customFormat="1" ht="24" x14ac:dyDescent="0.2">
      <c r="A155" s="1487">
        <v>40</v>
      </c>
      <c r="B155" s="1798" t="s">
        <v>2467</v>
      </c>
      <c r="C155" s="1707">
        <v>69</v>
      </c>
      <c r="D155" s="1717" t="s">
        <v>2462</v>
      </c>
      <c r="E155" s="1683">
        <v>7000</v>
      </c>
      <c r="F155" s="1213">
        <f>IF(E155=0,0,  E155*(IF(B155="FE",1,POWER((1+'2. TaxData'!$I$65),(C155-'1. AgeData'!$D$30)))))</f>
        <v>7000</v>
      </c>
      <c r="G155" s="1798" t="s">
        <v>2467</v>
      </c>
      <c r="H155" s="1707">
        <v>64</v>
      </c>
      <c r="I155" s="1717" t="s">
        <v>2462</v>
      </c>
      <c r="J155" s="1682">
        <v>7000</v>
      </c>
      <c r="K155" s="1865">
        <f>IF(J155=0,0,  J155*IF(G155="FE",1,POWER((1+'2. TaxData'!$I$65),(H155-'1. AgeData'!$D$31))))</f>
        <v>7000</v>
      </c>
      <c r="L155" s="316"/>
      <c r="M155" s="1455"/>
      <c r="N155" s="316"/>
    </row>
    <row r="156" spans="1:14" s="306" customFormat="1" ht="24" x14ac:dyDescent="0.2">
      <c r="A156" s="1487">
        <v>41</v>
      </c>
      <c r="B156" s="1798" t="s">
        <v>2467</v>
      </c>
      <c r="C156" s="1707">
        <v>70</v>
      </c>
      <c r="D156" s="1717" t="s">
        <v>2462</v>
      </c>
      <c r="E156" s="1683">
        <v>7000</v>
      </c>
      <c r="F156" s="1213">
        <f>IF(E156=0,0,  E156*(IF(B156="FE",1,POWER((1+'2. TaxData'!$I$65),(C156-'1. AgeData'!$D$30)))))</f>
        <v>7000</v>
      </c>
      <c r="G156" s="1798" t="s">
        <v>2467</v>
      </c>
      <c r="H156" s="1707">
        <v>65</v>
      </c>
      <c r="I156" s="1717" t="s">
        <v>2462</v>
      </c>
      <c r="J156" s="1682">
        <v>7000</v>
      </c>
      <c r="K156" s="1865">
        <f>IF(J156=0,0,  J156*IF(G156="FE",1,POWER((1+'2. TaxData'!$I$65),(H156-'1. AgeData'!$D$31))))</f>
        <v>7000</v>
      </c>
      <c r="L156" s="316"/>
      <c r="M156" s="1455"/>
      <c r="N156" s="316"/>
    </row>
    <row r="157" spans="1:14" s="306" customFormat="1" ht="24" x14ac:dyDescent="0.2">
      <c r="A157" s="1487">
        <v>42</v>
      </c>
      <c r="B157" s="1798" t="s">
        <v>2467</v>
      </c>
      <c r="C157" s="1707">
        <v>71</v>
      </c>
      <c r="D157" s="1717" t="s">
        <v>2462</v>
      </c>
      <c r="E157" s="1683">
        <v>7000</v>
      </c>
      <c r="F157" s="1213">
        <f>IF(E157=0,0,  E157*(IF(B157="FE",1,POWER((1+'2. TaxData'!$I$65),(C157-'1. AgeData'!$D$30)))))</f>
        <v>7000</v>
      </c>
      <c r="G157" s="1798" t="s">
        <v>2467</v>
      </c>
      <c r="H157" s="1707">
        <v>66</v>
      </c>
      <c r="I157" s="1717" t="s">
        <v>2462</v>
      </c>
      <c r="J157" s="1682">
        <v>7000</v>
      </c>
      <c r="K157" s="1865">
        <f>IF(J157=0,0,  J157*IF(G157="FE",1,POWER((1+'2. TaxData'!$I$65),(H157-'1. AgeData'!$D$31))))</f>
        <v>7000</v>
      </c>
      <c r="L157" s="316"/>
      <c r="M157" s="1455"/>
    </row>
    <row r="158" spans="1:14" s="306" customFormat="1" ht="24" x14ac:dyDescent="0.2">
      <c r="A158" s="1487">
        <v>43</v>
      </c>
      <c r="B158" s="1798" t="s">
        <v>2467</v>
      </c>
      <c r="C158" s="1707">
        <v>72</v>
      </c>
      <c r="D158" s="1717" t="s">
        <v>2462</v>
      </c>
      <c r="E158" s="1683">
        <v>7000</v>
      </c>
      <c r="F158" s="1213">
        <f>IF(E158=0,0,  E158*(IF(B158="FE",1,POWER((1+'2. TaxData'!$I$65),(C158-'1. AgeData'!$D$30)))))</f>
        <v>7000</v>
      </c>
      <c r="G158" s="1798" t="s">
        <v>2467</v>
      </c>
      <c r="H158" s="1707">
        <v>67</v>
      </c>
      <c r="I158" s="1717" t="s">
        <v>2462</v>
      </c>
      <c r="J158" s="1682">
        <v>7000</v>
      </c>
      <c r="K158" s="1865">
        <f>IF(J158=0,0,  J158*IF(G158="FE",1,POWER((1+'2. TaxData'!$I$65),(H158-'1. AgeData'!$D$31))))</f>
        <v>7000</v>
      </c>
      <c r="L158" s="316"/>
      <c r="M158" s="1455"/>
    </row>
    <row r="159" spans="1:14" s="306" customFormat="1" ht="24" x14ac:dyDescent="0.2">
      <c r="A159" s="1487">
        <v>44</v>
      </c>
      <c r="B159" s="1798" t="s">
        <v>2467</v>
      </c>
      <c r="C159" s="1707">
        <v>73</v>
      </c>
      <c r="D159" s="1717" t="s">
        <v>2462</v>
      </c>
      <c r="E159" s="1683">
        <v>7000</v>
      </c>
      <c r="F159" s="1213">
        <f>IF(E159=0,0,  E159*(IF(B159="FE",1,POWER((1+'2. TaxData'!$I$65),(C159-'1. AgeData'!$D$30)))))</f>
        <v>7000</v>
      </c>
      <c r="G159" s="1798" t="s">
        <v>2467</v>
      </c>
      <c r="H159" s="1707">
        <v>68</v>
      </c>
      <c r="I159" s="1717" t="s">
        <v>2462</v>
      </c>
      <c r="J159" s="1682">
        <v>7000</v>
      </c>
      <c r="K159" s="1865">
        <f>IF(J159=0,0,  J159*IF(G159="FE",1,POWER((1+'2. TaxData'!$I$65),(H159-'1. AgeData'!$D$31))))</f>
        <v>7000</v>
      </c>
      <c r="L159" s="316"/>
      <c r="M159" s="1455"/>
    </row>
    <row r="160" spans="1:14" s="306" customFormat="1" ht="24" x14ac:dyDescent="0.2">
      <c r="A160" s="1487">
        <v>45</v>
      </c>
      <c r="B160" s="1798" t="s">
        <v>2467</v>
      </c>
      <c r="C160" s="1707">
        <v>74</v>
      </c>
      <c r="D160" s="1717" t="s">
        <v>2462</v>
      </c>
      <c r="E160" s="1683">
        <v>7000</v>
      </c>
      <c r="F160" s="1213">
        <f>IF(E160=0,0,  E160*(IF(B160="FE",1,POWER((1+'2. TaxData'!$I$65),(C160-'1. AgeData'!$D$30)))))</f>
        <v>7000</v>
      </c>
      <c r="G160" s="1798" t="s">
        <v>2467</v>
      </c>
      <c r="H160" s="1707">
        <v>69</v>
      </c>
      <c r="I160" s="1717" t="s">
        <v>2462</v>
      </c>
      <c r="J160" s="1682">
        <v>7000</v>
      </c>
      <c r="K160" s="1865">
        <f>IF(J160=0,0,  J160*IF(G160="FE",1,POWER((1+'2. TaxData'!$I$65),(H160-'1. AgeData'!$D$31))))</f>
        <v>7000</v>
      </c>
      <c r="L160" s="316"/>
      <c r="M160" s="1455"/>
    </row>
    <row r="161" spans="1:13" s="306" customFormat="1" ht="24" x14ac:dyDescent="0.2">
      <c r="A161" s="1487">
        <v>46</v>
      </c>
      <c r="B161" s="1798" t="s">
        <v>2467</v>
      </c>
      <c r="C161" s="1707">
        <v>75</v>
      </c>
      <c r="D161" s="1717" t="s">
        <v>2462</v>
      </c>
      <c r="E161" s="1683">
        <v>7000</v>
      </c>
      <c r="F161" s="1213">
        <f>IF(E161=0,0,  E161*(IF(B161="FE",1,POWER((1+'2. TaxData'!$I$65),(C161-'1. AgeData'!$D$30)))))</f>
        <v>7000</v>
      </c>
      <c r="G161" s="1798" t="s">
        <v>2467</v>
      </c>
      <c r="H161" s="1707">
        <v>70</v>
      </c>
      <c r="I161" s="1717" t="s">
        <v>2462</v>
      </c>
      <c r="J161" s="1682">
        <v>7000</v>
      </c>
      <c r="K161" s="1865">
        <f>IF(J161=0,0,  J161*IF(G161="FE",1,POWER((1+'2. TaxData'!$I$65),(H161-'1. AgeData'!$D$31))))</f>
        <v>7000</v>
      </c>
      <c r="L161" s="316"/>
      <c r="M161" s="1455"/>
    </row>
    <row r="162" spans="1:13" s="306" customFormat="1" ht="12" x14ac:dyDescent="0.2">
      <c r="A162" s="1487">
        <v>47</v>
      </c>
      <c r="B162" s="1798" t="s">
        <v>1423</v>
      </c>
      <c r="C162" s="1901">
        <v>0</v>
      </c>
      <c r="D162" s="1716"/>
      <c r="E162" s="1683">
        <v>0</v>
      </c>
      <c r="F162" s="1213">
        <f>IF(E162=0,0,  E162*(IF(B162="FE",1,POWER((1+'2. TaxData'!$I$65),(C162-'1. AgeData'!$D$30)))))</f>
        <v>0</v>
      </c>
      <c r="G162" s="1798" t="s">
        <v>1423</v>
      </c>
      <c r="H162" s="1707">
        <v>0</v>
      </c>
      <c r="I162" s="1716"/>
      <c r="J162" s="1682">
        <v>0</v>
      </c>
      <c r="K162" s="1865">
        <f>IF(J162=0,0,  J162*IF(G162="FE",1,POWER((1+'2. TaxData'!$I$65),(H162-'1. AgeData'!$D$31))))</f>
        <v>0</v>
      </c>
      <c r="L162" s="316"/>
      <c r="M162" s="1455"/>
    </row>
    <row r="163" spans="1:13" s="306" customFormat="1" ht="12" x14ac:dyDescent="0.2">
      <c r="A163" s="1487">
        <v>48</v>
      </c>
      <c r="B163" s="1798" t="s">
        <v>1423</v>
      </c>
      <c r="C163" s="1901">
        <v>0</v>
      </c>
      <c r="D163" s="1716"/>
      <c r="E163" s="1683">
        <v>0</v>
      </c>
      <c r="F163" s="1213">
        <f>IF(E163=0,0,  E163*(IF(B163="FE",1,POWER((1+'2. TaxData'!$I$65),(C163-'1. AgeData'!$D$30)))))</f>
        <v>0</v>
      </c>
      <c r="G163" s="1798" t="s">
        <v>1423</v>
      </c>
      <c r="H163" s="1707">
        <v>0</v>
      </c>
      <c r="I163" s="1716"/>
      <c r="J163" s="1682">
        <v>0</v>
      </c>
      <c r="K163" s="1865">
        <f>IF(J163=0,0,  J163*IF(G163="FE",1,POWER((1+'2. TaxData'!$I$65),(H163-'1. AgeData'!$D$31))))</f>
        <v>0</v>
      </c>
      <c r="L163" s="316"/>
      <c r="M163" s="1455"/>
    </row>
    <row r="164" spans="1:13" s="306" customFormat="1" ht="12" x14ac:dyDescent="0.2">
      <c r="A164" s="1487">
        <v>49</v>
      </c>
      <c r="B164" s="1798" t="s">
        <v>1423</v>
      </c>
      <c r="C164" s="1901">
        <v>0</v>
      </c>
      <c r="D164" s="1716"/>
      <c r="E164" s="1683">
        <v>0</v>
      </c>
      <c r="F164" s="1213">
        <f>IF(E164=0,0,  E164*(IF(B164="FE",1,POWER((1+'2. TaxData'!$I$65),(C164-'1. AgeData'!$D$30)))))</f>
        <v>0</v>
      </c>
      <c r="G164" s="1798" t="s">
        <v>1423</v>
      </c>
      <c r="H164" s="1707">
        <v>0</v>
      </c>
      <c r="I164" s="1716"/>
      <c r="J164" s="1682">
        <v>0</v>
      </c>
      <c r="K164" s="1865">
        <f>IF(J164=0,0,  J164*IF(G164="FE",1,POWER((1+'2. TaxData'!$I$65),(H164-'1. AgeData'!$D$31))))</f>
        <v>0</v>
      </c>
      <c r="L164" s="316"/>
      <c r="M164" s="1455"/>
    </row>
    <row r="165" spans="1:13" s="306" customFormat="1" ht="12" x14ac:dyDescent="0.2">
      <c r="A165" s="1487">
        <v>50</v>
      </c>
      <c r="B165" s="1798" t="s">
        <v>1423</v>
      </c>
      <c r="C165" s="1901">
        <v>0</v>
      </c>
      <c r="D165" s="1716"/>
      <c r="E165" s="1683">
        <v>0</v>
      </c>
      <c r="F165" s="1213">
        <f>IF(E165=0,0,  E165*(IF(B165="FE",1,POWER((1+'2. TaxData'!$I$65),(C165-'1. AgeData'!$D$30)))))</f>
        <v>0</v>
      </c>
      <c r="G165" s="1798" t="s">
        <v>1423</v>
      </c>
      <c r="H165" s="1707">
        <v>0</v>
      </c>
      <c r="I165" s="1716"/>
      <c r="J165" s="1682">
        <v>0</v>
      </c>
      <c r="K165" s="1865">
        <f>IF(J165=0,0,  J165*IF(G165="FE",1,POWER((1+'2. TaxData'!$I$65),(H165-'1. AgeData'!$D$31))))</f>
        <v>0</v>
      </c>
      <c r="L165" s="316"/>
      <c r="M165" s="1455"/>
    </row>
    <row r="166" spans="1:13" s="306" customFormat="1" ht="12" x14ac:dyDescent="0.2">
      <c r="A166" s="1487">
        <v>51</v>
      </c>
      <c r="B166" s="1798" t="s">
        <v>1423</v>
      </c>
      <c r="C166" s="1901">
        <v>0</v>
      </c>
      <c r="D166" s="1716"/>
      <c r="E166" s="1683">
        <v>0</v>
      </c>
      <c r="F166" s="1213">
        <f>IF(E166=0,0,  E166*(IF(B166="FE",1,POWER((1+'2. TaxData'!$I$65),(C166-'1. AgeData'!$D$30)))))</f>
        <v>0</v>
      </c>
      <c r="G166" s="1798" t="s">
        <v>1423</v>
      </c>
      <c r="H166" s="1707">
        <v>0</v>
      </c>
      <c r="I166" s="1716"/>
      <c r="J166" s="1682">
        <v>0</v>
      </c>
      <c r="K166" s="1865">
        <f>IF(J166=0,0,  J166*IF(G166="FE",1,POWER((1+'2. TaxData'!$I$65),(H166-'1. AgeData'!$D$31))))</f>
        <v>0</v>
      </c>
      <c r="L166" s="316"/>
      <c r="M166" s="1455"/>
    </row>
    <row r="167" spans="1:13" s="306" customFormat="1" ht="12" x14ac:dyDescent="0.2">
      <c r="A167" s="1487">
        <v>52</v>
      </c>
      <c r="B167" s="1798" t="s">
        <v>1423</v>
      </c>
      <c r="C167" s="1901">
        <v>0</v>
      </c>
      <c r="D167" s="1716"/>
      <c r="E167" s="1683">
        <v>0</v>
      </c>
      <c r="F167" s="1213">
        <f>IF(E167=0,0,  E167*(IF(B167="FE",1,POWER((1+'2. TaxData'!$I$65),(C167-'1. AgeData'!$D$30)))))</f>
        <v>0</v>
      </c>
      <c r="G167" s="1798" t="s">
        <v>1423</v>
      </c>
      <c r="H167" s="1707">
        <v>0</v>
      </c>
      <c r="I167" s="1716"/>
      <c r="J167" s="1682">
        <v>0</v>
      </c>
      <c r="K167" s="1865">
        <f>IF(J167=0,0,  J167*IF(G167="FE",1,POWER((1+'2. TaxData'!$I$65),(H167-'1. AgeData'!$D$31))))</f>
        <v>0</v>
      </c>
      <c r="L167" s="316"/>
      <c r="M167" s="1455"/>
    </row>
    <row r="168" spans="1:13" s="306" customFormat="1" ht="12" x14ac:dyDescent="0.2">
      <c r="A168" s="1487">
        <v>53</v>
      </c>
      <c r="B168" s="1798" t="s">
        <v>1423</v>
      </c>
      <c r="C168" s="1901">
        <v>0</v>
      </c>
      <c r="D168" s="1716"/>
      <c r="E168" s="1683">
        <v>0</v>
      </c>
      <c r="F168" s="1213">
        <f>IF(E168=0,0,  E168*(IF(B168="FE",1,POWER((1+'2. TaxData'!$I$65),(C168-'1. AgeData'!$D$30)))))</f>
        <v>0</v>
      </c>
      <c r="G168" s="1798" t="s">
        <v>1423</v>
      </c>
      <c r="H168" s="1707">
        <v>0</v>
      </c>
      <c r="I168" s="1716"/>
      <c r="J168" s="1682">
        <v>0</v>
      </c>
      <c r="K168" s="1865">
        <f>IF(J168=0,0,  J168*IF(G168="FE",1,POWER((1+'2. TaxData'!$I$65),(H168-'1. AgeData'!$D$31))))</f>
        <v>0</v>
      </c>
      <c r="L168" s="316"/>
      <c r="M168" s="1455"/>
    </row>
    <row r="169" spans="1:13" s="306" customFormat="1" ht="12" x14ac:dyDescent="0.2">
      <c r="A169" s="1487">
        <v>54</v>
      </c>
      <c r="B169" s="1798" t="s">
        <v>1423</v>
      </c>
      <c r="C169" s="1901">
        <v>0</v>
      </c>
      <c r="D169" s="1716"/>
      <c r="E169" s="1683">
        <v>0</v>
      </c>
      <c r="F169" s="1213">
        <f>IF(E169=0,0,  E169*(IF(B169="FE",1,POWER((1+'2. TaxData'!$I$65),(C169-'1. AgeData'!$D$30)))))</f>
        <v>0</v>
      </c>
      <c r="G169" s="1798" t="s">
        <v>1423</v>
      </c>
      <c r="H169" s="1707">
        <v>0</v>
      </c>
      <c r="I169" s="1716"/>
      <c r="J169" s="1682">
        <v>0</v>
      </c>
      <c r="K169" s="1865">
        <f>IF(J169=0,0,  J169*IF(G169="FE",1,POWER((1+'2. TaxData'!$I$65),(H169-'1. AgeData'!$D$31))))</f>
        <v>0</v>
      </c>
      <c r="L169" s="316"/>
      <c r="M169" s="1455"/>
    </row>
    <row r="170" spans="1:13" s="306" customFormat="1" ht="12" x14ac:dyDescent="0.2">
      <c r="A170" s="1487">
        <v>55</v>
      </c>
      <c r="B170" s="1798" t="s">
        <v>1423</v>
      </c>
      <c r="C170" s="1901">
        <v>0</v>
      </c>
      <c r="D170" s="1716"/>
      <c r="E170" s="1683">
        <v>0</v>
      </c>
      <c r="F170" s="1213">
        <f>IF(E170=0,0,  E170*(IF(B170="FE",1,POWER((1+'2. TaxData'!$I$65),(C170-'1. AgeData'!$D$30)))))</f>
        <v>0</v>
      </c>
      <c r="G170" s="1798" t="s">
        <v>1423</v>
      </c>
      <c r="H170" s="1707">
        <v>0</v>
      </c>
      <c r="I170" s="1718"/>
      <c r="J170" s="1719">
        <v>0</v>
      </c>
      <c r="K170" s="1865">
        <f>IF(J170=0,0,  J170*IF(G170="FE",1,POWER((1+'2. TaxData'!$I$65),(H170-'1. AgeData'!$D$31))))</f>
        <v>0</v>
      </c>
      <c r="L170" s="316"/>
      <c r="M170" s="1455"/>
    </row>
    <row r="171" spans="1:13" s="306" customFormat="1" ht="12" x14ac:dyDescent="0.2">
      <c r="A171" s="1487">
        <v>56</v>
      </c>
      <c r="B171" s="1798" t="s">
        <v>1423</v>
      </c>
      <c r="C171" s="1901">
        <v>0</v>
      </c>
      <c r="D171" s="1716"/>
      <c r="E171" s="1683">
        <v>0</v>
      </c>
      <c r="F171" s="1213">
        <f>IF(E171=0,0,  E171*(IF(B171="FE",1,POWER((1+'2. TaxData'!$I$65),(C171-'1. AgeData'!$D$30)))))</f>
        <v>0</v>
      </c>
      <c r="G171" s="1798" t="s">
        <v>1423</v>
      </c>
      <c r="H171" s="1707">
        <v>0</v>
      </c>
      <c r="I171" s="1718"/>
      <c r="J171" s="1719">
        <v>0</v>
      </c>
      <c r="K171" s="1865">
        <f>IF(J171=0,0,  J171*IF(G171="FE",1,POWER((1+'2. TaxData'!$I$65),(H171-'1. AgeData'!$D$31))))</f>
        <v>0</v>
      </c>
      <c r="L171" s="316"/>
      <c r="M171" s="1455"/>
    </row>
    <row r="172" spans="1:13" s="306" customFormat="1" ht="12" x14ac:dyDescent="0.2">
      <c r="A172" s="1487">
        <v>57</v>
      </c>
      <c r="B172" s="1798" t="s">
        <v>1423</v>
      </c>
      <c r="C172" s="1901">
        <v>0</v>
      </c>
      <c r="D172" s="1716"/>
      <c r="E172" s="1683">
        <v>0</v>
      </c>
      <c r="F172" s="1213">
        <f>IF(E172=0,0,  E172*(IF(B172="FE",1,POWER((1+'2. TaxData'!$I$65),(C172-'1. AgeData'!$D$30)))))</f>
        <v>0</v>
      </c>
      <c r="G172" s="1798" t="s">
        <v>1423</v>
      </c>
      <c r="H172" s="1707">
        <v>0</v>
      </c>
      <c r="I172" s="1718"/>
      <c r="J172" s="1719">
        <v>0</v>
      </c>
      <c r="K172" s="1865">
        <f>IF(J172=0,0,  J172*IF(G172="FE",1,POWER((1+'2. TaxData'!$I$65),(H172-'1. AgeData'!$D$31))))</f>
        <v>0</v>
      </c>
      <c r="L172" s="316"/>
      <c r="M172" s="1455"/>
    </row>
    <row r="173" spans="1:13" s="306" customFormat="1" ht="12" x14ac:dyDescent="0.2">
      <c r="A173" s="1487">
        <v>58</v>
      </c>
      <c r="B173" s="1798" t="s">
        <v>1423</v>
      </c>
      <c r="C173" s="1901">
        <v>0</v>
      </c>
      <c r="D173" s="1716"/>
      <c r="E173" s="1683">
        <v>0</v>
      </c>
      <c r="F173" s="1213">
        <f>IF(E173=0,0,  E173*(IF(B173="FE",1,POWER((1+'2. TaxData'!$I$65),(C173-'1. AgeData'!$D$30)))))</f>
        <v>0</v>
      </c>
      <c r="G173" s="1798" t="s">
        <v>1423</v>
      </c>
      <c r="H173" s="1707">
        <v>0</v>
      </c>
      <c r="I173" s="1718"/>
      <c r="J173" s="1719">
        <v>0</v>
      </c>
      <c r="K173" s="1865">
        <f>IF(J173=0,0,  J173*IF(G173="FE",1,POWER((1+'2. TaxData'!$I$65),(H173-'1. AgeData'!$D$31))))</f>
        <v>0</v>
      </c>
      <c r="L173" s="316"/>
      <c r="M173" s="1455"/>
    </row>
    <row r="174" spans="1:13" s="306" customFormat="1" ht="12" x14ac:dyDescent="0.2">
      <c r="A174" s="1487">
        <v>59</v>
      </c>
      <c r="B174" s="1798" t="s">
        <v>1423</v>
      </c>
      <c r="C174" s="1901">
        <v>0</v>
      </c>
      <c r="D174" s="1716"/>
      <c r="E174" s="1683">
        <v>0</v>
      </c>
      <c r="F174" s="1213">
        <f>IF(E174=0,0,  E174*(IF(B174="FE",1,POWER((1+'2. TaxData'!$I$65),(C174-'1. AgeData'!$D$30)))))</f>
        <v>0</v>
      </c>
      <c r="G174" s="1798" t="s">
        <v>1423</v>
      </c>
      <c r="H174" s="1707">
        <v>0</v>
      </c>
      <c r="I174" s="1718"/>
      <c r="J174" s="1719">
        <v>0</v>
      </c>
      <c r="K174" s="1865">
        <f>IF(J174=0,0,  J174*IF(G174="FE",1,POWER((1+'2. TaxData'!$I$65),(H174-'1. AgeData'!$D$31))))</f>
        <v>0</v>
      </c>
      <c r="L174" s="316"/>
      <c r="M174" s="1455"/>
    </row>
    <row r="175" spans="1:13" s="306" customFormat="1" ht="12" x14ac:dyDescent="0.2">
      <c r="A175" s="1487">
        <v>60</v>
      </c>
      <c r="B175" s="1798" t="s">
        <v>1423</v>
      </c>
      <c r="C175" s="1901">
        <v>0</v>
      </c>
      <c r="D175" s="1716"/>
      <c r="E175" s="1683">
        <v>0</v>
      </c>
      <c r="F175" s="1213">
        <f>IF(E175=0,0,  E175*(IF(B175="FE",1,POWER((1+'2. TaxData'!$I$65),(C175-'1. AgeData'!$D$30)))))</f>
        <v>0</v>
      </c>
      <c r="G175" s="1798" t="s">
        <v>1423</v>
      </c>
      <c r="H175" s="1707">
        <v>0</v>
      </c>
      <c r="I175" s="1718"/>
      <c r="J175" s="1719">
        <v>0</v>
      </c>
      <c r="K175" s="1865">
        <f>IF(J175=0,0,  J175*IF(G175="FE",1,POWER((1+'2. TaxData'!$I$65),(H175-'1. AgeData'!$D$31))))</f>
        <v>0</v>
      </c>
      <c r="L175" s="316"/>
      <c r="M175" s="1455"/>
    </row>
    <row r="176" spans="1:13" s="306" customFormat="1" ht="12" x14ac:dyDescent="0.2">
      <c r="A176" s="1487">
        <v>61</v>
      </c>
      <c r="B176" s="1798" t="s">
        <v>1423</v>
      </c>
      <c r="C176" s="1901">
        <v>0</v>
      </c>
      <c r="D176" s="1716"/>
      <c r="E176" s="1683">
        <v>0</v>
      </c>
      <c r="F176" s="1213">
        <f>IF(E176=0,0,  E176*(IF(B176="FE",1,POWER((1+'2. TaxData'!$I$65),(C176-'1. AgeData'!$D$30)))))</f>
        <v>0</v>
      </c>
      <c r="G176" s="1798" t="s">
        <v>1423</v>
      </c>
      <c r="H176" s="1707">
        <v>0</v>
      </c>
      <c r="I176" s="1718"/>
      <c r="J176" s="1719">
        <v>0</v>
      </c>
      <c r="K176" s="1865">
        <f>IF(J176=0,0,  J176*IF(G176="FE",1,POWER((1+'2. TaxData'!$I$65),(H176-'1. AgeData'!$D$31))))</f>
        <v>0</v>
      </c>
      <c r="L176" s="316"/>
      <c r="M176" s="1455"/>
    </row>
    <row r="177" spans="1:14" s="306" customFormat="1" ht="12" x14ac:dyDescent="0.2">
      <c r="A177" s="1487">
        <v>62</v>
      </c>
      <c r="B177" s="1798" t="s">
        <v>1423</v>
      </c>
      <c r="C177" s="1901">
        <v>0</v>
      </c>
      <c r="D177" s="1716"/>
      <c r="E177" s="1683">
        <v>0</v>
      </c>
      <c r="F177" s="1213">
        <f>IF(E177=0,0,  E177*(IF(B177="FE",1,POWER((1+'2. TaxData'!$I$65),(C177-'1. AgeData'!$D$30)))))</f>
        <v>0</v>
      </c>
      <c r="G177" s="1798" t="s">
        <v>1423</v>
      </c>
      <c r="H177" s="1707">
        <v>0</v>
      </c>
      <c r="I177" s="1718"/>
      <c r="J177" s="1719">
        <v>0</v>
      </c>
      <c r="K177" s="1865">
        <f>IF(J177=0,0,  J177*IF(G177="FE",1,POWER((1+'2. TaxData'!$I$65),(H177-'1. AgeData'!$D$31))))</f>
        <v>0</v>
      </c>
      <c r="L177" s="316"/>
      <c r="M177" s="1455"/>
    </row>
    <row r="178" spans="1:14" s="306" customFormat="1" ht="12" x14ac:dyDescent="0.2">
      <c r="A178" s="1487">
        <v>63</v>
      </c>
      <c r="B178" s="1798" t="s">
        <v>1423</v>
      </c>
      <c r="C178" s="1901">
        <v>0</v>
      </c>
      <c r="D178" s="1716"/>
      <c r="E178" s="1683">
        <v>0</v>
      </c>
      <c r="F178" s="1213">
        <f>IF(E178=0,0,  E178*(IF(B178="FE",1,POWER((1+'2. TaxData'!$I$65),(C178-'1. AgeData'!$D$30)))))</f>
        <v>0</v>
      </c>
      <c r="G178" s="1798" t="s">
        <v>1423</v>
      </c>
      <c r="H178" s="1707">
        <v>0</v>
      </c>
      <c r="I178" s="1718"/>
      <c r="J178" s="1719">
        <v>0</v>
      </c>
      <c r="K178" s="1865">
        <f>IF(J178=0,0,  J178*IF(G178="FE",1,POWER((1+'2. TaxData'!$I$65),(H178-'1. AgeData'!$D$31))))</f>
        <v>0</v>
      </c>
      <c r="L178" s="316"/>
      <c r="M178" s="1455"/>
    </row>
    <row r="179" spans="1:14" s="306" customFormat="1" ht="12" x14ac:dyDescent="0.2">
      <c r="A179" s="1487">
        <v>64</v>
      </c>
      <c r="B179" s="1798" t="s">
        <v>1423</v>
      </c>
      <c r="C179" s="1901">
        <v>0</v>
      </c>
      <c r="D179" s="1716"/>
      <c r="E179" s="1683">
        <v>0</v>
      </c>
      <c r="F179" s="1213">
        <f>IF(E179=0,0,  E179*(IF(B179="FE",1,POWER((1+'2. TaxData'!$I$65),(C179-'1. AgeData'!$D$30)))))</f>
        <v>0</v>
      </c>
      <c r="G179" s="1798" t="s">
        <v>1423</v>
      </c>
      <c r="H179" s="1707">
        <v>0</v>
      </c>
      <c r="I179" s="1718"/>
      <c r="J179" s="1719">
        <v>0</v>
      </c>
      <c r="K179" s="1865">
        <f>IF(J179=0,0,  J179*IF(G179="FE",1,POWER((1+'2. TaxData'!$I$65),(H179-'1. AgeData'!$D$31))))</f>
        <v>0</v>
      </c>
      <c r="L179" s="316"/>
      <c r="M179" s="1455"/>
    </row>
    <row r="180" spans="1:14" s="306" customFormat="1" ht="12" x14ac:dyDescent="0.2">
      <c r="A180" s="1487">
        <v>65</v>
      </c>
      <c r="B180" s="1798" t="s">
        <v>1423</v>
      </c>
      <c r="C180" s="1901">
        <v>0</v>
      </c>
      <c r="D180" s="1716"/>
      <c r="E180" s="1683">
        <v>0</v>
      </c>
      <c r="F180" s="1213">
        <f>IF(E180=0,0,  E180*(IF(B180="FE",1,POWER((1+'2. TaxData'!$I$65),(C180-'1. AgeData'!$D$30)))))</f>
        <v>0</v>
      </c>
      <c r="G180" s="1798" t="s">
        <v>1423</v>
      </c>
      <c r="H180" s="1707">
        <v>0</v>
      </c>
      <c r="I180" s="1718"/>
      <c r="J180" s="1719">
        <v>0</v>
      </c>
      <c r="K180" s="1865">
        <f>IF(J180=0,0,  J180*IF(G180="FE",1,POWER((1+'2. TaxData'!$I$65),(H180-'1. AgeData'!$D$31))))</f>
        <v>0</v>
      </c>
      <c r="L180" s="316"/>
      <c r="M180" s="1455"/>
    </row>
    <row r="181" spans="1:14" s="306" customFormat="1" ht="12" x14ac:dyDescent="0.2">
      <c r="A181" s="1487">
        <v>66</v>
      </c>
      <c r="B181" s="1798" t="s">
        <v>1423</v>
      </c>
      <c r="C181" s="1901">
        <v>0</v>
      </c>
      <c r="D181" s="1716"/>
      <c r="E181" s="1683">
        <v>0</v>
      </c>
      <c r="F181" s="1213">
        <f>IF(E181=0,0,  E181*(IF(B181="FE",1,POWER((1+'2. TaxData'!$I$65),(C181-'1. AgeData'!$D$30)))))</f>
        <v>0</v>
      </c>
      <c r="G181" s="1798" t="s">
        <v>1423</v>
      </c>
      <c r="H181" s="1707">
        <v>0</v>
      </c>
      <c r="I181" s="1718"/>
      <c r="J181" s="1719">
        <v>0</v>
      </c>
      <c r="K181" s="1865">
        <f>IF(J181=0,0,  J181*IF(G181="FE",1,POWER((1+'2. TaxData'!$I$65),(H181-'1. AgeData'!$D$31))))</f>
        <v>0</v>
      </c>
      <c r="L181" s="316"/>
      <c r="M181" s="1455"/>
    </row>
    <row r="182" spans="1:14" s="306" customFormat="1" ht="12" x14ac:dyDescent="0.2">
      <c r="A182" s="1487">
        <v>67</v>
      </c>
      <c r="B182" s="1798" t="s">
        <v>1423</v>
      </c>
      <c r="C182" s="1901">
        <v>0</v>
      </c>
      <c r="D182" s="1716"/>
      <c r="E182" s="1683">
        <v>0</v>
      </c>
      <c r="F182" s="1213">
        <f>IF(E182=0,0,  E182*(IF(B182="FE",1,POWER((1+'2. TaxData'!$I$65),(C182-'1. AgeData'!$D$30)))))</f>
        <v>0</v>
      </c>
      <c r="G182" s="1798" t="s">
        <v>1423</v>
      </c>
      <c r="H182" s="1707">
        <v>0</v>
      </c>
      <c r="I182" s="1718"/>
      <c r="J182" s="1719">
        <v>0</v>
      </c>
      <c r="K182" s="1865">
        <f>IF(J182=0,0,  J182*IF(G182="FE",1,POWER((1+'2. TaxData'!$I$65),(H182-'1. AgeData'!$D$31))))</f>
        <v>0</v>
      </c>
      <c r="L182" s="316"/>
      <c r="M182" s="1455"/>
      <c r="N182" s="316"/>
    </row>
    <row r="183" spans="1:14" s="306" customFormat="1" ht="12" x14ac:dyDescent="0.2">
      <c r="A183" s="1487">
        <v>68</v>
      </c>
      <c r="B183" s="1798" t="s">
        <v>1423</v>
      </c>
      <c r="C183" s="1901">
        <v>0</v>
      </c>
      <c r="D183" s="1716"/>
      <c r="E183" s="1683">
        <v>0</v>
      </c>
      <c r="F183" s="1213">
        <f>IF(E183=0,0,  E183*(IF(B183="FE",1,POWER((1+'2. TaxData'!$I$65),(C183-'1. AgeData'!$D$30)))))</f>
        <v>0</v>
      </c>
      <c r="G183" s="1798" t="s">
        <v>1423</v>
      </c>
      <c r="H183" s="1707">
        <v>0</v>
      </c>
      <c r="I183" s="1718"/>
      <c r="J183" s="1719">
        <v>0</v>
      </c>
      <c r="K183" s="1865">
        <f>IF(J183=0,0,  J183*IF(G183="FE",1,POWER((1+'2. TaxData'!$I$65),(H183-'1. AgeData'!$D$31))))</f>
        <v>0</v>
      </c>
      <c r="L183" s="316"/>
      <c r="M183" s="1455"/>
      <c r="N183" s="316"/>
    </row>
    <row r="184" spans="1:14" s="306" customFormat="1" ht="12" x14ac:dyDescent="0.2">
      <c r="A184" s="1487">
        <v>69</v>
      </c>
      <c r="B184" s="1798" t="s">
        <v>1423</v>
      </c>
      <c r="C184" s="1901">
        <v>0</v>
      </c>
      <c r="D184" s="1716"/>
      <c r="E184" s="1683">
        <v>0</v>
      </c>
      <c r="F184" s="1213">
        <f>IF(E184=0,0,  E184*(IF(B184="FE",1,POWER((1+'2. TaxData'!$I$65),(C184-'1. AgeData'!$D$30)))))</f>
        <v>0</v>
      </c>
      <c r="G184" s="1798" t="s">
        <v>1423</v>
      </c>
      <c r="H184" s="1707">
        <v>0</v>
      </c>
      <c r="I184" s="1718"/>
      <c r="J184" s="1719">
        <v>0</v>
      </c>
      <c r="K184" s="1865">
        <f>IF(J184=0,0,  J184*IF(G184="FE",1,POWER((1+'2. TaxData'!$I$65),(H184-'1. AgeData'!$D$31))))</f>
        <v>0</v>
      </c>
      <c r="L184" s="316"/>
      <c r="M184" s="1455"/>
      <c r="N184" s="316"/>
    </row>
    <row r="185" spans="1:14" s="306" customFormat="1" ht="12" x14ac:dyDescent="0.2">
      <c r="A185" s="1487">
        <v>70</v>
      </c>
      <c r="B185" s="1798" t="s">
        <v>1423</v>
      </c>
      <c r="C185" s="1901">
        <v>0</v>
      </c>
      <c r="D185" s="1716"/>
      <c r="E185" s="1683">
        <v>0</v>
      </c>
      <c r="F185" s="1213">
        <f>IF(E185=0,0,  E185*(IF(B185="FE",1,POWER((1+'2. TaxData'!$I$65),(C185-'1. AgeData'!$D$30)))))</f>
        <v>0</v>
      </c>
      <c r="G185" s="1798" t="s">
        <v>1423</v>
      </c>
      <c r="H185" s="1707">
        <v>0</v>
      </c>
      <c r="I185" s="1718"/>
      <c r="J185" s="1719">
        <v>0</v>
      </c>
      <c r="K185" s="1865">
        <f>IF(J185=0,0,  J185*IF(G185="FE",1,POWER((1+'2. TaxData'!$I$65),(H185-'1. AgeData'!$D$31))))</f>
        <v>0</v>
      </c>
      <c r="L185" s="316"/>
      <c r="M185" s="1455"/>
      <c r="N185" s="316"/>
    </row>
    <row r="186" spans="1:14" s="306" customFormat="1" ht="12" x14ac:dyDescent="0.2">
      <c r="A186" s="1487">
        <v>71</v>
      </c>
      <c r="B186" s="1798" t="s">
        <v>1423</v>
      </c>
      <c r="C186" s="1901">
        <v>0</v>
      </c>
      <c r="D186" s="1716"/>
      <c r="E186" s="1683">
        <v>0</v>
      </c>
      <c r="F186" s="1213">
        <f>IF(E186=0,0,  E186*(IF(B186="FE",1,POWER((1+'2. TaxData'!$I$65),(C186-'1. AgeData'!$D$30)))))</f>
        <v>0</v>
      </c>
      <c r="G186" s="1798" t="s">
        <v>1423</v>
      </c>
      <c r="H186" s="1707">
        <v>0</v>
      </c>
      <c r="I186" s="1718"/>
      <c r="J186" s="1719">
        <v>0</v>
      </c>
      <c r="K186" s="1865">
        <f>IF(J186=0,0,  J186*IF(G186="FE",1,POWER((1+'2. TaxData'!$I$65),(H186-'1. AgeData'!$D$31))))</f>
        <v>0</v>
      </c>
      <c r="L186" s="316"/>
      <c r="M186" s="1455"/>
      <c r="N186" s="316"/>
    </row>
    <row r="187" spans="1:14" s="306" customFormat="1" ht="12" x14ac:dyDescent="0.2">
      <c r="A187" s="1487">
        <v>72</v>
      </c>
      <c r="B187" s="1798" t="s">
        <v>1423</v>
      </c>
      <c r="C187" s="1901">
        <v>0</v>
      </c>
      <c r="D187" s="1716"/>
      <c r="E187" s="1683">
        <v>0</v>
      </c>
      <c r="F187" s="1213">
        <f>IF(E187=0,0,  E187*(IF(B187="FE",1,POWER((1+'2. TaxData'!$I$65),(C187-'1. AgeData'!$D$30)))))</f>
        <v>0</v>
      </c>
      <c r="G187" s="1798" t="s">
        <v>1423</v>
      </c>
      <c r="H187" s="1707">
        <v>0</v>
      </c>
      <c r="I187" s="1718"/>
      <c r="J187" s="1719">
        <v>0</v>
      </c>
      <c r="K187" s="1865">
        <f>IF(J187=0,0,  J187*IF(G187="FE",1,POWER((1+'2. TaxData'!$I$65),(H187-'1. AgeData'!$D$31))))</f>
        <v>0</v>
      </c>
      <c r="L187" s="316"/>
      <c r="M187" s="1455"/>
      <c r="N187" s="316"/>
    </row>
    <row r="188" spans="1:14" s="306" customFormat="1" ht="12" x14ac:dyDescent="0.2">
      <c r="A188" s="1487">
        <v>73</v>
      </c>
      <c r="B188" s="1798" t="s">
        <v>1423</v>
      </c>
      <c r="C188" s="1901">
        <v>0</v>
      </c>
      <c r="D188" s="1716"/>
      <c r="E188" s="1683">
        <v>0</v>
      </c>
      <c r="F188" s="1213">
        <f>IF(E188=0,0,  E188*(IF(B188="FE",1,POWER((1+'2. TaxData'!$I$65),(C188-'1. AgeData'!$D$30)))))</f>
        <v>0</v>
      </c>
      <c r="G188" s="1798" t="s">
        <v>1423</v>
      </c>
      <c r="H188" s="1707">
        <v>0</v>
      </c>
      <c r="I188" s="1718"/>
      <c r="J188" s="1719">
        <v>0</v>
      </c>
      <c r="K188" s="1865">
        <f>IF(J188=0,0,  J188*IF(G188="FE",1,POWER((1+'2. TaxData'!$I$65),(H188-'1. AgeData'!$D$31))))</f>
        <v>0</v>
      </c>
      <c r="L188" s="316"/>
      <c r="M188" s="1455"/>
      <c r="N188" s="316"/>
    </row>
    <row r="189" spans="1:14" s="306" customFormat="1" ht="12" x14ac:dyDescent="0.2">
      <c r="A189" s="1487">
        <v>74</v>
      </c>
      <c r="B189" s="1798" t="s">
        <v>1423</v>
      </c>
      <c r="C189" s="1901">
        <v>0</v>
      </c>
      <c r="D189" s="1716"/>
      <c r="E189" s="1683">
        <v>0</v>
      </c>
      <c r="F189" s="1213">
        <f>IF(E189=0,0,  E189*(IF(B189="FE",1,POWER((1+'2. TaxData'!$I$65),(C189-'1. AgeData'!$D$30)))))</f>
        <v>0</v>
      </c>
      <c r="G189" s="1798" t="s">
        <v>1423</v>
      </c>
      <c r="H189" s="1707">
        <v>0</v>
      </c>
      <c r="I189" s="1718"/>
      <c r="J189" s="1719">
        <v>0</v>
      </c>
      <c r="K189" s="1865">
        <f>IF(J189=0,0,  J189*IF(G189="FE",1,POWER((1+'2. TaxData'!$I$65),(H189-'1. AgeData'!$D$31))))</f>
        <v>0</v>
      </c>
      <c r="L189" s="316"/>
      <c r="M189" s="1455"/>
      <c r="N189" s="316"/>
    </row>
    <row r="190" spans="1:14" s="306" customFormat="1" ht="12" x14ac:dyDescent="0.2">
      <c r="A190" s="1487">
        <v>75</v>
      </c>
      <c r="B190" s="1798" t="s">
        <v>1423</v>
      </c>
      <c r="C190" s="1901">
        <v>0</v>
      </c>
      <c r="D190" s="1716"/>
      <c r="E190" s="1683">
        <v>0</v>
      </c>
      <c r="F190" s="1213">
        <f>IF(E190=0,0,  E190*(IF(B190="FE",1,POWER((1+'2. TaxData'!$I$65),(C190-'1. AgeData'!$D$30)))))</f>
        <v>0</v>
      </c>
      <c r="G190" s="1798" t="s">
        <v>1423</v>
      </c>
      <c r="H190" s="1707">
        <v>0</v>
      </c>
      <c r="I190" s="1718"/>
      <c r="J190" s="1719">
        <v>0</v>
      </c>
      <c r="K190" s="1865">
        <f>IF(J190=0,0,  J190*IF(G190="FE",1,POWER((1+'2. TaxData'!$I$65),(H190-'1. AgeData'!$D$31))))</f>
        <v>0</v>
      </c>
      <c r="L190" s="316"/>
      <c r="M190" s="1455"/>
      <c r="N190" s="316"/>
    </row>
    <row r="191" spans="1:14" s="306" customFormat="1" ht="12" x14ac:dyDescent="0.2">
      <c r="A191" s="1487">
        <v>76</v>
      </c>
      <c r="B191" s="1798" t="s">
        <v>1423</v>
      </c>
      <c r="C191" s="1901">
        <v>0</v>
      </c>
      <c r="D191" s="1716"/>
      <c r="E191" s="1683">
        <v>0</v>
      </c>
      <c r="F191" s="1213">
        <f>IF(E191=0,0,  E191*(IF(B191="FE",1,POWER((1+'2. TaxData'!$I$65),(C191-'1. AgeData'!$D$30)))))</f>
        <v>0</v>
      </c>
      <c r="G191" s="1798" t="s">
        <v>1423</v>
      </c>
      <c r="H191" s="1707">
        <v>0</v>
      </c>
      <c r="I191" s="1718"/>
      <c r="J191" s="1719">
        <v>0</v>
      </c>
      <c r="K191" s="1865">
        <f>IF(J191=0,0,  J191*IF(G191="FE",1,POWER((1+'2. TaxData'!$I$65),(H191-'1. AgeData'!$D$31))))</f>
        <v>0</v>
      </c>
      <c r="L191" s="316"/>
      <c r="M191" s="1455"/>
      <c r="N191" s="316"/>
    </row>
    <row r="192" spans="1:14" s="306" customFormat="1" ht="12" x14ac:dyDescent="0.2">
      <c r="A192" s="1487">
        <v>77</v>
      </c>
      <c r="B192" s="1798" t="s">
        <v>1423</v>
      </c>
      <c r="C192" s="1901">
        <v>0</v>
      </c>
      <c r="D192" s="1716"/>
      <c r="E192" s="1683">
        <v>0</v>
      </c>
      <c r="F192" s="1213">
        <f>IF(E192=0,0,  E192*(IF(B192="FE",1,POWER((1+'2. TaxData'!$I$65),(C192-'1. AgeData'!$D$30)))))</f>
        <v>0</v>
      </c>
      <c r="G192" s="1798" t="s">
        <v>1423</v>
      </c>
      <c r="H192" s="1707">
        <v>0</v>
      </c>
      <c r="I192" s="1718"/>
      <c r="J192" s="1719">
        <v>0</v>
      </c>
      <c r="K192" s="1865">
        <f>IF(J192=0,0,  J192*IF(G192="FE",1,POWER((1+'2. TaxData'!$I$65),(H192-'1. AgeData'!$D$31))))</f>
        <v>0</v>
      </c>
      <c r="L192" s="316"/>
      <c r="M192" s="1455"/>
      <c r="N192" s="316"/>
    </row>
    <row r="193" spans="1:14" s="306" customFormat="1" ht="12" x14ac:dyDescent="0.2">
      <c r="A193" s="1487">
        <v>78</v>
      </c>
      <c r="B193" s="1798" t="s">
        <v>1423</v>
      </c>
      <c r="C193" s="1901">
        <v>0</v>
      </c>
      <c r="D193" s="1716"/>
      <c r="E193" s="1683">
        <v>0</v>
      </c>
      <c r="F193" s="1213">
        <f>IF(E193=0,0,  E193*(IF(B193="FE",1,POWER((1+'2. TaxData'!$I$65),(C193-'1. AgeData'!$D$30)))))</f>
        <v>0</v>
      </c>
      <c r="G193" s="1798" t="s">
        <v>1423</v>
      </c>
      <c r="H193" s="1707">
        <v>0</v>
      </c>
      <c r="I193" s="1718"/>
      <c r="J193" s="1719">
        <v>0</v>
      </c>
      <c r="K193" s="1865">
        <f>IF(J193=0,0,  J193*IF(G193="FE",1,POWER((1+'2. TaxData'!$I$65),(H193-'1. AgeData'!$D$31))))</f>
        <v>0</v>
      </c>
      <c r="L193" s="316"/>
      <c r="M193" s="1455"/>
      <c r="N193" s="316"/>
    </row>
    <row r="194" spans="1:14" s="306" customFormat="1" ht="12" x14ac:dyDescent="0.2">
      <c r="A194" s="1487">
        <v>79</v>
      </c>
      <c r="B194" s="1798" t="s">
        <v>1423</v>
      </c>
      <c r="C194" s="1901">
        <v>0</v>
      </c>
      <c r="D194" s="1716"/>
      <c r="E194" s="1683">
        <v>0</v>
      </c>
      <c r="F194" s="1213">
        <f>IF(E194=0,0,  E194*(IF(B194="FE",1,POWER((1+'2. TaxData'!$I$65),(C194-'1. AgeData'!$D$30)))))</f>
        <v>0</v>
      </c>
      <c r="G194" s="1798" t="s">
        <v>1423</v>
      </c>
      <c r="H194" s="1707">
        <v>0</v>
      </c>
      <c r="I194" s="1718"/>
      <c r="J194" s="1719">
        <v>0</v>
      </c>
      <c r="K194" s="1865">
        <f>IF(J194=0,0,  J194*IF(G194="FE",1,POWER((1+'2. TaxData'!$I$65),(H194-'1. AgeData'!$D$31))))</f>
        <v>0</v>
      </c>
      <c r="L194" s="316"/>
      <c r="M194" s="1455"/>
      <c r="N194" s="316"/>
    </row>
    <row r="195" spans="1:14" s="306" customFormat="1" ht="12" x14ac:dyDescent="0.2">
      <c r="A195" s="1487">
        <v>80</v>
      </c>
      <c r="B195" s="1798" t="s">
        <v>1423</v>
      </c>
      <c r="C195" s="1901">
        <v>0</v>
      </c>
      <c r="D195" s="1716"/>
      <c r="E195" s="1683">
        <v>0</v>
      </c>
      <c r="F195" s="1213">
        <f>IF(E195=0,0,  E195*(IF(B195="FE",1,POWER((1+'2. TaxData'!$I$65),(C195-'1. AgeData'!$D$30)))))</f>
        <v>0</v>
      </c>
      <c r="G195" s="1798" t="s">
        <v>1423</v>
      </c>
      <c r="H195" s="1707">
        <v>0</v>
      </c>
      <c r="I195" s="1718"/>
      <c r="J195" s="1719">
        <v>0</v>
      </c>
      <c r="K195" s="1865">
        <f>IF(J195=0,0,  J195*IF(G195="FE",1,POWER((1+'2. TaxData'!$I$65),(H195-'1. AgeData'!$D$31))))</f>
        <v>0</v>
      </c>
      <c r="L195" s="316"/>
      <c r="M195" s="1455"/>
      <c r="N195" s="316"/>
    </row>
    <row r="196" spans="1:14" s="306" customFormat="1" ht="12" x14ac:dyDescent="0.2">
      <c r="A196" s="1487">
        <v>81</v>
      </c>
      <c r="B196" s="1798" t="s">
        <v>1423</v>
      </c>
      <c r="C196" s="1901">
        <v>0</v>
      </c>
      <c r="D196" s="1716"/>
      <c r="E196" s="1683">
        <v>0</v>
      </c>
      <c r="F196" s="1213">
        <f>IF(E196=0,0,  E196*(IF(B196="FE",1,POWER((1+'2. TaxData'!$I$65),(C196-'1. AgeData'!$D$30)))))</f>
        <v>0</v>
      </c>
      <c r="G196" s="1798" t="s">
        <v>1423</v>
      </c>
      <c r="H196" s="1707">
        <v>0</v>
      </c>
      <c r="I196" s="1718"/>
      <c r="J196" s="1719">
        <v>0</v>
      </c>
      <c r="K196" s="1865">
        <f>IF(J196=0,0,  J196*IF(G196="FE",1,POWER((1+'2. TaxData'!$I$65),(H196-'1. AgeData'!$D$31))))</f>
        <v>0</v>
      </c>
      <c r="L196" s="316"/>
      <c r="M196" s="1455"/>
      <c r="N196" s="316"/>
    </row>
    <row r="197" spans="1:14" s="306" customFormat="1" ht="12" x14ac:dyDescent="0.2">
      <c r="A197" s="1487">
        <v>82</v>
      </c>
      <c r="B197" s="1798" t="s">
        <v>1423</v>
      </c>
      <c r="C197" s="1901">
        <v>0</v>
      </c>
      <c r="D197" s="1716"/>
      <c r="E197" s="1683">
        <v>0</v>
      </c>
      <c r="F197" s="1213">
        <f>IF(E197=0,0,  E197*(IF(B197="FE",1,POWER((1+'2. TaxData'!$I$65),(C197-'1. AgeData'!$D$30)))))</f>
        <v>0</v>
      </c>
      <c r="G197" s="1798" t="s">
        <v>1423</v>
      </c>
      <c r="H197" s="1707">
        <v>0</v>
      </c>
      <c r="I197" s="1718"/>
      <c r="J197" s="1719">
        <v>0</v>
      </c>
      <c r="K197" s="1865">
        <f>IF(J197=0,0,  J197*IF(G197="FE",1,POWER((1+'2. TaxData'!$I$65),(H197-'1. AgeData'!$D$31))))</f>
        <v>0</v>
      </c>
      <c r="L197" s="316"/>
      <c r="M197" s="1455"/>
      <c r="N197" s="316"/>
    </row>
    <row r="198" spans="1:14" s="306" customFormat="1" ht="12" x14ac:dyDescent="0.2">
      <c r="A198" s="1487">
        <v>83</v>
      </c>
      <c r="B198" s="1798" t="s">
        <v>1423</v>
      </c>
      <c r="C198" s="1901">
        <v>0</v>
      </c>
      <c r="D198" s="1716"/>
      <c r="E198" s="1683">
        <v>0</v>
      </c>
      <c r="F198" s="1213">
        <f>IF(E198=0,0,  E198*(IF(B198="FE",1,POWER((1+'2. TaxData'!$I$65),(C198-'1. AgeData'!$D$30)))))</f>
        <v>0</v>
      </c>
      <c r="G198" s="1798" t="s">
        <v>1423</v>
      </c>
      <c r="H198" s="1707">
        <v>0</v>
      </c>
      <c r="I198" s="1718"/>
      <c r="J198" s="1719">
        <v>0</v>
      </c>
      <c r="K198" s="1865">
        <f>IF(J198=0,0,  J198*IF(G198="FE",1,POWER((1+'2. TaxData'!$I$65),(H198-'1. AgeData'!$D$31))))</f>
        <v>0</v>
      </c>
      <c r="L198" s="316"/>
      <c r="M198" s="1455"/>
      <c r="N198" s="316"/>
    </row>
    <row r="199" spans="1:14" s="306" customFormat="1" ht="12" x14ac:dyDescent="0.2">
      <c r="A199" s="1487">
        <v>84</v>
      </c>
      <c r="B199" s="1798" t="s">
        <v>1423</v>
      </c>
      <c r="C199" s="1901">
        <v>0</v>
      </c>
      <c r="D199" s="1716"/>
      <c r="E199" s="1683">
        <v>0</v>
      </c>
      <c r="F199" s="1213">
        <f>IF(E199=0,0,  E199*(IF(B199="FE",1,POWER((1+'2. TaxData'!$I$65),(C199-'1. AgeData'!$D$30)))))</f>
        <v>0</v>
      </c>
      <c r="G199" s="1798" t="s">
        <v>1423</v>
      </c>
      <c r="H199" s="1707">
        <v>0</v>
      </c>
      <c r="I199" s="1718"/>
      <c r="J199" s="1719">
        <v>0</v>
      </c>
      <c r="K199" s="1865">
        <f>IF(J199=0,0,  J199*IF(G199="FE",1,POWER((1+'2. TaxData'!$I$65),(H199-'1. AgeData'!$D$31))))</f>
        <v>0</v>
      </c>
      <c r="L199" s="316"/>
      <c r="M199" s="1455"/>
      <c r="N199" s="316"/>
    </row>
    <row r="200" spans="1:14" s="306" customFormat="1" ht="12" x14ac:dyDescent="0.2">
      <c r="A200" s="1487">
        <v>85</v>
      </c>
      <c r="B200" s="1798" t="s">
        <v>1423</v>
      </c>
      <c r="C200" s="1901">
        <v>0</v>
      </c>
      <c r="D200" s="1716"/>
      <c r="E200" s="1683">
        <v>0</v>
      </c>
      <c r="F200" s="1213">
        <f>IF(E200=0,0,  E200*(IF(B200="FE",1,POWER((1+'2. TaxData'!$I$65),(C200-'1. AgeData'!$D$30)))))</f>
        <v>0</v>
      </c>
      <c r="G200" s="1798" t="s">
        <v>1423</v>
      </c>
      <c r="H200" s="1707">
        <v>0</v>
      </c>
      <c r="I200" s="1718"/>
      <c r="J200" s="1719">
        <v>0</v>
      </c>
      <c r="K200" s="1865">
        <f>IF(J200=0,0,  J200*IF(G200="FE",1,POWER((1+'2. TaxData'!$I$65),(H200-'1. AgeData'!$D$31))))</f>
        <v>0</v>
      </c>
      <c r="L200" s="316"/>
      <c r="M200" s="1455"/>
      <c r="N200" s="316"/>
    </row>
    <row r="201" spans="1:14" s="306" customFormat="1" ht="12" x14ac:dyDescent="0.2">
      <c r="A201" s="1487">
        <v>86</v>
      </c>
      <c r="B201" s="1798" t="s">
        <v>1423</v>
      </c>
      <c r="C201" s="1901">
        <v>0</v>
      </c>
      <c r="D201" s="1716"/>
      <c r="E201" s="1683">
        <v>0</v>
      </c>
      <c r="F201" s="1213">
        <f>IF(E201=0,0,  E201*(IF(B201="FE",1,POWER((1+'2. TaxData'!$I$65),(C201-'1. AgeData'!$D$30)))))</f>
        <v>0</v>
      </c>
      <c r="G201" s="1798" t="s">
        <v>1423</v>
      </c>
      <c r="H201" s="1707">
        <v>0</v>
      </c>
      <c r="I201" s="1718"/>
      <c r="J201" s="1719">
        <v>0</v>
      </c>
      <c r="K201" s="1865">
        <f>IF(J201=0,0,  J201*IF(G201="FE",1,POWER((1+'2. TaxData'!$I$65),(H201-'1. AgeData'!$D$31))))</f>
        <v>0</v>
      </c>
      <c r="L201" s="316"/>
      <c r="M201" s="1455"/>
      <c r="N201" s="316"/>
    </row>
    <row r="202" spans="1:14" s="306" customFormat="1" ht="12" x14ac:dyDescent="0.2">
      <c r="A202" s="1487">
        <v>87</v>
      </c>
      <c r="B202" s="1798" t="s">
        <v>1423</v>
      </c>
      <c r="C202" s="1901">
        <v>0</v>
      </c>
      <c r="D202" s="1716"/>
      <c r="E202" s="1683">
        <v>0</v>
      </c>
      <c r="F202" s="1213">
        <f>IF(E202=0,0,  E202*(IF(B202="FE",1,POWER((1+'2. TaxData'!$I$65),(C202-'1. AgeData'!$D$30)))))</f>
        <v>0</v>
      </c>
      <c r="G202" s="1798" t="s">
        <v>1423</v>
      </c>
      <c r="H202" s="1707">
        <v>0</v>
      </c>
      <c r="I202" s="1718"/>
      <c r="J202" s="1719">
        <v>0</v>
      </c>
      <c r="K202" s="1865">
        <f>IF(J202=0,0,  J202*IF(G202="FE",1,POWER((1+'2. TaxData'!$I$65),(H202-'1. AgeData'!$D$31))))</f>
        <v>0</v>
      </c>
      <c r="L202" s="316"/>
      <c r="M202" s="1455"/>
      <c r="N202" s="316"/>
    </row>
    <row r="203" spans="1:14" s="306" customFormat="1" ht="12" x14ac:dyDescent="0.2">
      <c r="A203" s="1487">
        <v>88</v>
      </c>
      <c r="B203" s="1798" t="s">
        <v>1423</v>
      </c>
      <c r="C203" s="1901">
        <v>0</v>
      </c>
      <c r="D203" s="1716"/>
      <c r="E203" s="1683">
        <v>0</v>
      </c>
      <c r="F203" s="1213">
        <f>IF(E203=0,0,  E203*(IF(B203="FE",1,POWER((1+'2. TaxData'!$I$65),(C203-'1. AgeData'!$D$30)))))</f>
        <v>0</v>
      </c>
      <c r="G203" s="1798" t="s">
        <v>1423</v>
      </c>
      <c r="H203" s="1707">
        <v>0</v>
      </c>
      <c r="I203" s="1718"/>
      <c r="J203" s="1719">
        <v>0</v>
      </c>
      <c r="K203" s="1865">
        <f>IF(J203=0,0,  J203*IF(G203="FE",1,POWER((1+'2. TaxData'!$I$65),(H203-'1. AgeData'!$D$31))))</f>
        <v>0</v>
      </c>
      <c r="L203" s="316"/>
      <c r="M203" s="1455"/>
      <c r="N203" s="316"/>
    </row>
    <row r="204" spans="1:14" s="306" customFormat="1" ht="12" x14ac:dyDescent="0.2">
      <c r="A204" s="1487">
        <v>89</v>
      </c>
      <c r="B204" s="1798" t="s">
        <v>1423</v>
      </c>
      <c r="C204" s="1901">
        <v>0</v>
      </c>
      <c r="D204" s="1716"/>
      <c r="E204" s="1683">
        <v>0</v>
      </c>
      <c r="F204" s="1213">
        <f>IF(E204=0,0,  E204*(IF(B204="FE",1,POWER((1+'2. TaxData'!$I$65),(C204-'1. AgeData'!$D$30)))))</f>
        <v>0</v>
      </c>
      <c r="G204" s="1798" t="s">
        <v>1423</v>
      </c>
      <c r="H204" s="1707">
        <v>0</v>
      </c>
      <c r="I204" s="1718"/>
      <c r="J204" s="1719">
        <v>0</v>
      </c>
      <c r="K204" s="1865">
        <f>IF(J204=0,0,  J204*IF(G204="FE",1,POWER((1+'2. TaxData'!$I$65),(H204-'1. AgeData'!$D$31))))</f>
        <v>0</v>
      </c>
      <c r="L204" s="316"/>
      <c r="M204" s="1455"/>
      <c r="N204" s="316"/>
    </row>
    <row r="205" spans="1:14" s="306" customFormat="1" ht="12" x14ac:dyDescent="0.2">
      <c r="A205" s="1487">
        <v>90</v>
      </c>
      <c r="B205" s="1798" t="s">
        <v>1423</v>
      </c>
      <c r="C205" s="1901">
        <v>0</v>
      </c>
      <c r="D205" s="1716"/>
      <c r="E205" s="1683">
        <v>0</v>
      </c>
      <c r="F205" s="1213">
        <f>IF(E205=0,0,  E205*(IF(B205="FE",1,POWER((1+'2. TaxData'!$I$65),(C205-'1. AgeData'!$D$30)))))</f>
        <v>0</v>
      </c>
      <c r="G205" s="1798" t="s">
        <v>1423</v>
      </c>
      <c r="H205" s="1707">
        <v>0</v>
      </c>
      <c r="I205" s="1718"/>
      <c r="J205" s="1719">
        <v>0</v>
      </c>
      <c r="K205" s="1865">
        <f>IF(J205=0,0,  J205*IF(G205="FE",1,POWER((1+'2. TaxData'!$I$65),(H205-'1. AgeData'!$D$31))))</f>
        <v>0</v>
      </c>
      <c r="L205" s="316"/>
      <c r="M205" s="1455"/>
      <c r="N205" s="316"/>
    </row>
    <row r="206" spans="1:14" s="306" customFormat="1" ht="12" x14ac:dyDescent="0.2">
      <c r="A206" s="1487">
        <v>91</v>
      </c>
      <c r="B206" s="1798" t="s">
        <v>1423</v>
      </c>
      <c r="C206" s="1901">
        <v>0</v>
      </c>
      <c r="D206" s="1716"/>
      <c r="E206" s="1683">
        <v>0</v>
      </c>
      <c r="F206" s="1213">
        <f>IF(E206=0,0,  E206*(IF(B206="FE",1,POWER((1+'2. TaxData'!$I$65),(C206-'1. AgeData'!$D$30)))))</f>
        <v>0</v>
      </c>
      <c r="G206" s="1798" t="s">
        <v>1423</v>
      </c>
      <c r="H206" s="1707">
        <v>0</v>
      </c>
      <c r="I206" s="1718"/>
      <c r="J206" s="1719">
        <v>0</v>
      </c>
      <c r="K206" s="1865">
        <f>IF(J206=0,0,  J206*IF(G206="FE",1,POWER((1+'2. TaxData'!$I$65),(H206-'1. AgeData'!$D$31))))</f>
        <v>0</v>
      </c>
      <c r="L206" s="316"/>
      <c r="M206" s="1455"/>
      <c r="N206" s="316"/>
    </row>
    <row r="207" spans="1:14" s="306" customFormat="1" ht="12" x14ac:dyDescent="0.2">
      <c r="A207" s="1487">
        <v>92</v>
      </c>
      <c r="B207" s="1798" t="s">
        <v>1423</v>
      </c>
      <c r="C207" s="1901">
        <v>0</v>
      </c>
      <c r="D207" s="1716"/>
      <c r="E207" s="1683">
        <v>0</v>
      </c>
      <c r="F207" s="1213">
        <f>IF(E207=0,0,  E207*(IF(B207="FE",1,POWER((1+'2. TaxData'!$I$65),(C207-'1. AgeData'!$D$30)))))</f>
        <v>0</v>
      </c>
      <c r="G207" s="1798" t="s">
        <v>1423</v>
      </c>
      <c r="H207" s="1707">
        <v>0</v>
      </c>
      <c r="I207" s="1718"/>
      <c r="J207" s="1719">
        <v>0</v>
      </c>
      <c r="K207" s="1865">
        <f>IF(J207=0,0,  J207*IF(G207="FE",1,POWER((1+'2. TaxData'!$I$65),(H207-'1. AgeData'!$D$31))))</f>
        <v>0</v>
      </c>
      <c r="L207" s="316"/>
      <c r="M207" s="1455"/>
      <c r="N207" s="316"/>
    </row>
    <row r="208" spans="1:14" s="306" customFormat="1" ht="12" x14ac:dyDescent="0.2">
      <c r="A208" s="1487">
        <v>93</v>
      </c>
      <c r="B208" s="1798" t="s">
        <v>1423</v>
      </c>
      <c r="C208" s="1901">
        <v>0</v>
      </c>
      <c r="D208" s="1716"/>
      <c r="E208" s="1683">
        <v>0</v>
      </c>
      <c r="F208" s="1213">
        <f>IF(E208=0,0,  E208*(IF(B208="FE",1,POWER((1+'2. TaxData'!$I$65),(C208-'1. AgeData'!$D$30)))))</f>
        <v>0</v>
      </c>
      <c r="G208" s="1798" t="s">
        <v>1423</v>
      </c>
      <c r="H208" s="1707">
        <v>0</v>
      </c>
      <c r="I208" s="1718"/>
      <c r="J208" s="1719">
        <v>0</v>
      </c>
      <c r="K208" s="1865">
        <f>IF(J208=0,0,  J208*IF(G208="FE",1,POWER((1+'2. TaxData'!$I$65),(H208-'1. AgeData'!$D$31))))</f>
        <v>0</v>
      </c>
      <c r="L208" s="316"/>
      <c r="M208" s="1455"/>
      <c r="N208" s="316"/>
    </row>
    <row r="209" spans="1:14" s="306" customFormat="1" ht="12" x14ac:dyDescent="0.2">
      <c r="A209" s="1487">
        <v>94</v>
      </c>
      <c r="B209" s="1798" t="s">
        <v>1423</v>
      </c>
      <c r="C209" s="1901">
        <v>0</v>
      </c>
      <c r="D209" s="1716"/>
      <c r="E209" s="1683">
        <v>0</v>
      </c>
      <c r="F209" s="1213">
        <f>IF(E209=0,0,  E209*(IF(B209="FE",1,POWER((1+'2. TaxData'!$I$65),(C209-'1. AgeData'!$D$30)))))</f>
        <v>0</v>
      </c>
      <c r="G209" s="1798" t="s">
        <v>1423</v>
      </c>
      <c r="H209" s="1707">
        <v>0</v>
      </c>
      <c r="I209" s="1718"/>
      <c r="J209" s="1719">
        <v>0</v>
      </c>
      <c r="K209" s="1865">
        <f>IF(J209=0,0,  J209*IF(G209="FE",1,POWER((1+'2. TaxData'!$I$65),(H209-'1. AgeData'!$D$31))))</f>
        <v>0</v>
      </c>
      <c r="L209" s="316"/>
      <c r="M209" s="1455"/>
      <c r="N209" s="316"/>
    </row>
    <row r="210" spans="1:14" s="306" customFormat="1" ht="12" x14ac:dyDescent="0.2">
      <c r="A210" s="1487">
        <v>95</v>
      </c>
      <c r="B210" s="1798" t="s">
        <v>1423</v>
      </c>
      <c r="C210" s="1901">
        <v>0</v>
      </c>
      <c r="D210" s="1716"/>
      <c r="E210" s="1683">
        <v>0</v>
      </c>
      <c r="F210" s="1213">
        <f>IF(E210=0,0,  E210*(IF(B210="FE",1,POWER((1+'2. TaxData'!$I$65),(C210-'1. AgeData'!$D$30)))))</f>
        <v>0</v>
      </c>
      <c r="G210" s="1798" t="s">
        <v>1423</v>
      </c>
      <c r="H210" s="1707">
        <v>0</v>
      </c>
      <c r="I210" s="1718"/>
      <c r="J210" s="1719">
        <v>0</v>
      </c>
      <c r="K210" s="1865">
        <f>IF(J210=0,0,  J210*IF(G210="FE",1,POWER((1+'2. TaxData'!$I$65),(H210-'1. AgeData'!$D$31))))</f>
        <v>0</v>
      </c>
      <c r="L210" s="316"/>
      <c r="M210" s="1455"/>
      <c r="N210" s="316"/>
    </row>
    <row r="211" spans="1:14" s="306" customFormat="1" ht="12" x14ac:dyDescent="0.2">
      <c r="A211" s="1487">
        <v>96</v>
      </c>
      <c r="B211" s="1798" t="s">
        <v>1423</v>
      </c>
      <c r="C211" s="1901">
        <v>0</v>
      </c>
      <c r="D211" s="1716"/>
      <c r="E211" s="1683">
        <v>0</v>
      </c>
      <c r="F211" s="1213">
        <f>IF(E211=0,0,  E211*(IF(B211="FE",1,POWER((1+'2. TaxData'!$I$65),(C211-'1. AgeData'!$D$30)))))</f>
        <v>0</v>
      </c>
      <c r="G211" s="1798" t="s">
        <v>1423</v>
      </c>
      <c r="H211" s="1707">
        <v>0</v>
      </c>
      <c r="I211" s="1718"/>
      <c r="J211" s="1719">
        <v>0</v>
      </c>
      <c r="K211" s="1865">
        <f>IF(J211=0,0,  J211*IF(G211="FE",1,POWER((1+'2. TaxData'!$I$65),(H211-'1. AgeData'!$D$31))))</f>
        <v>0</v>
      </c>
      <c r="L211" s="316"/>
      <c r="M211" s="1455"/>
      <c r="N211" s="316"/>
    </row>
    <row r="212" spans="1:14" s="306" customFormat="1" ht="12" x14ac:dyDescent="0.2">
      <c r="A212" s="1487">
        <v>97</v>
      </c>
      <c r="B212" s="1798" t="s">
        <v>1423</v>
      </c>
      <c r="C212" s="1901">
        <v>0</v>
      </c>
      <c r="D212" s="1716"/>
      <c r="E212" s="1683">
        <v>0</v>
      </c>
      <c r="F212" s="1213">
        <f>IF(E212=0,0,  E212*(IF(B212="FE",1,POWER((1+'2. TaxData'!$I$65),(C212-'1. AgeData'!$D$30)))))</f>
        <v>0</v>
      </c>
      <c r="G212" s="1798" t="s">
        <v>1423</v>
      </c>
      <c r="H212" s="1707">
        <v>0</v>
      </c>
      <c r="I212" s="1718"/>
      <c r="J212" s="1719">
        <v>0</v>
      </c>
      <c r="K212" s="1865">
        <f>IF(J212=0,0,  J212*IF(G212="FE",1,POWER((1+'2. TaxData'!$I$65),(H212-'1. AgeData'!$D$31))))</f>
        <v>0</v>
      </c>
      <c r="L212" s="316"/>
      <c r="M212" s="1455"/>
      <c r="N212" s="316"/>
    </row>
    <row r="213" spans="1:14" s="306" customFormat="1" ht="12" x14ac:dyDescent="0.2">
      <c r="A213" s="1487">
        <v>98</v>
      </c>
      <c r="B213" s="1798" t="s">
        <v>1423</v>
      </c>
      <c r="C213" s="1901">
        <v>0</v>
      </c>
      <c r="D213" s="1716"/>
      <c r="E213" s="1683">
        <v>0</v>
      </c>
      <c r="F213" s="1213">
        <f>IF(E213=0,0,  E213*(IF(B213="FE",1,POWER((1+'2. TaxData'!$I$65),(C213-'1. AgeData'!$D$30)))))</f>
        <v>0</v>
      </c>
      <c r="G213" s="1798" t="s">
        <v>1423</v>
      </c>
      <c r="H213" s="1707">
        <v>0</v>
      </c>
      <c r="I213" s="1718"/>
      <c r="J213" s="1719">
        <v>0</v>
      </c>
      <c r="K213" s="1865">
        <f>IF(J213=0,0,  J213*IF(G213="FE",1,POWER((1+'2. TaxData'!$I$65),(H213-'1. AgeData'!$D$31))))</f>
        <v>0</v>
      </c>
      <c r="L213" s="316"/>
      <c r="M213" s="1455"/>
      <c r="N213" s="316"/>
    </row>
    <row r="214" spans="1:14" s="306" customFormat="1" ht="12" x14ac:dyDescent="0.2">
      <c r="A214" s="1487">
        <v>99</v>
      </c>
      <c r="B214" s="1798" t="s">
        <v>1423</v>
      </c>
      <c r="C214" s="1901">
        <v>0</v>
      </c>
      <c r="D214" s="1716"/>
      <c r="E214" s="1683">
        <v>0</v>
      </c>
      <c r="F214" s="1213">
        <f>IF(E214=0,0,  E214*(IF(B214="FE",1,POWER((1+'2. TaxData'!$I$65),(C214-'1. AgeData'!$D$30)))))</f>
        <v>0</v>
      </c>
      <c r="G214" s="1798" t="s">
        <v>1423</v>
      </c>
      <c r="H214" s="1707">
        <v>0</v>
      </c>
      <c r="I214" s="1718"/>
      <c r="J214" s="1719">
        <v>0</v>
      </c>
      <c r="K214" s="1865">
        <f>IF(J214=0,0,  J214*IF(G214="FE",1,POWER((1+'2. TaxData'!$I$65),(H214-'1. AgeData'!$D$31))))</f>
        <v>0</v>
      </c>
      <c r="L214" s="316"/>
      <c r="M214" s="1455"/>
      <c r="N214" s="316"/>
    </row>
    <row r="215" spans="1:14" s="306" customFormat="1" ht="12" x14ac:dyDescent="0.2">
      <c r="A215" s="1487">
        <v>100</v>
      </c>
      <c r="B215" s="1798" t="s">
        <v>1423</v>
      </c>
      <c r="C215" s="1901">
        <v>0</v>
      </c>
      <c r="D215" s="1716"/>
      <c r="E215" s="1683">
        <v>0</v>
      </c>
      <c r="F215" s="1213">
        <f>IF(E215=0,0,  E215*(IF(B215="FE",1,POWER((1+'2. TaxData'!$I$65),(C215-'1. AgeData'!$D$30)))))</f>
        <v>0</v>
      </c>
      <c r="G215" s="1798" t="s">
        <v>1423</v>
      </c>
      <c r="H215" s="1707">
        <v>0</v>
      </c>
      <c r="I215" s="1718"/>
      <c r="J215" s="1719">
        <v>0</v>
      </c>
      <c r="K215" s="1865">
        <f>IF(J215=0,0,  J215*IF(G215="FE",1,POWER((1+'2. TaxData'!$I$65),(H215-'1. AgeData'!$D$31))))</f>
        <v>0</v>
      </c>
      <c r="L215" s="316"/>
      <c r="M215" s="1455"/>
      <c r="N215" s="316"/>
    </row>
    <row r="216" spans="1:14" s="306" customFormat="1" ht="12" x14ac:dyDescent="0.2">
      <c r="A216" s="1487">
        <v>101</v>
      </c>
      <c r="B216" s="1798" t="s">
        <v>1423</v>
      </c>
      <c r="C216" s="1901">
        <v>0</v>
      </c>
      <c r="D216" s="1716"/>
      <c r="E216" s="1683">
        <v>0</v>
      </c>
      <c r="F216" s="1213">
        <f>IF(E216=0,0,  E216*(IF(B216="FE",1,POWER((1+'2. TaxData'!$I$65),(C216-'1. AgeData'!$D$30)))))</f>
        <v>0</v>
      </c>
      <c r="G216" s="1798" t="s">
        <v>1423</v>
      </c>
      <c r="H216" s="1707">
        <v>0</v>
      </c>
      <c r="I216" s="1718"/>
      <c r="J216" s="1719">
        <v>0</v>
      </c>
      <c r="K216" s="1865">
        <f>IF(J216=0,0,  J216*IF(G216="FE",1,POWER((1+'2. TaxData'!$I$65),(H216-'1. AgeData'!$D$31))))</f>
        <v>0</v>
      </c>
      <c r="L216" s="316"/>
      <c r="M216" s="1455"/>
      <c r="N216" s="316"/>
    </row>
    <row r="217" spans="1:14" s="306" customFormat="1" ht="12" x14ac:dyDescent="0.2">
      <c r="A217" s="1487">
        <v>102</v>
      </c>
      <c r="B217" s="1798" t="s">
        <v>1423</v>
      </c>
      <c r="C217" s="1901">
        <v>0</v>
      </c>
      <c r="D217" s="1716"/>
      <c r="E217" s="1683">
        <v>0</v>
      </c>
      <c r="F217" s="1213">
        <f>IF(E217=0,0,  E217*(IF(B217="FE",1,POWER((1+'2. TaxData'!$I$65),(C217-'1. AgeData'!$D$30)))))</f>
        <v>0</v>
      </c>
      <c r="G217" s="1798" t="s">
        <v>1423</v>
      </c>
      <c r="H217" s="1707">
        <v>0</v>
      </c>
      <c r="I217" s="1718"/>
      <c r="J217" s="1719">
        <v>0</v>
      </c>
      <c r="K217" s="1865">
        <f>IF(J217=0,0,  J217*IF(G217="FE",1,POWER((1+'2. TaxData'!$I$65),(H217-'1. AgeData'!$D$31))))</f>
        <v>0</v>
      </c>
      <c r="L217" s="316"/>
      <c r="M217" s="1455"/>
      <c r="N217" s="316"/>
    </row>
    <row r="218" spans="1:14" s="306" customFormat="1" ht="12" x14ac:dyDescent="0.2">
      <c r="A218" s="1487">
        <v>103</v>
      </c>
      <c r="B218" s="1798" t="s">
        <v>1423</v>
      </c>
      <c r="C218" s="1901">
        <v>0</v>
      </c>
      <c r="D218" s="1716"/>
      <c r="E218" s="1683">
        <v>0</v>
      </c>
      <c r="F218" s="1213">
        <f>IF(E218=0,0,  E218*(IF(B218="FE",1,POWER((1+'2. TaxData'!$I$65),(C218-'1. AgeData'!$D$30)))))</f>
        <v>0</v>
      </c>
      <c r="G218" s="1798" t="s">
        <v>1423</v>
      </c>
      <c r="H218" s="1707">
        <v>0</v>
      </c>
      <c r="I218" s="1718"/>
      <c r="J218" s="1719">
        <v>0</v>
      </c>
      <c r="K218" s="1865">
        <f>IF(J218=0,0,  J218*IF(G218="FE",1,POWER((1+'2. TaxData'!$I$65),(H218-'1. AgeData'!$D$31))))</f>
        <v>0</v>
      </c>
      <c r="L218" s="316"/>
      <c r="M218" s="1455"/>
      <c r="N218" s="316"/>
    </row>
    <row r="219" spans="1:14" s="306" customFormat="1" ht="12" x14ac:dyDescent="0.2">
      <c r="A219" s="1487">
        <v>104</v>
      </c>
      <c r="B219" s="1798" t="s">
        <v>1423</v>
      </c>
      <c r="C219" s="1901">
        <v>0</v>
      </c>
      <c r="D219" s="1716"/>
      <c r="E219" s="1683">
        <v>0</v>
      </c>
      <c r="F219" s="1213">
        <f>IF(E219=0,0,  E219*(IF(B219="FE",1,POWER((1+'2. TaxData'!$I$65),(C219-'1. AgeData'!$D$30)))))</f>
        <v>0</v>
      </c>
      <c r="G219" s="1798" t="s">
        <v>1423</v>
      </c>
      <c r="H219" s="1707">
        <v>0</v>
      </c>
      <c r="I219" s="1718"/>
      <c r="J219" s="1719">
        <v>0</v>
      </c>
      <c r="K219" s="1865">
        <f>IF(J219=0,0,  J219*IF(G219="FE",1,POWER((1+'2. TaxData'!$I$65),(H219-'1. AgeData'!$D$31))))</f>
        <v>0</v>
      </c>
      <c r="L219" s="316"/>
      <c r="M219" s="1455"/>
      <c r="N219" s="316"/>
    </row>
    <row r="220" spans="1:14" s="306" customFormat="1" ht="12" x14ac:dyDescent="0.2">
      <c r="A220" s="1487">
        <v>105</v>
      </c>
      <c r="B220" s="1798" t="s">
        <v>1423</v>
      </c>
      <c r="C220" s="1901">
        <v>0</v>
      </c>
      <c r="D220" s="1716"/>
      <c r="E220" s="1683">
        <v>0</v>
      </c>
      <c r="F220" s="1213">
        <f>IF(E220=0,0,  E220*(IF(B220="FE",1,POWER((1+'2. TaxData'!$I$65),(C220-'1. AgeData'!$D$30)))))</f>
        <v>0</v>
      </c>
      <c r="G220" s="1798" t="s">
        <v>1423</v>
      </c>
      <c r="H220" s="1707">
        <v>0</v>
      </c>
      <c r="I220" s="1718"/>
      <c r="J220" s="1719">
        <v>0</v>
      </c>
      <c r="K220" s="1865">
        <f>IF(J220=0,0,  J220*IF(G220="FE",1,POWER((1+'2. TaxData'!$I$65),(H220-'1. AgeData'!$D$31))))</f>
        <v>0</v>
      </c>
      <c r="L220" s="316"/>
      <c r="M220" s="1455"/>
      <c r="N220" s="316"/>
    </row>
    <row r="221" spans="1:14" s="306" customFormat="1" ht="12" x14ac:dyDescent="0.2">
      <c r="A221" s="1487">
        <v>106</v>
      </c>
      <c r="B221" s="1798" t="s">
        <v>1423</v>
      </c>
      <c r="C221" s="1901">
        <v>0</v>
      </c>
      <c r="D221" s="1716"/>
      <c r="E221" s="1683">
        <v>0</v>
      </c>
      <c r="F221" s="1213">
        <f>IF(E221=0,0,  E221*(IF(B221="FE",1,POWER((1+'2. TaxData'!$I$65),(C221-'1. AgeData'!$D$30)))))</f>
        <v>0</v>
      </c>
      <c r="G221" s="1798" t="s">
        <v>1423</v>
      </c>
      <c r="H221" s="1707">
        <v>0</v>
      </c>
      <c r="I221" s="1718"/>
      <c r="J221" s="1719">
        <v>0</v>
      </c>
      <c r="K221" s="1865">
        <f>IF(J221=0,0,  J221*IF(G221="FE",1,POWER((1+'2. TaxData'!$I$65),(H221-'1. AgeData'!$D$31))))</f>
        <v>0</v>
      </c>
      <c r="L221" s="316"/>
      <c r="M221" s="1455"/>
      <c r="N221" s="316"/>
    </row>
    <row r="222" spans="1:14" s="306" customFormat="1" ht="12" x14ac:dyDescent="0.2">
      <c r="A222" s="1487">
        <v>107</v>
      </c>
      <c r="B222" s="1798" t="s">
        <v>1423</v>
      </c>
      <c r="C222" s="1901">
        <v>0</v>
      </c>
      <c r="D222" s="1716"/>
      <c r="E222" s="1683">
        <v>0</v>
      </c>
      <c r="F222" s="1213">
        <f>IF(E222=0,0,  E222*(IF(B222="FE",1,POWER((1+'2. TaxData'!$I$65),(C222-'1. AgeData'!$D$30)))))</f>
        <v>0</v>
      </c>
      <c r="G222" s="1798" t="s">
        <v>1423</v>
      </c>
      <c r="H222" s="1707">
        <v>0</v>
      </c>
      <c r="I222" s="1718"/>
      <c r="J222" s="1719">
        <v>0</v>
      </c>
      <c r="K222" s="1865">
        <f>IF(J222=0,0,  J222*IF(G222="FE",1,POWER((1+'2. TaxData'!$I$65),(H222-'1. AgeData'!$D$31))))</f>
        <v>0</v>
      </c>
      <c r="L222" s="316"/>
      <c r="M222" s="1455"/>
      <c r="N222" s="316"/>
    </row>
    <row r="223" spans="1:14" s="306" customFormat="1" ht="12" x14ac:dyDescent="0.2">
      <c r="A223" s="1487">
        <v>108</v>
      </c>
      <c r="B223" s="1798" t="s">
        <v>1423</v>
      </c>
      <c r="C223" s="1901">
        <v>0</v>
      </c>
      <c r="D223" s="1716"/>
      <c r="E223" s="1683">
        <v>0</v>
      </c>
      <c r="F223" s="1213">
        <f>IF(E223=0,0,  E223*(IF(B223="FE",1,POWER((1+'2. TaxData'!$I$65),(C223-'1. AgeData'!$D$30)))))</f>
        <v>0</v>
      </c>
      <c r="G223" s="1798" t="s">
        <v>1423</v>
      </c>
      <c r="H223" s="1707">
        <v>0</v>
      </c>
      <c r="I223" s="1718"/>
      <c r="J223" s="1719">
        <v>0</v>
      </c>
      <c r="K223" s="1865">
        <f>IF(J223=0,0,  J223*IF(G223="FE",1,POWER((1+'2. TaxData'!$I$65),(H223-'1. AgeData'!$D$31))))</f>
        <v>0</v>
      </c>
      <c r="L223" s="316"/>
      <c r="M223" s="1455"/>
      <c r="N223" s="316"/>
    </row>
    <row r="224" spans="1:14" s="306" customFormat="1" ht="12" x14ac:dyDescent="0.2">
      <c r="A224" s="1487">
        <v>109</v>
      </c>
      <c r="B224" s="1798" t="s">
        <v>1423</v>
      </c>
      <c r="C224" s="1901">
        <v>0</v>
      </c>
      <c r="D224" s="1716"/>
      <c r="E224" s="1683">
        <v>0</v>
      </c>
      <c r="F224" s="1213">
        <f>IF(E224=0,0,  E224*(IF(B224="FE",1,POWER((1+'2. TaxData'!$I$65),(C224-'1. AgeData'!$D$30)))))</f>
        <v>0</v>
      </c>
      <c r="G224" s="1798" t="s">
        <v>1423</v>
      </c>
      <c r="H224" s="1707">
        <v>0</v>
      </c>
      <c r="I224" s="1718"/>
      <c r="J224" s="1719">
        <v>0</v>
      </c>
      <c r="K224" s="1865">
        <f>IF(J224=0,0,  J224*IF(G224="FE",1,POWER((1+'2. TaxData'!$I$65),(H224-'1. AgeData'!$D$31))))</f>
        <v>0</v>
      </c>
      <c r="L224" s="316"/>
      <c r="M224" s="1455"/>
      <c r="N224" s="316"/>
    </row>
    <row r="225" spans="1:14" s="306" customFormat="1" ht="12" x14ac:dyDescent="0.2">
      <c r="A225" s="1487">
        <v>110</v>
      </c>
      <c r="B225" s="1798" t="s">
        <v>1423</v>
      </c>
      <c r="C225" s="1901">
        <v>0</v>
      </c>
      <c r="D225" s="1716"/>
      <c r="E225" s="1683">
        <v>0</v>
      </c>
      <c r="F225" s="1213">
        <f>IF(E225=0,0,  E225*(IF(B225="FE",1,POWER((1+'2. TaxData'!$I$65),(C225-'1. AgeData'!$D$30)))))</f>
        <v>0</v>
      </c>
      <c r="G225" s="1798" t="s">
        <v>1423</v>
      </c>
      <c r="H225" s="1707">
        <v>0</v>
      </c>
      <c r="I225" s="1718"/>
      <c r="J225" s="1719">
        <v>0</v>
      </c>
      <c r="K225" s="1865">
        <f>IF(J225=0,0,  J225*IF(G225="FE",1,POWER((1+'2. TaxData'!$I$65),(H225-'1. AgeData'!$D$31))))</f>
        <v>0</v>
      </c>
      <c r="L225" s="316"/>
      <c r="M225" s="1455"/>
      <c r="N225" s="316"/>
    </row>
    <row r="226" spans="1:14" s="306" customFormat="1" ht="12" x14ac:dyDescent="0.2">
      <c r="A226" s="1487">
        <v>111</v>
      </c>
      <c r="B226" s="1798" t="s">
        <v>1423</v>
      </c>
      <c r="C226" s="1901">
        <v>0</v>
      </c>
      <c r="D226" s="1716"/>
      <c r="E226" s="1683">
        <v>0</v>
      </c>
      <c r="F226" s="1213">
        <f>IF(E226=0,0,  E226*(IF(B226="FE",1,POWER((1+'2. TaxData'!$I$65),(C226-'1. AgeData'!$D$30)))))</f>
        <v>0</v>
      </c>
      <c r="G226" s="1798" t="s">
        <v>1423</v>
      </c>
      <c r="H226" s="1707">
        <v>0</v>
      </c>
      <c r="I226" s="1718"/>
      <c r="J226" s="1719">
        <v>0</v>
      </c>
      <c r="K226" s="1865">
        <f>IF(J226=0,0,  J226*IF(G226="FE",1,POWER((1+'2. TaxData'!$I$65),(H226-'1. AgeData'!$D$31))))</f>
        <v>0</v>
      </c>
      <c r="L226" s="316"/>
      <c r="M226" s="1455"/>
      <c r="N226" s="316"/>
    </row>
    <row r="227" spans="1:14" s="306" customFormat="1" ht="12" x14ac:dyDescent="0.2">
      <c r="A227" s="1487">
        <v>112</v>
      </c>
      <c r="B227" s="1798" t="s">
        <v>1423</v>
      </c>
      <c r="C227" s="1901">
        <v>0</v>
      </c>
      <c r="D227" s="1716"/>
      <c r="E227" s="1683">
        <v>0</v>
      </c>
      <c r="F227" s="1213">
        <f>IF(E227=0,0,  E227*(IF(B227="FE",1,POWER((1+'2. TaxData'!$I$65),(C227-'1. AgeData'!$D$30)))))</f>
        <v>0</v>
      </c>
      <c r="G227" s="1798" t="s">
        <v>1423</v>
      </c>
      <c r="H227" s="1707">
        <v>0</v>
      </c>
      <c r="I227" s="1718"/>
      <c r="J227" s="1719">
        <v>0</v>
      </c>
      <c r="K227" s="1865">
        <f>IF(J227=0,0,  J227*IF(G227="FE",1,POWER((1+'2. TaxData'!$I$65),(H227-'1. AgeData'!$D$31))))</f>
        <v>0</v>
      </c>
      <c r="L227" s="316"/>
      <c r="M227" s="1455"/>
      <c r="N227" s="316"/>
    </row>
    <row r="228" spans="1:14" s="306" customFormat="1" ht="12" x14ac:dyDescent="0.2">
      <c r="A228" s="1487">
        <v>113</v>
      </c>
      <c r="B228" s="1798" t="s">
        <v>1423</v>
      </c>
      <c r="C228" s="1901">
        <v>0</v>
      </c>
      <c r="D228" s="1716"/>
      <c r="E228" s="1683">
        <v>0</v>
      </c>
      <c r="F228" s="1213">
        <f>IF(E228=0,0,  E228*(IF(B228="FE",1,POWER((1+'2. TaxData'!$I$65),(C228-'1. AgeData'!$D$30)))))</f>
        <v>0</v>
      </c>
      <c r="G228" s="1798" t="s">
        <v>1423</v>
      </c>
      <c r="H228" s="1707">
        <v>0</v>
      </c>
      <c r="I228" s="1718"/>
      <c r="J228" s="1719">
        <v>0</v>
      </c>
      <c r="K228" s="1865">
        <f>IF(J228=0,0,  J228*IF(G228="FE",1,POWER((1+'2. TaxData'!$I$65),(H228-'1. AgeData'!$D$31))))</f>
        <v>0</v>
      </c>
      <c r="L228" s="316"/>
      <c r="M228" s="1455"/>
      <c r="N228" s="316"/>
    </row>
    <row r="229" spans="1:14" s="306" customFormat="1" ht="12" x14ac:dyDescent="0.2">
      <c r="A229" s="1487">
        <v>114</v>
      </c>
      <c r="B229" s="1798" t="s">
        <v>1423</v>
      </c>
      <c r="C229" s="1901">
        <v>0</v>
      </c>
      <c r="D229" s="1716"/>
      <c r="E229" s="1683">
        <v>0</v>
      </c>
      <c r="F229" s="1213">
        <f>IF(E229=0,0,  E229*(IF(B229="FE",1,POWER((1+'2. TaxData'!$I$65),(C229-'1. AgeData'!$D$30)))))</f>
        <v>0</v>
      </c>
      <c r="G229" s="1798" t="s">
        <v>1423</v>
      </c>
      <c r="H229" s="1707">
        <v>0</v>
      </c>
      <c r="I229" s="1718"/>
      <c r="J229" s="1719">
        <v>0</v>
      </c>
      <c r="K229" s="1865">
        <f>IF(J229=0,0,  J229*IF(G229="FE",1,POWER((1+'2. TaxData'!$I$65),(H229-'1. AgeData'!$D$31))))</f>
        <v>0</v>
      </c>
      <c r="L229" s="316"/>
      <c r="M229" s="1455"/>
      <c r="N229" s="316"/>
    </row>
    <row r="230" spans="1:14" s="306" customFormat="1" ht="12" x14ac:dyDescent="0.2">
      <c r="A230" s="1487">
        <v>115</v>
      </c>
      <c r="B230" s="1798" t="s">
        <v>1423</v>
      </c>
      <c r="C230" s="1901">
        <v>0</v>
      </c>
      <c r="D230" s="1716"/>
      <c r="E230" s="1683">
        <v>0</v>
      </c>
      <c r="F230" s="1213">
        <f>IF(E230=0,0,  E230*(IF(B230="FE",1,POWER((1+'2. TaxData'!$I$65),(C230-'1. AgeData'!$D$30)))))</f>
        <v>0</v>
      </c>
      <c r="G230" s="1798" t="s">
        <v>1423</v>
      </c>
      <c r="H230" s="1707">
        <v>0</v>
      </c>
      <c r="I230" s="1718"/>
      <c r="J230" s="1719">
        <v>0</v>
      </c>
      <c r="K230" s="1865">
        <f>IF(J230=0,0,  J230*IF(G230="FE",1,POWER((1+'2. TaxData'!$I$65),(H230-'1. AgeData'!$D$31))))</f>
        <v>0</v>
      </c>
      <c r="L230" s="316"/>
      <c r="M230" s="1455"/>
      <c r="N230" s="316"/>
    </row>
    <row r="231" spans="1:14" s="306" customFormat="1" ht="12" x14ac:dyDescent="0.2">
      <c r="A231" s="1487">
        <v>116</v>
      </c>
      <c r="B231" s="1798" t="s">
        <v>1423</v>
      </c>
      <c r="C231" s="1901">
        <v>0</v>
      </c>
      <c r="D231" s="1716"/>
      <c r="E231" s="1683">
        <v>0</v>
      </c>
      <c r="F231" s="1213">
        <f>IF(E231=0,0,  E231*(IF(B231="FE",1,POWER((1+'2. TaxData'!$I$65),(C231-'1. AgeData'!$D$30)))))</f>
        <v>0</v>
      </c>
      <c r="G231" s="1798" t="s">
        <v>1423</v>
      </c>
      <c r="H231" s="1707">
        <v>0</v>
      </c>
      <c r="I231" s="1718"/>
      <c r="J231" s="1719">
        <v>0</v>
      </c>
      <c r="K231" s="1865">
        <f>IF(J231=0,0,  J231*IF(G231="FE",1,POWER((1+'2. TaxData'!$I$65),(H231-'1. AgeData'!$D$31))))</f>
        <v>0</v>
      </c>
      <c r="L231" s="316"/>
      <c r="M231" s="1455"/>
      <c r="N231" s="316"/>
    </row>
    <row r="232" spans="1:14" s="306" customFormat="1" ht="12" x14ac:dyDescent="0.2">
      <c r="A232" s="1487">
        <v>117</v>
      </c>
      <c r="B232" s="1798" t="s">
        <v>1423</v>
      </c>
      <c r="C232" s="1901">
        <v>0</v>
      </c>
      <c r="D232" s="1716"/>
      <c r="E232" s="1683">
        <v>0</v>
      </c>
      <c r="F232" s="1213">
        <f>IF(E232=0,0,  E232*(IF(B232="FE",1,POWER((1+'2. TaxData'!$I$65),(C232-'1. AgeData'!$D$30)))))</f>
        <v>0</v>
      </c>
      <c r="G232" s="1798" t="s">
        <v>1423</v>
      </c>
      <c r="H232" s="1707">
        <v>0</v>
      </c>
      <c r="I232" s="1718"/>
      <c r="J232" s="1719">
        <v>0</v>
      </c>
      <c r="K232" s="1865">
        <f>IF(J232=0,0,  J232*IF(G232="FE",1,POWER((1+'2. TaxData'!$I$65),(H232-'1. AgeData'!$D$31))))</f>
        <v>0</v>
      </c>
      <c r="L232" s="316"/>
      <c r="M232" s="1455"/>
      <c r="N232" s="316"/>
    </row>
    <row r="233" spans="1:14" s="306" customFormat="1" ht="12" x14ac:dyDescent="0.2">
      <c r="A233" s="1487">
        <v>118</v>
      </c>
      <c r="B233" s="1798" t="s">
        <v>1423</v>
      </c>
      <c r="C233" s="1901">
        <v>0</v>
      </c>
      <c r="D233" s="1716"/>
      <c r="E233" s="1683">
        <v>0</v>
      </c>
      <c r="F233" s="1213">
        <f>IF(E233=0,0,  E233*(IF(B233="FE",1,POWER((1+'2. TaxData'!$I$65),(C233-'1. AgeData'!$D$30)))))</f>
        <v>0</v>
      </c>
      <c r="G233" s="1798" t="s">
        <v>1423</v>
      </c>
      <c r="H233" s="1707">
        <v>0</v>
      </c>
      <c r="I233" s="1718"/>
      <c r="J233" s="1719">
        <v>0</v>
      </c>
      <c r="K233" s="1865">
        <f>IF(J233=0,0,  J233*IF(G233="FE",1,POWER((1+'2. TaxData'!$I$65),(H233-'1. AgeData'!$D$31))))</f>
        <v>0</v>
      </c>
      <c r="L233" s="316"/>
      <c r="M233" s="1455"/>
      <c r="N233" s="316"/>
    </row>
    <row r="234" spans="1:14" s="306" customFormat="1" ht="12" x14ac:dyDescent="0.2">
      <c r="A234" s="1487">
        <v>119</v>
      </c>
      <c r="B234" s="1798" t="s">
        <v>1423</v>
      </c>
      <c r="C234" s="1901">
        <v>0</v>
      </c>
      <c r="D234" s="1716"/>
      <c r="E234" s="1683">
        <v>0</v>
      </c>
      <c r="F234" s="1213">
        <f>IF(E234=0,0,  E234*(IF(B234="FE",1,POWER((1+'2. TaxData'!$I$65),(C234-'1. AgeData'!$D$30)))))</f>
        <v>0</v>
      </c>
      <c r="G234" s="1798" t="s">
        <v>1423</v>
      </c>
      <c r="H234" s="1707">
        <v>0</v>
      </c>
      <c r="I234" s="1717"/>
      <c r="J234" s="1720">
        <v>0</v>
      </c>
      <c r="K234" s="1865">
        <f>IF(J234=0,0,  J234*IF(G234="FE",1,POWER((1+'2. TaxData'!$I$65),(H234-'1. AgeData'!$D$31))))</f>
        <v>0</v>
      </c>
      <c r="L234" s="316"/>
      <c r="M234" s="1455"/>
      <c r="N234" s="316"/>
    </row>
    <row r="235" spans="1:14" s="306" customFormat="1" ht="12" x14ac:dyDescent="0.2">
      <c r="A235" s="1487">
        <v>120</v>
      </c>
      <c r="B235" s="1798" t="s">
        <v>1423</v>
      </c>
      <c r="C235" s="1901">
        <v>0</v>
      </c>
      <c r="D235" s="1716"/>
      <c r="E235" s="1683">
        <v>0</v>
      </c>
      <c r="F235" s="1213">
        <f>IF(E235=0,0,  E235*(IF(B235="FE",1,POWER((1+'2. TaxData'!$I$65),(C235-'1. AgeData'!$D$30)))))</f>
        <v>0</v>
      </c>
      <c r="G235" s="1798" t="s">
        <v>1423</v>
      </c>
      <c r="H235" s="1707">
        <v>0</v>
      </c>
      <c r="I235" s="1717"/>
      <c r="J235" s="1720">
        <v>0</v>
      </c>
      <c r="K235" s="1865">
        <f>IF(J235=0,0,  J235*IF(G235="FE",1,POWER((1+'2. TaxData'!$I$65),(H235-'1. AgeData'!$D$31))))</f>
        <v>0</v>
      </c>
      <c r="L235" s="316"/>
      <c r="M235" s="1455"/>
      <c r="N235" s="316"/>
    </row>
    <row r="236" spans="1:14" s="306" customFormat="1" ht="12" x14ac:dyDescent="0.2">
      <c r="A236" s="1487">
        <v>121</v>
      </c>
      <c r="B236" s="1798" t="s">
        <v>1423</v>
      </c>
      <c r="C236" s="1901">
        <v>0</v>
      </c>
      <c r="D236" s="1716"/>
      <c r="E236" s="1683">
        <v>0</v>
      </c>
      <c r="F236" s="1213">
        <f>IF(E236=0,0,  E236*(IF(B236="FE",1,POWER((1+'2. TaxData'!$I$65),(C236-'1. AgeData'!$D$30)))))</f>
        <v>0</v>
      </c>
      <c r="G236" s="1798" t="s">
        <v>1423</v>
      </c>
      <c r="H236" s="1707">
        <v>0</v>
      </c>
      <c r="I236" s="1717"/>
      <c r="J236" s="1720">
        <v>0</v>
      </c>
      <c r="K236" s="1865">
        <f>IF(J236=0,0,  J236*IF(G236="FE",1,POWER((1+'2. TaxData'!$I$65),(H236-'1. AgeData'!$D$31))))</f>
        <v>0</v>
      </c>
      <c r="L236" s="316"/>
      <c r="M236" s="1455"/>
      <c r="N236" s="316"/>
    </row>
    <row r="237" spans="1:14" s="306" customFormat="1" ht="12" x14ac:dyDescent="0.2">
      <c r="A237" s="1487">
        <v>122</v>
      </c>
      <c r="B237" s="1798" t="s">
        <v>1423</v>
      </c>
      <c r="C237" s="1901">
        <v>0</v>
      </c>
      <c r="D237" s="1716"/>
      <c r="E237" s="1683">
        <v>0</v>
      </c>
      <c r="F237" s="1213">
        <f>IF(E237=0,0,  E237*(IF(B237="FE",1,POWER((1+'2. TaxData'!$I$65),(C237-'1. AgeData'!$D$30)))))</f>
        <v>0</v>
      </c>
      <c r="G237" s="1798" t="s">
        <v>1423</v>
      </c>
      <c r="H237" s="1707">
        <v>0</v>
      </c>
      <c r="I237" s="1717"/>
      <c r="J237" s="1720">
        <v>0</v>
      </c>
      <c r="K237" s="1865">
        <f>IF(J237=0,0,  J237*IF(G237="FE",1,POWER((1+'2. TaxData'!$I$65),(H237-'1. AgeData'!$D$31))))</f>
        <v>0</v>
      </c>
      <c r="L237" s="316"/>
      <c r="M237" s="1455"/>
      <c r="N237" s="316"/>
    </row>
    <row r="238" spans="1:14" s="306" customFormat="1" ht="12" x14ac:dyDescent="0.2">
      <c r="A238" s="1487">
        <v>123</v>
      </c>
      <c r="B238" s="1798" t="s">
        <v>1423</v>
      </c>
      <c r="C238" s="1901">
        <v>0</v>
      </c>
      <c r="D238" s="1716"/>
      <c r="E238" s="1683">
        <v>0</v>
      </c>
      <c r="F238" s="1213">
        <f>IF(E238=0,0,  E238*(IF(B238="FE",1,POWER((1+'2. TaxData'!$I$65),(C238-'1. AgeData'!$D$30)))))</f>
        <v>0</v>
      </c>
      <c r="G238" s="1798" t="s">
        <v>1423</v>
      </c>
      <c r="H238" s="1707">
        <v>0</v>
      </c>
      <c r="I238" s="1717"/>
      <c r="J238" s="1720">
        <v>0</v>
      </c>
      <c r="K238" s="1865">
        <f>IF(J238=0,0,  J238*IF(G238="FE",1,POWER((1+'2. TaxData'!$I$65),(H238-'1. AgeData'!$D$31))))</f>
        <v>0</v>
      </c>
      <c r="L238" s="316"/>
      <c r="M238" s="1455"/>
      <c r="N238" s="316"/>
    </row>
    <row r="239" spans="1:14" s="306" customFormat="1" ht="12" x14ac:dyDescent="0.2">
      <c r="A239" s="1487">
        <v>124</v>
      </c>
      <c r="B239" s="1798" t="s">
        <v>1423</v>
      </c>
      <c r="C239" s="1901">
        <v>0</v>
      </c>
      <c r="D239" s="1716"/>
      <c r="E239" s="1683">
        <v>0</v>
      </c>
      <c r="F239" s="1213">
        <f>IF(E239=0,0,  E239*(IF(B239="FE",1,POWER((1+'2. TaxData'!$I$65),(C239-'1. AgeData'!$D$30)))))</f>
        <v>0</v>
      </c>
      <c r="G239" s="1798" t="s">
        <v>1423</v>
      </c>
      <c r="H239" s="1707">
        <v>0</v>
      </c>
      <c r="I239" s="1717"/>
      <c r="J239" s="1720">
        <v>0</v>
      </c>
      <c r="K239" s="1865">
        <f>IF(J239=0,0,  J239*IF(G239="FE",1,POWER((1+'2. TaxData'!$I$65),(H239-'1. AgeData'!$D$31))))</f>
        <v>0</v>
      </c>
      <c r="L239" s="316"/>
      <c r="M239" s="1455"/>
      <c r="N239" s="316"/>
    </row>
    <row r="240" spans="1:14" s="306" customFormat="1" ht="12" x14ac:dyDescent="0.2">
      <c r="A240" s="1487">
        <v>125</v>
      </c>
      <c r="B240" s="1798" t="s">
        <v>1423</v>
      </c>
      <c r="C240" s="1901">
        <v>0</v>
      </c>
      <c r="D240" s="1716"/>
      <c r="E240" s="1683">
        <v>0</v>
      </c>
      <c r="F240" s="1213">
        <f>IF(E240=0,0,  E240*(IF(B240="FE",1,POWER((1+'2. TaxData'!$I$65),(C240-'1. AgeData'!$D$30)))))</f>
        <v>0</v>
      </c>
      <c r="G240" s="1798" t="s">
        <v>1423</v>
      </c>
      <c r="H240" s="1707">
        <v>0</v>
      </c>
      <c r="I240" s="1717"/>
      <c r="J240" s="1720">
        <v>0</v>
      </c>
      <c r="K240" s="1865">
        <f>IF(J240=0,0,  J240*IF(G240="FE",1,POWER((1+'2. TaxData'!$I$65),(H240-'1. AgeData'!$D$31))))</f>
        <v>0</v>
      </c>
      <c r="L240" s="316"/>
      <c r="M240" s="1455"/>
      <c r="N240" s="316"/>
    </row>
    <row r="241" spans="1:14" s="306" customFormat="1" ht="12" x14ac:dyDescent="0.2">
      <c r="A241" s="1487">
        <v>126</v>
      </c>
      <c r="B241" s="1798" t="s">
        <v>1423</v>
      </c>
      <c r="C241" s="1901">
        <v>0</v>
      </c>
      <c r="D241" s="1716"/>
      <c r="E241" s="1683">
        <v>0</v>
      </c>
      <c r="F241" s="1213">
        <f>IF(E241=0,0,  E241*(IF(B241="FE",1,POWER((1+'2. TaxData'!$I$65),(C241-'1. AgeData'!$D$30)))))</f>
        <v>0</v>
      </c>
      <c r="G241" s="1798" t="s">
        <v>1423</v>
      </c>
      <c r="H241" s="1707">
        <v>0</v>
      </c>
      <c r="I241" s="1717"/>
      <c r="J241" s="1720">
        <v>0</v>
      </c>
      <c r="K241" s="1865">
        <f>IF(J241=0,0,  J241*IF(G241="FE",1,POWER((1+'2. TaxData'!$I$65),(H241-'1. AgeData'!$D$31))))</f>
        <v>0</v>
      </c>
      <c r="L241" s="316"/>
      <c r="M241" s="1455"/>
      <c r="N241" s="316"/>
    </row>
    <row r="242" spans="1:14" s="306" customFormat="1" ht="12" x14ac:dyDescent="0.2">
      <c r="A242" s="1487">
        <v>127</v>
      </c>
      <c r="B242" s="1798" t="s">
        <v>1423</v>
      </c>
      <c r="C242" s="1901">
        <v>0</v>
      </c>
      <c r="D242" s="1717"/>
      <c r="E242" s="1683">
        <v>0</v>
      </c>
      <c r="F242" s="1213">
        <f>IF(E242=0,0,  E242*(IF(B242="FE",1,POWER((1+'2. TaxData'!$I$65),(C242-'1. AgeData'!$D$30)))))</f>
        <v>0</v>
      </c>
      <c r="G242" s="1798" t="s">
        <v>1423</v>
      </c>
      <c r="H242" s="1707">
        <v>0</v>
      </c>
      <c r="I242" s="1717"/>
      <c r="J242" s="1720">
        <v>0</v>
      </c>
      <c r="K242" s="1865">
        <f>IF(J242=0,0,  J242*IF(G242="FE",1,POWER((1+'2. TaxData'!$I$65),(H242-'1. AgeData'!$D$31))))</f>
        <v>0</v>
      </c>
      <c r="L242" s="316"/>
      <c r="M242" s="1455"/>
      <c r="N242" s="316"/>
    </row>
    <row r="243" spans="1:14" s="306" customFormat="1" ht="12" x14ac:dyDescent="0.2">
      <c r="A243" s="1487">
        <v>128</v>
      </c>
      <c r="B243" s="1798" t="s">
        <v>1423</v>
      </c>
      <c r="C243" s="1901">
        <v>0</v>
      </c>
      <c r="D243" s="1717"/>
      <c r="E243" s="1683">
        <v>0</v>
      </c>
      <c r="F243" s="1213">
        <f>IF(E243=0,0,  E243*(IF(B243="FE",1,POWER((1+'2. TaxData'!$I$65),(C243-'1. AgeData'!$D$30)))))</f>
        <v>0</v>
      </c>
      <c r="G243" s="1798" t="s">
        <v>1423</v>
      </c>
      <c r="H243" s="1707">
        <v>0</v>
      </c>
      <c r="I243" s="1717"/>
      <c r="J243" s="1720">
        <v>0</v>
      </c>
      <c r="K243" s="1865">
        <f>IF(J243=0,0,  J243*IF(G243="FE",1,POWER((1+'2. TaxData'!$I$65),(H243-'1. AgeData'!$D$31))))</f>
        <v>0</v>
      </c>
      <c r="L243" s="316"/>
      <c r="M243" s="1455"/>
      <c r="N243" s="316"/>
    </row>
    <row r="244" spans="1:14" s="306" customFormat="1" ht="12" x14ac:dyDescent="0.2">
      <c r="A244" s="1487">
        <v>129</v>
      </c>
      <c r="B244" s="1798" t="s">
        <v>1423</v>
      </c>
      <c r="C244" s="1901">
        <v>0</v>
      </c>
      <c r="D244" s="1717"/>
      <c r="E244" s="1683">
        <v>0</v>
      </c>
      <c r="F244" s="1213">
        <f>IF(E244=0,0,  E244*(IF(B244="FE",1,POWER((1+'2. TaxData'!$I$65),(C244-'1. AgeData'!$D$30)))))</f>
        <v>0</v>
      </c>
      <c r="G244" s="1798" t="s">
        <v>1423</v>
      </c>
      <c r="H244" s="1707">
        <v>0</v>
      </c>
      <c r="I244" s="1717"/>
      <c r="J244" s="1720">
        <v>0</v>
      </c>
      <c r="K244" s="1865">
        <f>IF(J244=0,0,  J244*IF(G244="FE",1,POWER((1+'2. TaxData'!$I$65),(H244-'1. AgeData'!$D$31))))</f>
        <v>0</v>
      </c>
      <c r="L244" s="316"/>
      <c r="M244" s="1455"/>
      <c r="N244" s="316"/>
    </row>
    <row r="245" spans="1:14" s="306" customFormat="1" ht="12" x14ac:dyDescent="0.2">
      <c r="A245" s="1487">
        <v>130</v>
      </c>
      <c r="B245" s="1798" t="s">
        <v>1423</v>
      </c>
      <c r="C245" s="1901">
        <v>0</v>
      </c>
      <c r="D245" s="1717"/>
      <c r="E245" s="1683">
        <v>0</v>
      </c>
      <c r="F245" s="1213">
        <f>IF(E245=0,0,  E245*(IF(B245="FE",1,POWER((1+'2. TaxData'!$I$65),(C245-'1. AgeData'!$D$30)))))</f>
        <v>0</v>
      </c>
      <c r="G245" s="1798" t="s">
        <v>1423</v>
      </c>
      <c r="H245" s="1707">
        <v>0</v>
      </c>
      <c r="I245" s="1717"/>
      <c r="J245" s="1720">
        <v>0</v>
      </c>
      <c r="K245" s="1865">
        <f>IF(J245=0,0,  J245*IF(G245="FE",1,POWER((1+'2. TaxData'!$I$65),(H245-'1. AgeData'!$D$31))))</f>
        <v>0</v>
      </c>
      <c r="L245" s="316"/>
      <c r="M245" s="1455"/>
      <c r="N245" s="316"/>
    </row>
    <row r="246" spans="1:14" s="306" customFormat="1" ht="12" x14ac:dyDescent="0.2">
      <c r="A246" s="1487">
        <v>131</v>
      </c>
      <c r="B246" s="1798" t="s">
        <v>1423</v>
      </c>
      <c r="C246" s="1901">
        <v>0</v>
      </c>
      <c r="D246" s="1717"/>
      <c r="E246" s="1683">
        <v>0</v>
      </c>
      <c r="F246" s="1213">
        <f>IF(E246=0,0,  E246*(IF(B246="FE",1,POWER((1+'2. TaxData'!$I$65),(C246-'1. AgeData'!$D$30)))))</f>
        <v>0</v>
      </c>
      <c r="G246" s="1798" t="s">
        <v>1423</v>
      </c>
      <c r="H246" s="1707">
        <v>0</v>
      </c>
      <c r="I246" s="1717"/>
      <c r="J246" s="1720">
        <v>0</v>
      </c>
      <c r="K246" s="1865">
        <f>IF(J246=0,0,  J246*IF(G246="FE",1,POWER((1+'2. TaxData'!$I$65),(H246-'1. AgeData'!$D$31))))</f>
        <v>0</v>
      </c>
      <c r="L246" s="316"/>
      <c r="M246" s="1455"/>
      <c r="N246" s="316"/>
    </row>
    <row r="247" spans="1:14" s="306" customFormat="1" ht="12" x14ac:dyDescent="0.2">
      <c r="A247" s="1487">
        <v>132</v>
      </c>
      <c r="B247" s="1798" t="s">
        <v>1423</v>
      </c>
      <c r="C247" s="1901">
        <v>0</v>
      </c>
      <c r="D247" s="1717"/>
      <c r="E247" s="1683">
        <v>0</v>
      </c>
      <c r="F247" s="1213">
        <f>IF(E247=0,0,  E247*(IF(B247="FE",1,POWER((1+'2. TaxData'!$I$65),(C247-'1. AgeData'!$D$30)))))</f>
        <v>0</v>
      </c>
      <c r="G247" s="1798" t="s">
        <v>1423</v>
      </c>
      <c r="H247" s="1707">
        <v>0</v>
      </c>
      <c r="I247" s="1717"/>
      <c r="J247" s="1720">
        <v>0</v>
      </c>
      <c r="K247" s="1865">
        <f>IF(J247=0,0,  J247*IF(G247="FE",1,POWER((1+'2. TaxData'!$I$65),(H247-'1. AgeData'!$D$31))))</f>
        <v>0</v>
      </c>
      <c r="L247" s="316"/>
      <c r="M247" s="1455"/>
      <c r="N247" s="316"/>
    </row>
    <row r="248" spans="1:14" s="306" customFormat="1" ht="12" x14ac:dyDescent="0.2">
      <c r="A248" s="1487">
        <v>133</v>
      </c>
      <c r="B248" s="1798" t="s">
        <v>1423</v>
      </c>
      <c r="C248" s="1901">
        <v>0</v>
      </c>
      <c r="D248" s="1717"/>
      <c r="E248" s="1683">
        <v>0</v>
      </c>
      <c r="F248" s="1213">
        <f>IF(E248=0,0,  E248*(IF(B248="FE",1,POWER((1+'2. TaxData'!$I$65),(C248-'1. AgeData'!$D$30)))))</f>
        <v>0</v>
      </c>
      <c r="G248" s="1798" t="s">
        <v>1423</v>
      </c>
      <c r="H248" s="1707">
        <v>0</v>
      </c>
      <c r="I248" s="1717"/>
      <c r="J248" s="1720">
        <v>0</v>
      </c>
      <c r="K248" s="1865">
        <f>IF(J248=0,0,  J248*IF(G248="FE",1,POWER((1+'2. TaxData'!$I$65),(H248-'1. AgeData'!$D$31))))</f>
        <v>0</v>
      </c>
      <c r="L248" s="316"/>
      <c r="M248" s="1455"/>
      <c r="N248" s="316"/>
    </row>
    <row r="249" spans="1:14" s="306" customFormat="1" ht="12" x14ac:dyDescent="0.2">
      <c r="A249" s="1487">
        <v>134</v>
      </c>
      <c r="B249" s="1798" t="s">
        <v>1423</v>
      </c>
      <c r="C249" s="1901">
        <v>0</v>
      </c>
      <c r="D249" s="1717"/>
      <c r="E249" s="1683">
        <v>0</v>
      </c>
      <c r="F249" s="1213">
        <f>IF(E249=0,0,  E249*(IF(B249="FE",1,POWER((1+'2. TaxData'!$I$65),(C249-'1. AgeData'!$D$30)))))</f>
        <v>0</v>
      </c>
      <c r="G249" s="1798" t="s">
        <v>1423</v>
      </c>
      <c r="H249" s="1707">
        <v>0</v>
      </c>
      <c r="I249" s="1717"/>
      <c r="J249" s="1720">
        <v>0</v>
      </c>
      <c r="K249" s="1865">
        <f>IF(J249=0,0,  J249*IF(G249="FE",1,POWER((1+'2. TaxData'!$I$65),(H249-'1. AgeData'!$D$31))))</f>
        <v>0</v>
      </c>
      <c r="L249" s="316"/>
      <c r="M249" s="1455"/>
      <c r="N249" s="316"/>
    </row>
    <row r="250" spans="1:14" s="306" customFormat="1" ht="12" x14ac:dyDescent="0.2">
      <c r="A250" s="1487">
        <v>135</v>
      </c>
      <c r="B250" s="1798" t="s">
        <v>1423</v>
      </c>
      <c r="C250" s="1901">
        <v>0</v>
      </c>
      <c r="D250" s="1717"/>
      <c r="E250" s="1683">
        <v>0</v>
      </c>
      <c r="F250" s="1213">
        <f>IF(E250=0,0,  E250*(IF(B250="FE",1,POWER((1+'2. TaxData'!$I$65),(C250-'1. AgeData'!$D$30)))))</f>
        <v>0</v>
      </c>
      <c r="G250" s="1798" t="s">
        <v>1423</v>
      </c>
      <c r="H250" s="1707">
        <v>0</v>
      </c>
      <c r="I250" s="1717"/>
      <c r="J250" s="1720">
        <v>0</v>
      </c>
      <c r="K250" s="1865">
        <f>IF(J250=0,0,  J250*IF(G250="FE",1,POWER((1+'2. TaxData'!$I$65),(H250-'1. AgeData'!$D$31))))</f>
        <v>0</v>
      </c>
      <c r="L250" s="316"/>
      <c r="M250" s="1455"/>
      <c r="N250" s="316"/>
    </row>
    <row r="251" spans="1:14" s="306" customFormat="1" ht="12" x14ac:dyDescent="0.2">
      <c r="A251" s="1487">
        <v>136</v>
      </c>
      <c r="B251" s="1798" t="s">
        <v>1423</v>
      </c>
      <c r="C251" s="1901">
        <v>0</v>
      </c>
      <c r="D251" s="1717"/>
      <c r="E251" s="1683">
        <v>0</v>
      </c>
      <c r="F251" s="1213">
        <f>IF(E251=0,0,  E251*(IF(B251="FE",1,POWER((1+'2. TaxData'!$I$65),(C251-'1. AgeData'!$D$30)))))</f>
        <v>0</v>
      </c>
      <c r="G251" s="1798" t="s">
        <v>1423</v>
      </c>
      <c r="H251" s="1707">
        <v>0</v>
      </c>
      <c r="I251" s="1717"/>
      <c r="J251" s="1720">
        <v>0</v>
      </c>
      <c r="K251" s="1865">
        <f>IF(J251=0,0,  J251*IF(G251="FE",1,POWER((1+'2. TaxData'!$I$65),(H251-'1. AgeData'!$D$31))))</f>
        <v>0</v>
      </c>
      <c r="L251" s="316"/>
      <c r="M251" s="1455"/>
      <c r="N251" s="316"/>
    </row>
    <row r="252" spans="1:14" s="306" customFormat="1" ht="12" x14ac:dyDescent="0.2">
      <c r="A252" s="1487">
        <v>137</v>
      </c>
      <c r="B252" s="1798" t="s">
        <v>1423</v>
      </c>
      <c r="C252" s="1901">
        <v>0</v>
      </c>
      <c r="D252" s="1717"/>
      <c r="E252" s="1683">
        <v>0</v>
      </c>
      <c r="F252" s="1213">
        <f>IF(E252=0,0,  E252*(IF(B252="FE",1,POWER((1+'2. TaxData'!$I$65),(C252-'1. AgeData'!$D$30)))))</f>
        <v>0</v>
      </c>
      <c r="G252" s="1798" t="s">
        <v>1423</v>
      </c>
      <c r="H252" s="1707">
        <v>0</v>
      </c>
      <c r="I252" s="1717"/>
      <c r="J252" s="1720">
        <v>0</v>
      </c>
      <c r="K252" s="1865">
        <f>IF(J252=0,0,  J252*IF(G252="FE",1,POWER((1+'2. TaxData'!$I$65),(H252-'1. AgeData'!$D$31))))</f>
        <v>0</v>
      </c>
      <c r="L252" s="316"/>
      <c r="M252" s="1455"/>
      <c r="N252" s="316"/>
    </row>
    <row r="253" spans="1:14" s="306" customFormat="1" ht="12" x14ac:dyDescent="0.2">
      <c r="A253" s="1487">
        <v>138</v>
      </c>
      <c r="B253" s="1798" t="s">
        <v>1423</v>
      </c>
      <c r="C253" s="1901">
        <v>0</v>
      </c>
      <c r="D253" s="1717"/>
      <c r="E253" s="1683">
        <v>0</v>
      </c>
      <c r="F253" s="1213">
        <f>IF(E253=0,0,  E253*(IF(B253="FE",1,POWER((1+'2. TaxData'!$I$65),(C253-'1. AgeData'!$D$30)))))</f>
        <v>0</v>
      </c>
      <c r="G253" s="1798" t="s">
        <v>1423</v>
      </c>
      <c r="H253" s="1707">
        <v>0</v>
      </c>
      <c r="I253" s="1717"/>
      <c r="J253" s="1720">
        <v>0</v>
      </c>
      <c r="K253" s="1865">
        <f>IF(J253=0,0,  J253*IF(G253="FE",1,POWER((1+'2. TaxData'!$I$65),(H253-'1. AgeData'!$D$31))))</f>
        <v>0</v>
      </c>
      <c r="L253" s="316"/>
      <c r="M253" s="1455"/>
      <c r="N253" s="316"/>
    </row>
    <row r="254" spans="1:14" s="306" customFormat="1" ht="12" x14ac:dyDescent="0.2">
      <c r="A254" s="1487">
        <v>139</v>
      </c>
      <c r="B254" s="1798" t="s">
        <v>1423</v>
      </c>
      <c r="C254" s="1901">
        <v>0</v>
      </c>
      <c r="D254" s="1717"/>
      <c r="E254" s="1683">
        <v>0</v>
      </c>
      <c r="F254" s="1213">
        <f>IF(E254=0,0,  E254*(IF(B254="FE",1,POWER((1+'2. TaxData'!$I$65),(C254-'1. AgeData'!$D$30)))))</f>
        <v>0</v>
      </c>
      <c r="G254" s="1798" t="s">
        <v>1423</v>
      </c>
      <c r="H254" s="1707">
        <v>0</v>
      </c>
      <c r="I254" s="1717"/>
      <c r="J254" s="1720">
        <v>0</v>
      </c>
      <c r="K254" s="1865">
        <f>IF(J254=0,0,  J254*IF(G254="FE",1,POWER((1+'2. TaxData'!$I$65),(H254-'1. AgeData'!$D$31))))</f>
        <v>0</v>
      </c>
      <c r="L254" s="316"/>
      <c r="M254" s="1455"/>
      <c r="N254" s="316"/>
    </row>
    <row r="255" spans="1:14" s="306" customFormat="1" ht="12" x14ac:dyDescent="0.2">
      <c r="A255" s="1487">
        <v>140</v>
      </c>
      <c r="B255" s="1798" t="s">
        <v>1423</v>
      </c>
      <c r="C255" s="1901">
        <v>0</v>
      </c>
      <c r="D255" s="1717"/>
      <c r="E255" s="1683">
        <v>0</v>
      </c>
      <c r="F255" s="1213">
        <f>IF(E255=0,0,  E255*(IF(B255="FE",1,POWER((1+'2. TaxData'!$I$65),(C255-'1. AgeData'!$D$30)))))</f>
        <v>0</v>
      </c>
      <c r="G255" s="1798" t="s">
        <v>1423</v>
      </c>
      <c r="H255" s="1707">
        <v>0</v>
      </c>
      <c r="I255" s="1717"/>
      <c r="J255" s="1720">
        <v>0</v>
      </c>
      <c r="K255" s="1865">
        <f>IF(J255=0,0,  J255*IF(G255="FE",1,POWER((1+'2. TaxData'!$I$65),(H255-'1. AgeData'!$D$31))))</f>
        <v>0</v>
      </c>
      <c r="L255" s="316"/>
      <c r="M255" s="1455"/>
      <c r="N255" s="316"/>
    </row>
    <row r="256" spans="1:14" s="306" customFormat="1" ht="12" x14ac:dyDescent="0.2">
      <c r="A256" s="1487">
        <v>141</v>
      </c>
      <c r="B256" s="1798" t="s">
        <v>1423</v>
      </c>
      <c r="C256" s="1901">
        <v>0</v>
      </c>
      <c r="D256" s="1717"/>
      <c r="E256" s="1683">
        <v>0</v>
      </c>
      <c r="F256" s="1213">
        <f>IF(E256=0,0,  E256*(IF(B256="FE",1,POWER((1+'2. TaxData'!$I$65),(C256-'1. AgeData'!$D$30)))))</f>
        <v>0</v>
      </c>
      <c r="G256" s="1798" t="s">
        <v>1423</v>
      </c>
      <c r="H256" s="1707">
        <v>0</v>
      </c>
      <c r="I256" s="1717"/>
      <c r="J256" s="1720">
        <v>0</v>
      </c>
      <c r="K256" s="1865">
        <f>IF(J256=0,0,  J256*IF(G256="FE",1,POWER((1+'2. TaxData'!$I$65),(H256-'1. AgeData'!$D$31))))</f>
        <v>0</v>
      </c>
      <c r="L256" s="316"/>
      <c r="M256" s="1455"/>
      <c r="N256" s="316"/>
    </row>
    <row r="257" spans="1:14" s="306" customFormat="1" ht="12" x14ac:dyDescent="0.2">
      <c r="A257" s="1487">
        <v>142</v>
      </c>
      <c r="B257" s="1798" t="s">
        <v>1423</v>
      </c>
      <c r="C257" s="1901">
        <v>0</v>
      </c>
      <c r="D257" s="1717"/>
      <c r="E257" s="1683">
        <v>0</v>
      </c>
      <c r="F257" s="1213">
        <f>IF(E257=0,0,  E257*(IF(B257="FE",1,POWER((1+'2. TaxData'!$I$65),(C257-'1. AgeData'!$D$30)))))</f>
        <v>0</v>
      </c>
      <c r="G257" s="1798" t="s">
        <v>1423</v>
      </c>
      <c r="H257" s="1707">
        <v>0</v>
      </c>
      <c r="I257" s="1717"/>
      <c r="J257" s="1720">
        <v>0</v>
      </c>
      <c r="K257" s="1865">
        <f>IF(J257=0,0,  J257*IF(G257="FE",1,POWER((1+'2. TaxData'!$I$65),(H257-'1. AgeData'!$D$31))))</f>
        <v>0</v>
      </c>
      <c r="L257" s="316"/>
      <c r="M257" s="1455"/>
      <c r="N257" s="316"/>
    </row>
    <row r="258" spans="1:14" s="306" customFormat="1" ht="12" x14ac:dyDescent="0.2">
      <c r="A258" s="1487">
        <v>143</v>
      </c>
      <c r="B258" s="1798" t="s">
        <v>1423</v>
      </c>
      <c r="C258" s="1901">
        <v>0</v>
      </c>
      <c r="D258" s="1717"/>
      <c r="E258" s="1683">
        <v>0</v>
      </c>
      <c r="F258" s="1213">
        <f>IF(E258=0,0,  E258*(IF(B258="FE",1,POWER((1+'2. TaxData'!$I$65),(C258-'1. AgeData'!$D$30)))))</f>
        <v>0</v>
      </c>
      <c r="G258" s="1798" t="s">
        <v>1423</v>
      </c>
      <c r="H258" s="1707">
        <v>0</v>
      </c>
      <c r="I258" s="1717"/>
      <c r="J258" s="1720">
        <v>0</v>
      </c>
      <c r="K258" s="1865">
        <f>IF(J258=0,0,  J258*IF(G258="FE",1,POWER((1+'2. TaxData'!$I$65),(H258-'1. AgeData'!$D$31))))</f>
        <v>0</v>
      </c>
      <c r="L258" s="316"/>
      <c r="M258" s="1455"/>
      <c r="N258" s="316"/>
    </row>
    <row r="259" spans="1:14" s="306" customFormat="1" ht="12" x14ac:dyDescent="0.2">
      <c r="A259" s="1487">
        <v>144</v>
      </c>
      <c r="B259" s="1798" t="s">
        <v>1423</v>
      </c>
      <c r="C259" s="1901">
        <v>0</v>
      </c>
      <c r="D259" s="1717"/>
      <c r="E259" s="1683">
        <v>0</v>
      </c>
      <c r="F259" s="1213">
        <f>IF(E259=0,0,  E259*(IF(B259="FE",1,POWER((1+'2. TaxData'!$I$65),(C259-'1. AgeData'!$D$30)))))</f>
        <v>0</v>
      </c>
      <c r="G259" s="1798" t="s">
        <v>1423</v>
      </c>
      <c r="H259" s="1707">
        <v>0</v>
      </c>
      <c r="I259" s="1717"/>
      <c r="J259" s="1720">
        <v>0</v>
      </c>
      <c r="K259" s="1865">
        <f>IF(J259=0,0,  J259*IF(G259="FE",1,POWER((1+'2. TaxData'!$I$65),(H259-'1. AgeData'!$D$31))))</f>
        <v>0</v>
      </c>
      <c r="L259" s="316"/>
      <c r="M259" s="1455"/>
      <c r="N259" s="316"/>
    </row>
    <row r="260" spans="1:14" s="306" customFormat="1" ht="12" x14ac:dyDescent="0.2">
      <c r="A260" s="1487">
        <v>145</v>
      </c>
      <c r="B260" s="1798" t="s">
        <v>1423</v>
      </c>
      <c r="C260" s="1901">
        <v>0</v>
      </c>
      <c r="D260" s="1717"/>
      <c r="E260" s="1683">
        <v>0</v>
      </c>
      <c r="F260" s="1213">
        <f>IF(E260=0,0,  E260*(IF(B260="FE",1,POWER((1+'2. TaxData'!$I$65),(C260-'1. AgeData'!$D$30)))))</f>
        <v>0</v>
      </c>
      <c r="G260" s="1798" t="s">
        <v>1423</v>
      </c>
      <c r="H260" s="1707">
        <v>0</v>
      </c>
      <c r="I260" s="1717"/>
      <c r="J260" s="1720">
        <v>0</v>
      </c>
      <c r="K260" s="1865">
        <f>IF(J260=0,0,  J260*IF(G260="FE",1,POWER((1+'2. TaxData'!$I$65),(H260-'1. AgeData'!$D$31))))</f>
        <v>0</v>
      </c>
      <c r="L260" s="316"/>
      <c r="M260" s="1455"/>
      <c r="N260" s="316"/>
    </row>
    <row r="261" spans="1:14" s="306" customFormat="1" ht="12" x14ac:dyDescent="0.2">
      <c r="A261" s="1487">
        <v>146</v>
      </c>
      <c r="B261" s="1798" t="s">
        <v>1423</v>
      </c>
      <c r="C261" s="1901">
        <v>0</v>
      </c>
      <c r="D261" s="1717"/>
      <c r="E261" s="1683">
        <v>0</v>
      </c>
      <c r="F261" s="1213">
        <f>IF(E261=0,0,  E261*(IF(B261="FE",1,POWER((1+'2. TaxData'!$I$65),(C261-'1. AgeData'!$D$30)))))</f>
        <v>0</v>
      </c>
      <c r="G261" s="1798" t="s">
        <v>1423</v>
      </c>
      <c r="H261" s="1707">
        <v>0</v>
      </c>
      <c r="I261" s="1717"/>
      <c r="J261" s="1720">
        <v>0</v>
      </c>
      <c r="K261" s="1865">
        <f>IF(J261=0,0,  J261*IF(G261="FE",1,POWER((1+'2. TaxData'!$I$65),(H261-'1. AgeData'!$D$31))))</f>
        <v>0</v>
      </c>
      <c r="L261" s="316"/>
      <c r="M261" s="1455"/>
      <c r="N261" s="316"/>
    </row>
    <row r="262" spans="1:14" s="306" customFormat="1" ht="12" x14ac:dyDescent="0.2">
      <c r="A262" s="1487">
        <v>147</v>
      </c>
      <c r="B262" s="1798" t="s">
        <v>1423</v>
      </c>
      <c r="C262" s="1901">
        <v>0</v>
      </c>
      <c r="D262" s="1717"/>
      <c r="E262" s="1683">
        <v>0</v>
      </c>
      <c r="F262" s="1213">
        <f>IF(E262=0,0,  E262*(IF(B262="FE",1,POWER((1+'2. TaxData'!$I$65),(C262-'1. AgeData'!$D$30)))))</f>
        <v>0</v>
      </c>
      <c r="G262" s="1798" t="s">
        <v>1423</v>
      </c>
      <c r="H262" s="1707">
        <v>0</v>
      </c>
      <c r="I262" s="1717"/>
      <c r="J262" s="1720">
        <v>0</v>
      </c>
      <c r="K262" s="1865">
        <f>IF(J262=0,0,  J262*IF(G262="FE",1,POWER((1+'2. TaxData'!$I$65),(H262-'1. AgeData'!$D$31))))</f>
        <v>0</v>
      </c>
      <c r="L262" s="316"/>
      <c r="M262" s="1455"/>
      <c r="N262" s="316"/>
    </row>
    <row r="263" spans="1:14" s="306" customFormat="1" ht="12" x14ac:dyDescent="0.2">
      <c r="A263" s="1487">
        <v>148</v>
      </c>
      <c r="B263" s="1798" t="s">
        <v>1423</v>
      </c>
      <c r="C263" s="1901">
        <v>0</v>
      </c>
      <c r="D263" s="1717"/>
      <c r="E263" s="1683">
        <v>0</v>
      </c>
      <c r="F263" s="1213">
        <f>IF(E263=0,0,  E263*(IF(B263="FE",1,POWER((1+'2. TaxData'!$I$65),(C263-'1. AgeData'!$D$30)))))</f>
        <v>0</v>
      </c>
      <c r="G263" s="1798" t="s">
        <v>1423</v>
      </c>
      <c r="H263" s="1707">
        <v>0</v>
      </c>
      <c r="I263" s="1717"/>
      <c r="J263" s="1720">
        <v>0</v>
      </c>
      <c r="K263" s="1865">
        <f>IF(J263=0,0,  J263*IF(G263="FE",1,POWER((1+'2. TaxData'!$I$65),(H263-'1. AgeData'!$D$31))))</f>
        <v>0</v>
      </c>
      <c r="L263" s="316"/>
      <c r="M263" s="1455"/>
      <c r="N263" s="316"/>
    </row>
    <row r="264" spans="1:14" s="306" customFormat="1" ht="12" x14ac:dyDescent="0.2">
      <c r="A264" s="1487">
        <v>149</v>
      </c>
      <c r="B264" s="1798" t="s">
        <v>1423</v>
      </c>
      <c r="C264" s="1901">
        <v>0</v>
      </c>
      <c r="D264" s="1717"/>
      <c r="E264" s="1683">
        <v>0</v>
      </c>
      <c r="F264" s="1213">
        <f>IF(E264=0,0,  E264*(IF(B264="FE",1,POWER((1+'2. TaxData'!$I$65),(C264-'1. AgeData'!$D$30)))))</f>
        <v>0</v>
      </c>
      <c r="G264" s="1798" t="s">
        <v>1423</v>
      </c>
      <c r="H264" s="1707">
        <v>0</v>
      </c>
      <c r="I264" s="1717"/>
      <c r="J264" s="1720">
        <v>0</v>
      </c>
      <c r="K264" s="1865">
        <f>IF(J264=0,0,  J264*IF(G264="FE",1,POWER((1+'2. TaxData'!$I$65),(H264-'1. AgeData'!$D$31))))</f>
        <v>0</v>
      </c>
      <c r="L264" s="316"/>
      <c r="M264" s="1455"/>
      <c r="N264" s="316"/>
    </row>
    <row r="265" spans="1:14" s="306" customFormat="1" ht="12" x14ac:dyDescent="0.2">
      <c r="A265" s="1487">
        <v>150</v>
      </c>
      <c r="B265" s="1798" t="s">
        <v>1423</v>
      </c>
      <c r="C265" s="1901">
        <v>0</v>
      </c>
      <c r="D265" s="1717"/>
      <c r="E265" s="1683">
        <v>0</v>
      </c>
      <c r="F265" s="1213">
        <f>IF(E265=0,0,  E265*(IF(B265="FE",1,POWER((1+'2. TaxData'!$I$65),(C265-'1. AgeData'!$D$30)))))</f>
        <v>0</v>
      </c>
      <c r="G265" s="1798" t="s">
        <v>1423</v>
      </c>
      <c r="H265" s="1707">
        <v>0</v>
      </c>
      <c r="I265" s="1717"/>
      <c r="J265" s="1720">
        <v>0</v>
      </c>
      <c r="K265" s="1865">
        <f>IF(J265=0,0,  J265*IF(G265="FE",1,POWER((1+'2. TaxData'!$I$65),(H265-'1. AgeData'!$D$31))))</f>
        <v>0</v>
      </c>
      <c r="L265" s="316"/>
      <c r="M265" s="1455"/>
      <c r="N265" s="316"/>
    </row>
    <row r="266" spans="1:14" s="306" customFormat="1" ht="12" x14ac:dyDescent="0.2">
      <c r="A266" s="1487">
        <v>151</v>
      </c>
      <c r="B266" s="1798" t="s">
        <v>1423</v>
      </c>
      <c r="C266" s="1901">
        <v>0</v>
      </c>
      <c r="D266" s="1717"/>
      <c r="E266" s="1683">
        <v>0</v>
      </c>
      <c r="F266" s="1213">
        <f>IF(E266=0,0,  E266*(IF(B266="FE",1,POWER((1+'2. TaxData'!$I$65),(C266-'1. AgeData'!$D$30)))))</f>
        <v>0</v>
      </c>
      <c r="G266" s="1798" t="s">
        <v>1423</v>
      </c>
      <c r="H266" s="1707">
        <v>0</v>
      </c>
      <c r="I266" s="1717"/>
      <c r="J266" s="1720">
        <v>0</v>
      </c>
      <c r="K266" s="1865">
        <f>IF(J266=0,0,  J266*IF(G266="FE",1,POWER((1+'2. TaxData'!$I$65),(H266-'1. AgeData'!$D$31))))</f>
        <v>0</v>
      </c>
      <c r="L266" s="316"/>
      <c r="M266" s="1455"/>
      <c r="N266" s="316"/>
    </row>
    <row r="267" spans="1:14" s="306" customFormat="1" ht="12" x14ac:dyDescent="0.2">
      <c r="A267" s="1487">
        <v>152</v>
      </c>
      <c r="B267" s="1798" t="s">
        <v>1423</v>
      </c>
      <c r="C267" s="1901">
        <v>0</v>
      </c>
      <c r="D267" s="1717"/>
      <c r="E267" s="1683">
        <v>0</v>
      </c>
      <c r="F267" s="1213">
        <f>IF(E267=0,0,  E267*(IF(B267="FE",1,POWER((1+'2. TaxData'!$I$65),(C267-'1. AgeData'!$D$30)))))</f>
        <v>0</v>
      </c>
      <c r="G267" s="1798" t="s">
        <v>1423</v>
      </c>
      <c r="H267" s="1707">
        <v>0</v>
      </c>
      <c r="I267" s="1717"/>
      <c r="J267" s="1720">
        <v>0</v>
      </c>
      <c r="K267" s="1865">
        <f>IF(J267=0,0,  J267*IF(G267="FE",1,POWER((1+'2. TaxData'!$I$65),(H267-'1. AgeData'!$D$31))))</f>
        <v>0</v>
      </c>
      <c r="L267" s="316"/>
      <c r="M267" s="1455"/>
      <c r="N267" s="316"/>
    </row>
    <row r="268" spans="1:14" s="306" customFormat="1" ht="12" x14ac:dyDescent="0.2">
      <c r="A268" s="1487">
        <v>153</v>
      </c>
      <c r="B268" s="1798" t="s">
        <v>1423</v>
      </c>
      <c r="C268" s="1901">
        <v>0</v>
      </c>
      <c r="D268" s="1717"/>
      <c r="E268" s="1683">
        <v>0</v>
      </c>
      <c r="F268" s="1213">
        <f>IF(E268=0,0,  E268*(IF(B268="FE",1,POWER((1+'2. TaxData'!$I$65),(C268-'1. AgeData'!$D$30)))))</f>
        <v>0</v>
      </c>
      <c r="G268" s="1798" t="s">
        <v>1423</v>
      </c>
      <c r="H268" s="1707">
        <v>0</v>
      </c>
      <c r="I268" s="1717"/>
      <c r="J268" s="1720">
        <v>0</v>
      </c>
      <c r="K268" s="1865">
        <f>IF(J268=0,0,  J268*IF(G268="FE",1,POWER((1+'2. TaxData'!$I$65),(H268-'1. AgeData'!$D$31))))</f>
        <v>0</v>
      </c>
      <c r="L268" s="316"/>
      <c r="M268" s="1455"/>
      <c r="N268" s="316"/>
    </row>
    <row r="269" spans="1:14" s="306" customFormat="1" ht="12" x14ac:dyDescent="0.2">
      <c r="A269" s="1487">
        <v>154</v>
      </c>
      <c r="B269" s="1798" t="s">
        <v>1423</v>
      </c>
      <c r="C269" s="1901">
        <v>0</v>
      </c>
      <c r="D269" s="1717"/>
      <c r="E269" s="1683">
        <v>0</v>
      </c>
      <c r="F269" s="1213">
        <f>IF(E269=0,0,  E269*(IF(B269="FE",1,POWER((1+'2. TaxData'!$I$65),(C269-'1. AgeData'!$D$30)))))</f>
        <v>0</v>
      </c>
      <c r="G269" s="1798" t="s">
        <v>1423</v>
      </c>
      <c r="H269" s="1707">
        <v>0</v>
      </c>
      <c r="I269" s="1717"/>
      <c r="J269" s="1720">
        <v>0</v>
      </c>
      <c r="K269" s="1865">
        <f>IF(J269=0,0,  J269*IF(G269="FE",1,POWER((1+'2. TaxData'!$I$65),(H269-'1. AgeData'!$D$31))))</f>
        <v>0</v>
      </c>
      <c r="L269" s="316"/>
      <c r="M269" s="1455"/>
      <c r="N269" s="316"/>
    </row>
    <row r="270" spans="1:14" s="306" customFormat="1" ht="12" x14ac:dyDescent="0.2">
      <c r="A270" s="1487">
        <v>155</v>
      </c>
      <c r="B270" s="1798" t="s">
        <v>1423</v>
      </c>
      <c r="C270" s="1901">
        <v>0</v>
      </c>
      <c r="D270" s="1717"/>
      <c r="E270" s="1683">
        <v>0</v>
      </c>
      <c r="F270" s="1213">
        <f>IF(E270=0,0,  E270*(IF(B270="FE",1,POWER((1+'2. TaxData'!$I$65),(C270-'1. AgeData'!$D$30)))))</f>
        <v>0</v>
      </c>
      <c r="G270" s="1798" t="s">
        <v>1423</v>
      </c>
      <c r="H270" s="1707">
        <v>0</v>
      </c>
      <c r="I270" s="1717"/>
      <c r="J270" s="1720">
        <v>0</v>
      </c>
      <c r="K270" s="1865">
        <f>IF(J270=0,0,  J270*IF(G270="FE",1,POWER((1+'2. TaxData'!$I$65),(H270-'1. AgeData'!$D$31))))</f>
        <v>0</v>
      </c>
      <c r="L270" s="316"/>
      <c r="M270" s="1455"/>
      <c r="N270" s="316"/>
    </row>
    <row r="271" spans="1:14" s="306" customFormat="1" ht="12" x14ac:dyDescent="0.2">
      <c r="A271" s="1487">
        <v>156</v>
      </c>
      <c r="B271" s="1798" t="s">
        <v>1423</v>
      </c>
      <c r="C271" s="1901">
        <v>0</v>
      </c>
      <c r="D271" s="1717"/>
      <c r="E271" s="1683">
        <v>0</v>
      </c>
      <c r="F271" s="1213">
        <f>IF(E271=0,0,  E271*(IF(B271="FE",1,POWER((1+'2. TaxData'!$I$65),(C271-'1. AgeData'!$D$30)))))</f>
        <v>0</v>
      </c>
      <c r="G271" s="1798" t="s">
        <v>1423</v>
      </c>
      <c r="H271" s="1707">
        <v>0</v>
      </c>
      <c r="I271" s="1717"/>
      <c r="J271" s="1720">
        <v>0</v>
      </c>
      <c r="K271" s="1865">
        <f>IF(J271=0,0,  J271*IF(G271="FE",1,POWER((1+'2. TaxData'!$I$65),(H271-'1. AgeData'!$D$31))))</f>
        <v>0</v>
      </c>
      <c r="L271" s="316"/>
      <c r="M271" s="1455"/>
      <c r="N271" s="316"/>
    </row>
    <row r="272" spans="1:14" s="306" customFormat="1" ht="12" x14ac:dyDescent="0.2">
      <c r="A272" s="1487">
        <v>157</v>
      </c>
      <c r="B272" s="1798" t="s">
        <v>1423</v>
      </c>
      <c r="C272" s="1901">
        <v>0</v>
      </c>
      <c r="D272" s="1717"/>
      <c r="E272" s="1683">
        <v>0</v>
      </c>
      <c r="F272" s="1213">
        <f>IF(E272=0,0,  E272*(IF(B272="FE",1,POWER((1+'2. TaxData'!$I$65),(C272-'1. AgeData'!$D$30)))))</f>
        <v>0</v>
      </c>
      <c r="G272" s="1798" t="s">
        <v>1423</v>
      </c>
      <c r="H272" s="1707">
        <v>0</v>
      </c>
      <c r="I272" s="1717"/>
      <c r="J272" s="1720">
        <v>0</v>
      </c>
      <c r="K272" s="1865">
        <f>IF(J272=0,0,  J272*IF(G272="FE",1,POWER((1+'2. TaxData'!$I$65),(H272-'1. AgeData'!$D$31))))</f>
        <v>0</v>
      </c>
      <c r="L272" s="316"/>
      <c r="M272" s="1455"/>
      <c r="N272" s="316"/>
    </row>
    <row r="273" spans="1:14" s="306" customFormat="1" ht="12" x14ac:dyDescent="0.2">
      <c r="A273" s="1487">
        <v>158</v>
      </c>
      <c r="B273" s="1798" t="s">
        <v>1423</v>
      </c>
      <c r="C273" s="1901">
        <v>0</v>
      </c>
      <c r="D273" s="1717"/>
      <c r="E273" s="1683">
        <v>0</v>
      </c>
      <c r="F273" s="1213">
        <f>IF(E273=0,0,  E273*(IF(B273="FE",1,POWER((1+'2. TaxData'!$I$65),(C273-'1. AgeData'!$D$30)))))</f>
        <v>0</v>
      </c>
      <c r="G273" s="1798" t="s">
        <v>1423</v>
      </c>
      <c r="H273" s="1707">
        <v>0</v>
      </c>
      <c r="I273" s="1717"/>
      <c r="J273" s="1720">
        <v>0</v>
      </c>
      <c r="K273" s="1865">
        <f>IF(J273=0,0,  J273*IF(G273="FE",1,POWER((1+'2. TaxData'!$I$65),(H273-'1. AgeData'!$D$31))))</f>
        <v>0</v>
      </c>
      <c r="L273" s="316"/>
      <c r="M273" s="1455"/>
      <c r="N273" s="316"/>
    </row>
    <row r="274" spans="1:14" s="306" customFormat="1" ht="12.75" thickBot="1" x14ac:dyDescent="0.25">
      <c r="A274" s="1852">
        <v>159</v>
      </c>
      <c r="B274" s="1800" t="s">
        <v>1423</v>
      </c>
      <c r="C274" s="1900">
        <v>0</v>
      </c>
      <c r="D274" s="1802"/>
      <c r="E274" s="1803">
        <v>0</v>
      </c>
      <c r="F274" s="1867">
        <f>IF(E274=0,0,  E274*(IF(B274="FE",1,POWER((1+'2. TaxData'!$I$65),(C274-'1. AgeData'!$D$30)))))</f>
        <v>0</v>
      </c>
      <c r="G274" s="1800" t="s">
        <v>1423</v>
      </c>
      <c r="H274" s="1876">
        <v>0</v>
      </c>
      <c r="I274" s="1802"/>
      <c r="J274" s="1868">
        <v>0</v>
      </c>
      <c r="K274" s="1869">
        <f>IF(J274=0,0,  J274*IF(G274="FE",1,POWER((1+'2. TaxData'!$I$65),(H274-'1. AgeData'!$D$31))))</f>
        <v>0</v>
      </c>
      <c r="L274" s="1853"/>
      <c r="M274" s="1870"/>
      <c r="N274" s="1487"/>
    </row>
    <row r="275" spans="1:14" s="306" customFormat="1" ht="12.75" thickTop="1" x14ac:dyDescent="0.2">
      <c r="A275" s="316"/>
      <c r="B275" s="1906"/>
      <c r="C275" s="1901"/>
      <c r="D275" s="1717"/>
      <c r="E275" s="1683"/>
      <c r="F275" s="390"/>
      <c r="G275" s="1906"/>
      <c r="H275" s="1707"/>
      <c r="I275" s="1717"/>
      <c r="J275" s="1720"/>
      <c r="K275" s="390"/>
      <c r="L275" s="316"/>
      <c r="M275" s="316"/>
      <c r="N275" s="316"/>
    </row>
    <row r="276" spans="1:14" s="306" customFormat="1" ht="12.75" thickBot="1" x14ac:dyDescent="0.25">
      <c r="A276" s="316"/>
      <c r="B276" s="1906"/>
      <c r="C276" s="1901"/>
      <c r="D276" s="1717"/>
      <c r="E276" s="1683"/>
      <c r="F276" s="390"/>
      <c r="G276" s="1906"/>
      <c r="H276" s="1707"/>
      <c r="I276" s="1717"/>
      <c r="J276" s="1720"/>
      <c r="K276" s="390"/>
      <c r="L276" s="316"/>
      <c r="M276" s="316"/>
      <c r="N276" s="316"/>
    </row>
    <row r="277" spans="1:14" s="306" customFormat="1" ht="19.5" thickTop="1" x14ac:dyDescent="0.3">
      <c r="A277" s="265" t="s">
        <v>1525</v>
      </c>
      <c r="B277" s="756"/>
      <c r="C277" s="756"/>
      <c r="D277" s="756"/>
      <c r="E277" s="756"/>
      <c r="F277" s="756"/>
      <c r="G277" s="756"/>
      <c r="H277" s="756"/>
      <c r="I277" s="756"/>
      <c r="J277" s="756"/>
      <c r="K277" s="756"/>
      <c r="L277" s="756"/>
      <c r="M277" s="1937"/>
      <c r="N277" s="316"/>
    </row>
    <row r="278" spans="1:14" s="306" customFormat="1" x14ac:dyDescent="0.25">
      <c r="A278" s="38" t="s">
        <v>1484</v>
      </c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1311"/>
      <c r="N278" s="316"/>
    </row>
    <row r="279" spans="1:14" s="306" customFormat="1" x14ac:dyDescent="0.25">
      <c r="A279" s="38" t="s">
        <v>1485</v>
      </c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1311"/>
      <c r="N279" s="316"/>
    </row>
    <row r="280" spans="1:14" s="306" customFormat="1" x14ac:dyDescent="0.25">
      <c r="A280" s="38" t="s">
        <v>553</v>
      </c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1311"/>
      <c r="N280" s="316"/>
    </row>
    <row r="281" spans="1:14" s="306" customFormat="1" x14ac:dyDescent="0.25">
      <c r="A281" s="38" t="s">
        <v>1486</v>
      </c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1311"/>
      <c r="N281" s="316"/>
    </row>
    <row r="282" spans="1:14" s="306" customFormat="1" ht="15.75" x14ac:dyDescent="0.25">
      <c r="A282" s="1267" t="s">
        <v>1487</v>
      </c>
      <c r="B282" s="294"/>
      <c r="C282" s="294"/>
      <c r="D282" s="294"/>
      <c r="E282" s="294"/>
      <c r="F282" s="295"/>
      <c r="G282" s="66"/>
      <c r="H282" s="6"/>
      <c r="I282" s="6"/>
      <c r="J282" s="6"/>
      <c r="K282" s="6"/>
      <c r="L282" s="6"/>
      <c r="M282" s="1311"/>
      <c r="N282" s="316"/>
    </row>
    <row r="283" spans="1:14" s="306" customFormat="1" ht="18.75" x14ac:dyDescent="0.3">
      <c r="A283" s="1438"/>
      <c r="B283" s="693"/>
      <c r="C283" s="693"/>
      <c r="D283" s="693"/>
      <c r="E283" s="693"/>
      <c r="F283" s="693"/>
      <c r="G283" s="693"/>
      <c r="H283" s="693"/>
      <c r="I283" s="6"/>
      <c r="J283" s="6"/>
      <c r="K283" s="6"/>
      <c r="L283" s="6"/>
      <c r="M283" s="1311"/>
      <c r="N283" s="316"/>
    </row>
    <row r="284" spans="1:14" s="306" customFormat="1" ht="15.75" x14ac:dyDescent="0.25">
      <c r="A284" s="1416" t="s">
        <v>1480</v>
      </c>
      <c r="B284" s="693"/>
      <c r="C284" s="693"/>
      <c r="D284" s="693"/>
      <c r="E284" s="693"/>
      <c r="F284" s="693"/>
      <c r="G284" s="693"/>
      <c r="H284" s="693"/>
      <c r="I284" s="6"/>
      <c r="J284" s="6"/>
      <c r="K284" s="6"/>
      <c r="L284" s="6"/>
      <c r="M284" s="1311"/>
      <c r="N284" s="316"/>
    </row>
    <row r="285" spans="1:14" s="306" customFormat="1" ht="15.75" x14ac:dyDescent="0.25">
      <c r="A285" s="1416" t="s">
        <v>1228</v>
      </c>
      <c r="B285" s="693"/>
      <c r="C285" s="693"/>
      <c r="D285" s="693"/>
      <c r="E285" s="693"/>
      <c r="F285" s="693"/>
      <c r="G285" s="693"/>
      <c r="H285" s="693"/>
      <c r="I285" s="6"/>
      <c r="J285" s="6"/>
      <c r="K285" s="6"/>
      <c r="L285" s="6"/>
      <c r="M285" s="1311"/>
      <c r="N285" s="316"/>
    </row>
    <row r="286" spans="1:14" s="306" customFormat="1" ht="15.75" x14ac:dyDescent="0.25">
      <c r="A286" s="1416" t="s">
        <v>1488</v>
      </c>
      <c r="B286" s="693"/>
      <c r="C286" s="693"/>
      <c r="D286" s="693"/>
      <c r="E286" s="693"/>
      <c r="F286" s="693"/>
      <c r="G286" s="693"/>
      <c r="H286" s="693"/>
      <c r="I286" s="6"/>
      <c r="J286" s="6"/>
      <c r="K286" s="6"/>
      <c r="L286" s="6"/>
      <c r="M286" s="1311"/>
      <c r="N286" s="316"/>
    </row>
    <row r="287" spans="1:14" s="306" customFormat="1" ht="15.75" x14ac:dyDescent="0.25">
      <c r="A287" s="1416" t="s">
        <v>1489</v>
      </c>
      <c r="B287" s="693"/>
      <c r="C287" s="693"/>
      <c r="D287" s="693"/>
      <c r="E287" s="693"/>
      <c r="F287" s="693"/>
      <c r="G287" s="693"/>
      <c r="H287" s="693"/>
      <c r="I287" s="6"/>
      <c r="J287" s="6"/>
      <c r="K287" s="6"/>
      <c r="L287" s="6"/>
      <c r="M287" s="1311"/>
      <c r="N287" s="316"/>
    </row>
    <row r="288" spans="1:14" s="306" customFormat="1" ht="15.75" x14ac:dyDescent="0.25">
      <c r="A288" s="1416" t="s">
        <v>1481</v>
      </c>
      <c r="B288" s="693"/>
      <c r="C288" s="693"/>
      <c r="D288" s="693"/>
      <c r="E288" s="693"/>
      <c r="F288" s="693"/>
      <c r="G288" s="693"/>
      <c r="H288" s="693"/>
      <c r="I288" s="6"/>
      <c r="J288" s="6"/>
      <c r="K288" s="6"/>
      <c r="L288" s="6"/>
      <c r="M288" s="1311"/>
      <c r="N288" s="316"/>
    </row>
    <row r="289" spans="1:14" s="306" customFormat="1" ht="15.75" x14ac:dyDescent="0.25">
      <c r="A289" s="1416" t="s">
        <v>1490</v>
      </c>
      <c r="B289" s="693"/>
      <c r="C289" s="693"/>
      <c r="D289" s="693"/>
      <c r="E289" s="693"/>
      <c r="F289" s="693"/>
      <c r="G289" s="693"/>
      <c r="H289" s="693"/>
      <c r="I289" s="6"/>
      <c r="J289" s="6"/>
      <c r="K289" s="6"/>
      <c r="L289" s="6"/>
      <c r="M289" s="1311"/>
      <c r="N289" s="316"/>
    </row>
    <row r="290" spans="1:14" s="306" customFormat="1" ht="15.75" x14ac:dyDescent="0.25">
      <c r="A290" s="1267" t="s">
        <v>1507</v>
      </c>
      <c r="B290" s="693"/>
      <c r="C290" s="693"/>
      <c r="D290" s="693"/>
      <c r="E290" s="693"/>
      <c r="F290" s="693"/>
      <c r="G290" s="693"/>
      <c r="H290" s="693"/>
      <c r="I290" s="6"/>
      <c r="J290" s="6"/>
      <c r="K290" s="6"/>
      <c r="L290" s="6"/>
      <c r="M290" s="1311"/>
      <c r="N290" s="316"/>
    </row>
    <row r="291" spans="1:14" s="306" customFormat="1" ht="16.5" thickBot="1" x14ac:dyDescent="0.3">
      <c r="A291" s="214"/>
      <c r="B291" s="1499"/>
      <c r="C291" s="1499"/>
      <c r="D291" s="1499"/>
      <c r="E291" s="1499"/>
      <c r="F291" s="1499"/>
      <c r="G291" s="1499"/>
      <c r="H291" s="1499"/>
      <c r="I291" s="1314"/>
      <c r="J291" s="1314"/>
      <c r="K291" s="1314"/>
      <c r="L291" s="1314"/>
      <c r="M291" s="1315"/>
      <c r="N291" s="316"/>
    </row>
    <row r="292" spans="1:14" s="860" customFormat="1" ht="37.5" thickTop="1" thickBot="1" x14ac:dyDescent="0.25">
      <c r="A292" s="1910" t="s">
        <v>1491</v>
      </c>
      <c r="B292" s="666" t="s">
        <v>1492</v>
      </c>
      <c r="C292" s="664" t="s">
        <v>1493</v>
      </c>
      <c r="D292" s="1816" t="s">
        <v>1494</v>
      </c>
      <c r="E292" s="1817" t="s">
        <v>1495</v>
      </c>
      <c r="F292" s="1911" t="s">
        <v>1496</v>
      </c>
      <c r="G292" s="1858" t="s">
        <v>1497</v>
      </c>
      <c r="H292" s="664" t="s">
        <v>1498</v>
      </c>
      <c r="I292" s="1816" t="s">
        <v>1499</v>
      </c>
      <c r="J292" s="1817" t="s">
        <v>1500</v>
      </c>
      <c r="K292" s="1912" t="s">
        <v>1501</v>
      </c>
      <c r="L292" s="1913"/>
      <c r="M292" s="1914"/>
      <c r="N292" s="1915"/>
    </row>
    <row r="293" spans="1:14" s="306" customFormat="1" ht="12.75" thickTop="1" x14ac:dyDescent="0.2">
      <c r="A293" s="1487">
        <v>1</v>
      </c>
      <c r="B293" s="1798" t="s">
        <v>1502</v>
      </c>
      <c r="C293" s="1901">
        <v>0</v>
      </c>
      <c r="D293" s="1717"/>
      <c r="E293" s="1683">
        <v>0</v>
      </c>
      <c r="F293" s="1213">
        <f>IF(E293=0,0,  E293*(IF(B293="FD",1,POWER((1+'2. TaxData'!$I$65),(C293-'1. AgeData'!$D$30)))))</f>
        <v>0</v>
      </c>
      <c r="G293" s="1798" t="s">
        <v>1502</v>
      </c>
      <c r="H293" s="1707">
        <v>0</v>
      </c>
      <c r="I293" s="1717"/>
      <c r="J293" s="1720">
        <v>0</v>
      </c>
      <c r="K293" s="1865">
        <f>IF(J293=0,0,  J293*IF(G293="FD",1,POWER((1+'2. TaxData'!$I$65),(H293-'1. AgeData'!$D$31))))</f>
        <v>0</v>
      </c>
      <c r="L293" s="316"/>
      <c r="M293" s="1455"/>
      <c r="N293" s="316"/>
    </row>
    <row r="294" spans="1:14" s="306" customFormat="1" ht="12" x14ac:dyDescent="0.2">
      <c r="A294" s="1487">
        <v>2</v>
      </c>
      <c r="B294" s="1798" t="s">
        <v>1502</v>
      </c>
      <c r="C294" s="1901">
        <v>0</v>
      </c>
      <c r="D294" s="1717"/>
      <c r="E294" s="1683">
        <v>0</v>
      </c>
      <c r="F294" s="1213">
        <f>IF(E294=0,0,  E294*(IF(B294="FD",1,POWER((1+'2. TaxData'!$I$65),(C294-'1. AgeData'!$D$30)))))</f>
        <v>0</v>
      </c>
      <c r="G294" s="1798" t="s">
        <v>1502</v>
      </c>
      <c r="H294" s="1707">
        <v>0</v>
      </c>
      <c r="I294" s="1717"/>
      <c r="J294" s="1720">
        <v>0</v>
      </c>
      <c r="K294" s="1865">
        <f>IF(J294=0,0,  J294*IF(G294="FD",1,POWER((1+'2. TaxData'!$I$65),(H294-'1. AgeData'!$D$31))))</f>
        <v>0</v>
      </c>
      <c r="L294" s="316"/>
      <c r="M294" s="1455"/>
      <c r="N294" s="316"/>
    </row>
    <row r="295" spans="1:14" s="306" customFormat="1" ht="12" x14ac:dyDescent="0.2">
      <c r="A295" s="1487">
        <v>3</v>
      </c>
      <c r="B295" s="1798" t="s">
        <v>1502</v>
      </c>
      <c r="C295" s="1901">
        <v>0</v>
      </c>
      <c r="D295" s="1717"/>
      <c r="E295" s="1683">
        <v>0</v>
      </c>
      <c r="F295" s="1213">
        <f>IF(E295=0,0,  E295*(IF(B295="FD",1,POWER((1+'2. TaxData'!$I$65),(C295-'1. AgeData'!$D$30)))))</f>
        <v>0</v>
      </c>
      <c r="G295" s="1798" t="s">
        <v>1502</v>
      </c>
      <c r="H295" s="1707">
        <v>0</v>
      </c>
      <c r="I295" s="1717"/>
      <c r="J295" s="1720">
        <v>0</v>
      </c>
      <c r="K295" s="1865">
        <f>IF(J295=0,0,  J295*IF(G295="FD",1,POWER((1+'2. TaxData'!$I$65),(H295-'1. AgeData'!$D$31))))</f>
        <v>0</v>
      </c>
      <c r="L295" s="316"/>
      <c r="M295" s="1455"/>
      <c r="N295" s="316"/>
    </row>
    <row r="296" spans="1:14" s="306" customFormat="1" ht="12" x14ac:dyDescent="0.2">
      <c r="A296" s="1487">
        <v>4</v>
      </c>
      <c r="B296" s="1798" t="s">
        <v>1502</v>
      </c>
      <c r="C296" s="1901">
        <v>0</v>
      </c>
      <c r="D296" s="1717"/>
      <c r="E296" s="1683">
        <v>0</v>
      </c>
      <c r="F296" s="1213">
        <f>IF(E296=0,0,  E296*(IF(B296="FD",1,POWER((1+'2. TaxData'!$I$65),(C296-'1. AgeData'!$D$30)))))</f>
        <v>0</v>
      </c>
      <c r="G296" s="1798" t="s">
        <v>1502</v>
      </c>
      <c r="H296" s="1707">
        <v>0</v>
      </c>
      <c r="I296" s="1717"/>
      <c r="J296" s="1720">
        <v>0</v>
      </c>
      <c r="K296" s="1865">
        <f>IF(J296=0,0,  J296*IF(G296="FD",1,POWER((1+'2. TaxData'!$I$65),(H296-'1. AgeData'!$D$31))))</f>
        <v>0</v>
      </c>
      <c r="L296" s="316"/>
      <c r="M296" s="1455"/>
      <c r="N296" s="316"/>
    </row>
    <row r="297" spans="1:14" s="306" customFormat="1" ht="12" x14ac:dyDescent="0.2">
      <c r="A297" s="1487">
        <v>5</v>
      </c>
      <c r="B297" s="1798" t="s">
        <v>1502</v>
      </c>
      <c r="C297" s="1901">
        <v>0</v>
      </c>
      <c r="D297" s="1717"/>
      <c r="E297" s="1683">
        <v>0</v>
      </c>
      <c r="F297" s="1213">
        <f>IF(E297=0,0,  E297*(IF(B297="FD",1,POWER((1+'2. TaxData'!$I$65),(C297-'1. AgeData'!$D$30)))))</f>
        <v>0</v>
      </c>
      <c r="G297" s="1798" t="s">
        <v>1502</v>
      </c>
      <c r="H297" s="1707">
        <v>0</v>
      </c>
      <c r="I297" s="1717"/>
      <c r="J297" s="1720">
        <v>0</v>
      </c>
      <c r="K297" s="1865">
        <f>IF(J297=0,0,  J297*IF(G297="FD",1,POWER((1+'2. TaxData'!$I$65),(H297-'1. AgeData'!$D$31))))</f>
        <v>0</v>
      </c>
      <c r="L297" s="316"/>
      <c r="M297" s="1455"/>
      <c r="N297" s="316"/>
    </row>
    <row r="298" spans="1:14" s="306" customFormat="1" ht="12" x14ac:dyDescent="0.2">
      <c r="A298" s="1487">
        <v>6</v>
      </c>
      <c r="B298" s="1798" t="s">
        <v>1502</v>
      </c>
      <c r="C298" s="1901">
        <v>0</v>
      </c>
      <c r="D298" s="1717"/>
      <c r="E298" s="1683">
        <v>0</v>
      </c>
      <c r="F298" s="1213">
        <f>IF(E298=0,0,  E298*(IF(B298="FD",1,POWER((1+'2. TaxData'!$I$65),(C298-'1. AgeData'!$D$30)))))</f>
        <v>0</v>
      </c>
      <c r="G298" s="1798" t="s">
        <v>1502</v>
      </c>
      <c r="H298" s="1707">
        <v>0</v>
      </c>
      <c r="I298" s="1717"/>
      <c r="J298" s="1720">
        <v>0</v>
      </c>
      <c r="K298" s="1865">
        <f>IF(J298=0,0,  J298*IF(G298="FD",1,POWER((1+'2. TaxData'!$I$65),(H298-'1. AgeData'!$D$31))))</f>
        <v>0</v>
      </c>
      <c r="L298" s="316"/>
      <c r="M298" s="1455"/>
      <c r="N298" s="316"/>
    </row>
    <row r="299" spans="1:14" s="306" customFormat="1" ht="12" x14ac:dyDescent="0.2">
      <c r="A299" s="1487">
        <v>7</v>
      </c>
      <c r="B299" s="1798" t="s">
        <v>1502</v>
      </c>
      <c r="C299" s="1901">
        <v>0</v>
      </c>
      <c r="D299" s="1717"/>
      <c r="E299" s="1683">
        <v>0</v>
      </c>
      <c r="F299" s="1213">
        <f>IF(E299=0,0,  E299*(IF(B299="FD",1,POWER((1+'2. TaxData'!$I$65),(C299-'1. AgeData'!$D$30)))))</f>
        <v>0</v>
      </c>
      <c r="G299" s="1798" t="s">
        <v>1502</v>
      </c>
      <c r="H299" s="1707">
        <v>0</v>
      </c>
      <c r="I299" s="1717"/>
      <c r="J299" s="1720">
        <v>0</v>
      </c>
      <c r="K299" s="1865">
        <f>IF(J299=0,0,  J299*IF(G299="FD",1,POWER((1+'2. TaxData'!$I$65),(H299-'1. AgeData'!$D$31))))</f>
        <v>0</v>
      </c>
      <c r="L299" s="316"/>
      <c r="M299" s="1455"/>
      <c r="N299" s="316"/>
    </row>
    <row r="300" spans="1:14" s="306" customFormat="1" ht="12" x14ac:dyDescent="0.2">
      <c r="A300" s="1487">
        <v>8</v>
      </c>
      <c r="B300" s="1798" t="s">
        <v>1502</v>
      </c>
      <c r="C300" s="1901">
        <v>0</v>
      </c>
      <c r="D300" s="1717"/>
      <c r="E300" s="1683">
        <v>0</v>
      </c>
      <c r="F300" s="1213">
        <f>IF(E300=0,0,  E300*(IF(B300="FD",1,POWER((1+'2. TaxData'!$I$65),(C300-'1. AgeData'!$D$30)))))</f>
        <v>0</v>
      </c>
      <c r="G300" s="1798" t="s">
        <v>1502</v>
      </c>
      <c r="H300" s="1707">
        <v>0</v>
      </c>
      <c r="I300" s="1717"/>
      <c r="J300" s="1720">
        <v>0</v>
      </c>
      <c r="K300" s="1865">
        <f>IF(J300=0,0,  J300*IF(G300="FD",1,POWER((1+'2. TaxData'!$I$65),(H300-'1. AgeData'!$D$31))))</f>
        <v>0</v>
      </c>
      <c r="L300" s="316"/>
      <c r="M300" s="1455"/>
      <c r="N300" s="316"/>
    </row>
    <row r="301" spans="1:14" s="306" customFormat="1" ht="12" x14ac:dyDescent="0.2">
      <c r="A301" s="1487">
        <v>9</v>
      </c>
      <c r="B301" s="1798" t="s">
        <v>1502</v>
      </c>
      <c r="C301" s="1707">
        <v>0</v>
      </c>
      <c r="D301" s="1717"/>
      <c r="E301" s="1683">
        <v>0</v>
      </c>
      <c r="F301" s="1213">
        <f>IF(E301=0,0,  E301*(IF(B301="FD",1,POWER((1+'2. TaxData'!$I$65),(C301-'1. AgeData'!$D$30)))))</f>
        <v>0</v>
      </c>
      <c r="G301" s="1798" t="s">
        <v>1502</v>
      </c>
      <c r="H301" s="1707">
        <v>0</v>
      </c>
      <c r="I301" s="1717"/>
      <c r="J301" s="1720">
        <v>0</v>
      </c>
      <c r="K301" s="1865">
        <f>IF(J301=0,0,  J301*IF(G301="FD",1,POWER((1+'2. TaxData'!$I$65),(H301-'1. AgeData'!$D$31))))</f>
        <v>0</v>
      </c>
      <c r="L301" s="316"/>
      <c r="M301" s="1455"/>
      <c r="N301" s="316"/>
    </row>
    <row r="302" spans="1:14" s="306" customFormat="1" ht="12" x14ac:dyDescent="0.2">
      <c r="A302" s="1487">
        <v>10</v>
      </c>
      <c r="B302" s="1798" t="s">
        <v>1502</v>
      </c>
      <c r="C302" s="1901">
        <v>0</v>
      </c>
      <c r="D302" s="1717"/>
      <c r="E302" s="1683">
        <v>0</v>
      </c>
      <c r="F302" s="1213">
        <f>IF(E302=0,0,  E302*(IF(B302="FD",1,POWER((1+'2. TaxData'!$I$65),(C302-'1. AgeData'!$D$30)))))</f>
        <v>0</v>
      </c>
      <c r="G302" s="1798" t="s">
        <v>1502</v>
      </c>
      <c r="H302" s="1707">
        <v>0</v>
      </c>
      <c r="I302" s="1717"/>
      <c r="J302" s="1720">
        <v>0</v>
      </c>
      <c r="K302" s="1865">
        <f>IF(J302=0,0,  J302*IF(G302="FD",1,POWER((1+'2. TaxData'!$I$65),(H302-'1. AgeData'!$D$31))))</f>
        <v>0</v>
      </c>
      <c r="L302" s="316"/>
      <c r="M302" s="1455"/>
      <c r="N302" s="316"/>
    </row>
    <row r="303" spans="1:14" s="306" customFormat="1" ht="12" x14ac:dyDescent="0.2">
      <c r="A303" s="1487">
        <v>11</v>
      </c>
      <c r="B303" s="1798" t="s">
        <v>1502</v>
      </c>
      <c r="C303" s="1901">
        <v>0</v>
      </c>
      <c r="D303" s="1717"/>
      <c r="E303" s="1683">
        <v>0</v>
      </c>
      <c r="F303" s="1213">
        <f>IF(E303=0,0,  E303*(IF(B303="FD",1,POWER((1+'2. TaxData'!$I$65),(C303-'1. AgeData'!$D$30)))))</f>
        <v>0</v>
      </c>
      <c r="G303" s="1798" t="s">
        <v>1502</v>
      </c>
      <c r="H303" s="1707">
        <v>0</v>
      </c>
      <c r="I303" s="1717"/>
      <c r="J303" s="1720">
        <v>0</v>
      </c>
      <c r="K303" s="1865">
        <f>IF(J303=0,0,  J303*IF(G303="FD",1,POWER((1+'2. TaxData'!$I$65),(H303-'1. AgeData'!$D$31))))</f>
        <v>0</v>
      </c>
      <c r="L303" s="316"/>
      <c r="M303" s="1455"/>
      <c r="N303" s="316"/>
    </row>
    <row r="304" spans="1:14" s="306" customFormat="1" ht="12" x14ac:dyDescent="0.2">
      <c r="A304" s="1487">
        <v>12</v>
      </c>
      <c r="B304" s="1798" t="s">
        <v>1502</v>
      </c>
      <c r="C304" s="1901">
        <v>0</v>
      </c>
      <c r="D304" s="1717"/>
      <c r="E304" s="1683">
        <v>0</v>
      </c>
      <c r="F304" s="1213">
        <f>IF(E304=0,0,  E304*(IF(B304="FD",1,POWER((1+'2. TaxData'!$I$65),(C304-'1. AgeData'!$D$30)))))</f>
        <v>0</v>
      </c>
      <c r="G304" s="1798" t="s">
        <v>1502</v>
      </c>
      <c r="H304" s="1707">
        <v>0</v>
      </c>
      <c r="I304" s="1717"/>
      <c r="J304" s="1720">
        <v>0</v>
      </c>
      <c r="K304" s="1865">
        <f>IF(J304=0,0,  J304*IF(G304="FD",1,POWER((1+'2. TaxData'!$I$65),(H304-'1. AgeData'!$D$31))))</f>
        <v>0</v>
      </c>
      <c r="L304" s="316"/>
      <c r="M304" s="1455"/>
      <c r="N304" s="316"/>
    </row>
    <row r="305" spans="1:14" s="306" customFormat="1" ht="12" x14ac:dyDescent="0.2">
      <c r="A305" s="1487">
        <v>13</v>
      </c>
      <c r="B305" s="1798" t="s">
        <v>1502</v>
      </c>
      <c r="C305" s="1901">
        <v>0</v>
      </c>
      <c r="D305" s="1717"/>
      <c r="E305" s="1683">
        <v>0</v>
      </c>
      <c r="F305" s="1213">
        <f>IF(E305=0,0,  E305*(IF(B305="FD",1,POWER((1+'2. TaxData'!$I$65),(C305-'1. AgeData'!$D$30)))))</f>
        <v>0</v>
      </c>
      <c r="G305" s="1798" t="s">
        <v>1502</v>
      </c>
      <c r="H305" s="1707">
        <v>0</v>
      </c>
      <c r="I305" s="1717"/>
      <c r="J305" s="1720">
        <v>0</v>
      </c>
      <c r="K305" s="1865">
        <f>IF(J305=0,0,  J305*IF(G305="FD",1,POWER((1+'2. TaxData'!$I$65),(H305-'1. AgeData'!$D$31))))</f>
        <v>0</v>
      </c>
      <c r="L305" s="316"/>
      <c r="M305" s="1455"/>
      <c r="N305" s="316"/>
    </row>
    <row r="306" spans="1:14" s="306" customFormat="1" ht="12" x14ac:dyDescent="0.2">
      <c r="A306" s="1487">
        <v>14</v>
      </c>
      <c r="B306" s="1798" t="s">
        <v>1502</v>
      </c>
      <c r="C306" s="1901">
        <v>0</v>
      </c>
      <c r="D306" s="1717"/>
      <c r="E306" s="1683">
        <v>0</v>
      </c>
      <c r="F306" s="1213">
        <f>IF(E306=0,0,  E306*(IF(B306="FD",1,POWER((1+'2. TaxData'!$I$65),(C306-'1. AgeData'!$D$30)))))</f>
        <v>0</v>
      </c>
      <c r="G306" s="1798" t="s">
        <v>1502</v>
      </c>
      <c r="H306" s="1707">
        <v>0</v>
      </c>
      <c r="I306" s="1717"/>
      <c r="J306" s="1720">
        <v>0</v>
      </c>
      <c r="K306" s="1865">
        <f>IF(J306=0,0,  J306*IF(G306="FD",1,POWER((1+'2. TaxData'!$I$65),(H306-'1. AgeData'!$D$31))))</f>
        <v>0</v>
      </c>
      <c r="L306" s="316"/>
      <c r="M306" s="1455"/>
      <c r="N306" s="316"/>
    </row>
    <row r="307" spans="1:14" s="306" customFormat="1" ht="12" x14ac:dyDescent="0.2">
      <c r="A307" s="1487">
        <v>15</v>
      </c>
      <c r="B307" s="1798" t="s">
        <v>1502</v>
      </c>
      <c r="C307" s="1901">
        <v>0</v>
      </c>
      <c r="D307" s="1717"/>
      <c r="E307" s="1683">
        <v>0</v>
      </c>
      <c r="F307" s="1213">
        <f>IF(E307=0,0,  E307*(IF(B307="FD",1,POWER((1+'2. TaxData'!$I$65),(C307-'1. AgeData'!$D$30)))))</f>
        <v>0</v>
      </c>
      <c r="G307" s="1798" t="s">
        <v>1502</v>
      </c>
      <c r="H307" s="1707">
        <v>0</v>
      </c>
      <c r="I307" s="1717"/>
      <c r="J307" s="1720">
        <v>0</v>
      </c>
      <c r="K307" s="1865">
        <f>IF(J307=0,0,  J307*IF(G307="FD",1,POWER((1+'2. TaxData'!$I$65),(H307-'1. AgeData'!$D$31))))</f>
        <v>0</v>
      </c>
      <c r="L307" s="316"/>
      <c r="M307" s="1455"/>
      <c r="N307" s="316"/>
    </row>
    <row r="308" spans="1:14" s="306" customFormat="1" ht="12" x14ac:dyDescent="0.2">
      <c r="A308" s="1487">
        <v>16</v>
      </c>
      <c r="B308" s="1798" t="s">
        <v>1502</v>
      </c>
      <c r="C308" s="1901">
        <v>0</v>
      </c>
      <c r="D308" s="1717"/>
      <c r="E308" s="1683">
        <v>0</v>
      </c>
      <c r="F308" s="1213">
        <f>IF(E308=0,0,  E308*(IF(B308="FD",1,POWER((1+'2. TaxData'!$I$65),(C308-'1. AgeData'!$D$30)))))</f>
        <v>0</v>
      </c>
      <c r="G308" s="1798" t="s">
        <v>1502</v>
      </c>
      <c r="H308" s="1707">
        <v>0</v>
      </c>
      <c r="I308" s="1717"/>
      <c r="J308" s="1720">
        <v>0</v>
      </c>
      <c r="K308" s="1865">
        <f>IF(J308=0,0,  J308*IF(G308="FD",1,POWER((1+'2. TaxData'!$I$65),(H308-'1. AgeData'!$D$31))))</f>
        <v>0</v>
      </c>
      <c r="L308" s="316"/>
      <c r="M308" s="1455"/>
      <c r="N308" s="316"/>
    </row>
    <row r="309" spans="1:14" s="306" customFormat="1" ht="12" x14ac:dyDescent="0.2">
      <c r="A309" s="1487">
        <v>17</v>
      </c>
      <c r="B309" s="1798" t="s">
        <v>1502</v>
      </c>
      <c r="C309" s="1901">
        <v>0</v>
      </c>
      <c r="D309" s="1717"/>
      <c r="E309" s="1683">
        <v>0</v>
      </c>
      <c r="F309" s="1213">
        <f>IF(E309=0,0,  E309*(IF(B309="FD",1,POWER((1+'2. TaxData'!$I$65),(C309-'1. AgeData'!$D$30)))))</f>
        <v>0</v>
      </c>
      <c r="G309" s="1798" t="s">
        <v>1502</v>
      </c>
      <c r="H309" s="1707">
        <v>0</v>
      </c>
      <c r="I309" s="1717"/>
      <c r="J309" s="1720">
        <v>0</v>
      </c>
      <c r="K309" s="1865">
        <f>IF(J309=0,0,  J309*IF(G309="FD",1,POWER((1+'2. TaxData'!$I$65),(H309-'1. AgeData'!$D$31))))</f>
        <v>0</v>
      </c>
      <c r="L309" s="316"/>
      <c r="M309" s="1455"/>
      <c r="N309" s="316"/>
    </row>
    <row r="310" spans="1:14" s="306" customFormat="1" ht="12" x14ac:dyDescent="0.2">
      <c r="A310" s="1487">
        <v>18</v>
      </c>
      <c r="B310" s="1798" t="s">
        <v>1502</v>
      </c>
      <c r="C310" s="1901">
        <v>0</v>
      </c>
      <c r="D310" s="1717"/>
      <c r="E310" s="1683">
        <v>0</v>
      </c>
      <c r="F310" s="1213">
        <f>IF(E310=0,0,  E310*(IF(B310="FD",1,POWER((1+'2. TaxData'!$I$65),(C310-'1. AgeData'!$D$30)))))</f>
        <v>0</v>
      </c>
      <c r="G310" s="1798" t="s">
        <v>1502</v>
      </c>
      <c r="H310" s="1707">
        <v>0</v>
      </c>
      <c r="I310" s="1717"/>
      <c r="J310" s="1720">
        <v>0</v>
      </c>
      <c r="K310" s="1865">
        <f>IF(J310=0,0,  J310*IF(G310="FD",1,POWER((1+'2. TaxData'!$I$65),(H310-'1. AgeData'!$D$31))))</f>
        <v>0</v>
      </c>
      <c r="L310" s="316"/>
      <c r="M310" s="1455"/>
      <c r="N310" s="316"/>
    </row>
    <row r="311" spans="1:14" s="306" customFormat="1" ht="12" x14ac:dyDescent="0.2">
      <c r="A311" s="1487">
        <v>19</v>
      </c>
      <c r="B311" s="1798" t="s">
        <v>1502</v>
      </c>
      <c r="C311" s="1901">
        <v>0</v>
      </c>
      <c r="D311" s="1717"/>
      <c r="E311" s="1683">
        <v>0</v>
      </c>
      <c r="F311" s="1213">
        <f>IF(E311=0,0,  E311*(IF(B311="FD",1,POWER((1+'2. TaxData'!$I$65),(C311-'1. AgeData'!$D$30)))))</f>
        <v>0</v>
      </c>
      <c r="G311" s="1798" t="s">
        <v>1502</v>
      </c>
      <c r="H311" s="1707">
        <v>0</v>
      </c>
      <c r="I311" s="1717"/>
      <c r="J311" s="1720">
        <v>0</v>
      </c>
      <c r="K311" s="1865">
        <f>IF(J311=0,0,  J311*IF(G311="FD",1,POWER((1+'2. TaxData'!$I$65),(H311-'1. AgeData'!$D$31))))</f>
        <v>0</v>
      </c>
      <c r="L311" s="316"/>
      <c r="M311" s="1455"/>
      <c r="N311" s="316"/>
    </row>
    <row r="312" spans="1:14" s="306" customFormat="1" ht="12" x14ac:dyDescent="0.2">
      <c r="A312" s="1487">
        <v>20</v>
      </c>
      <c r="B312" s="1798" t="s">
        <v>1502</v>
      </c>
      <c r="C312" s="1901">
        <v>0</v>
      </c>
      <c r="D312" s="1717"/>
      <c r="E312" s="1683">
        <v>0</v>
      </c>
      <c r="F312" s="1213">
        <f>IF(E312=0,0,  E312*(IF(B312="FD",1,POWER((1+'2. TaxData'!$I$65),(C312-'1. AgeData'!$D$30)))))</f>
        <v>0</v>
      </c>
      <c r="G312" s="1798" t="s">
        <v>1502</v>
      </c>
      <c r="H312" s="1707">
        <v>0</v>
      </c>
      <c r="I312" s="1717"/>
      <c r="J312" s="1720">
        <v>0</v>
      </c>
      <c r="K312" s="1865">
        <f>IF(J312=0,0,  J312*IF(G312="FD",1,POWER((1+'2. TaxData'!$I$65),(H312-'1. AgeData'!$D$31))))</f>
        <v>0</v>
      </c>
      <c r="L312" s="316"/>
      <c r="M312" s="1455"/>
      <c r="N312" s="316"/>
    </row>
    <row r="313" spans="1:14" s="306" customFormat="1" ht="12" x14ac:dyDescent="0.2">
      <c r="A313" s="1487">
        <v>21</v>
      </c>
      <c r="B313" s="1798" t="s">
        <v>1502</v>
      </c>
      <c r="C313" s="1901">
        <v>0</v>
      </c>
      <c r="D313" s="1717"/>
      <c r="E313" s="1683">
        <v>0</v>
      </c>
      <c r="F313" s="1213">
        <f>IF(E313=0,0,  E313*(IF(B313="FD",1,POWER((1+'2. TaxData'!$I$65),(C313-'1. AgeData'!$D$30)))))</f>
        <v>0</v>
      </c>
      <c r="G313" s="1798" t="s">
        <v>1502</v>
      </c>
      <c r="H313" s="1707">
        <v>0</v>
      </c>
      <c r="I313" s="1717"/>
      <c r="J313" s="1720">
        <v>0</v>
      </c>
      <c r="K313" s="1865">
        <f>IF(J313=0,0,  J313*IF(G313="FD",1,POWER((1+'2. TaxData'!$I$65),(H313-'1. AgeData'!$D$31))))</f>
        <v>0</v>
      </c>
      <c r="L313" s="316"/>
      <c r="M313" s="1455"/>
      <c r="N313" s="316"/>
    </row>
    <row r="314" spans="1:14" s="306" customFormat="1" ht="12" x14ac:dyDescent="0.2">
      <c r="A314" s="1487">
        <v>22</v>
      </c>
      <c r="B314" s="1798" t="s">
        <v>1502</v>
      </c>
      <c r="C314" s="1901">
        <v>0</v>
      </c>
      <c r="D314" s="1717"/>
      <c r="E314" s="1683">
        <v>0</v>
      </c>
      <c r="F314" s="1213">
        <f>IF(E314=0,0,  E314*(IF(B314="FD",1,POWER((1+'2. TaxData'!$I$65),(C314-'1. AgeData'!$D$30)))))</f>
        <v>0</v>
      </c>
      <c r="G314" s="1798" t="s">
        <v>1502</v>
      </c>
      <c r="H314" s="1707">
        <v>0</v>
      </c>
      <c r="I314" s="1717"/>
      <c r="J314" s="1720">
        <v>0</v>
      </c>
      <c r="K314" s="1865">
        <f>IF(J314=0,0,  J314*IF(G314="FD",1,POWER((1+'2. TaxData'!$I$65),(H314-'1. AgeData'!$D$31))))</f>
        <v>0</v>
      </c>
      <c r="L314" s="316"/>
      <c r="M314" s="1455"/>
      <c r="N314" s="316"/>
    </row>
    <row r="315" spans="1:14" s="306" customFormat="1" ht="12" x14ac:dyDescent="0.2">
      <c r="A315" s="1487">
        <v>23</v>
      </c>
      <c r="B315" s="1798" t="s">
        <v>1502</v>
      </c>
      <c r="C315" s="1901">
        <v>0</v>
      </c>
      <c r="D315" s="1717"/>
      <c r="E315" s="1683">
        <v>0</v>
      </c>
      <c r="F315" s="1213">
        <f>IF(E315=0,0,  E315*(IF(B315="FD",1,POWER((1+'2. TaxData'!$I$65),(C315-'1. AgeData'!$D$30)))))</f>
        <v>0</v>
      </c>
      <c r="G315" s="1798" t="s">
        <v>1502</v>
      </c>
      <c r="H315" s="1707">
        <v>0</v>
      </c>
      <c r="I315" s="1717"/>
      <c r="J315" s="1720">
        <v>0</v>
      </c>
      <c r="K315" s="1865">
        <f>IF(J315=0,0,  J315*IF(G315="FD",1,POWER((1+'2. TaxData'!$I$65),(H315-'1. AgeData'!$D$31))))</f>
        <v>0</v>
      </c>
      <c r="L315" s="316"/>
      <c r="M315" s="1455"/>
      <c r="N315" s="316"/>
    </row>
    <row r="316" spans="1:14" s="306" customFormat="1" ht="12" x14ac:dyDescent="0.2">
      <c r="A316" s="1487">
        <v>24</v>
      </c>
      <c r="B316" s="1798" t="s">
        <v>1502</v>
      </c>
      <c r="C316" s="1901">
        <v>0</v>
      </c>
      <c r="D316" s="1717"/>
      <c r="E316" s="1683">
        <v>0</v>
      </c>
      <c r="F316" s="1213">
        <f>IF(E316=0,0,  E316*(IF(B316="FD",1,POWER((1+'2. TaxData'!$I$65),(C316-'1. AgeData'!$D$30)))))</f>
        <v>0</v>
      </c>
      <c r="G316" s="1798" t="s">
        <v>1502</v>
      </c>
      <c r="H316" s="1707">
        <v>0</v>
      </c>
      <c r="I316" s="1717"/>
      <c r="J316" s="1720">
        <v>0</v>
      </c>
      <c r="K316" s="1865">
        <f>IF(J316=0,0,  J316*IF(G316="FD",1,POWER((1+'2. TaxData'!$I$65),(H316-'1. AgeData'!$D$31))))</f>
        <v>0</v>
      </c>
      <c r="L316" s="316"/>
      <c r="M316" s="1455"/>
      <c r="N316" s="316"/>
    </row>
    <row r="317" spans="1:14" s="306" customFormat="1" ht="12" x14ac:dyDescent="0.2">
      <c r="A317" s="1487">
        <v>25</v>
      </c>
      <c r="B317" s="1798" t="s">
        <v>1502</v>
      </c>
      <c r="C317" s="1901">
        <v>0</v>
      </c>
      <c r="D317" s="1717"/>
      <c r="E317" s="1683">
        <v>0</v>
      </c>
      <c r="F317" s="1213">
        <f>IF(E317=0,0,  E317*(IF(B317="FD",1,POWER((1+'2. TaxData'!$I$65),(C317-'1. AgeData'!$D$30)))))</f>
        <v>0</v>
      </c>
      <c r="G317" s="1798" t="s">
        <v>1502</v>
      </c>
      <c r="H317" s="1707">
        <v>0</v>
      </c>
      <c r="I317" s="1717"/>
      <c r="J317" s="1720">
        <v>0</v>
      </c>
      <c r="K317" s="1865">
        <f>IF(J317=0,0,  J317*IF(G317="FD",1,POWER((1+'2. TaxData'!$I$65),(H317-'1. AgeData'!$D$31))))</f>
        <v>0</v>
      </c>
      <c r="L317" s="316"/>
      <c r="M317" s="1455"/>
      <c r="N317" s="316"/>
    </row>
    <row r="318" spans="1:14" s="306" customFormat="1" ht="12" x14ac:dyDescent="0.2">
      <c r="A318" s="1487">
        <v>26</v>
      </c>
      <c r="B318" s="1798" t="s">
        <v>1502</v>
      </c>
      <c r="C318" s="1901">
        <v>0</v>
      </c>
      <c r="D318" s="1717"/>
      <c r="E318" s="1683">
        <v>0</v>
      </c>
      <c r="F318" s="1213">
        <f>IF(E318=0,0,  E318*(IF(B318="FD",1,POWER((1+'2. TaxData'!$I$65),(C318-'1. AgeData'!$D$30)))))</f>
        <v>0</v>
      </c>
      <c r="G318" s="1798" t="s">
        <v>1502</v>
      </c>
      <c r="H318" s="1707">
        <v>0</v>
      </c>
      <c r="I318" s="1717"/>
      <c r="J318" s="1720">
        <v>0</v>
      </c>
      <c r="K318" s="1865">
        <f>IF(J318=0,0,  J318*IF(G318="FD",1,POWER((1+'2. TaxData'!$I$65),(H318-'1. AgeData'!$D$31))))</f>
        <v>0</v>
      </c>
      <c r="L318" s="316"/>
      <c r="M318" s="1455"/>
      <c r="N318" s="316"/>
    </row>
    <row r="319" spans="1:14" s="306" customFormat="1" ht="12" x14ac:dyDescent="0.2">
      <c r="A319" s="1487">
        <v>27</v>
      </c>
      <c r="B319" s="1798" t="s">
        <v>1502</v>
      </c>
      <c r="C319" s="1901">
        <v>0</v>
      </c>
      <c r="D319" s="1717"/>
      <c r="E319" s="1683">
        <v>0</v>
      </c>
      <c r="F319" s="1213">
        <f>IF(E319=0,0,  E319*(IF(B319="FD",1,POWER((1+'2. TaxData'!$I$65),(C319-'1. AgeData'!$D$30)))))</f>
        <v>0</v>
      </c>
      <c r="G319" s="1798" t="s">
        <v>1502</v>
      </c>
      <c r="H319" s="1707">
        <v>0</v>
      </c>
      <c r="I319" s="1717"/>
      <c r="J319" s="1720">
        <v>0</v>
      </c>
      <c r="K319" s="1865">
        <f>IF(J319=0,0,  J319*IF(G319="FD",1,POWER((1+'2. TaxData'!$I$65),(H319-'1. AgeData'!$D$31))))</f>
        <v>0</v>
      </c>
      <c r="L319" s="316"/>
      <c r="M319" s="1455"/>
      <c r="N319" s="316"/>
    </row>
    <row r="320" spans="1:14" s="306" customFormat="1" ht="12" x14ac:dyDescent="0.2">
      <c r="A320" s="1851">
        <v>28</v>
      </c>
      <c r="B320" s="1798" t="s">
        <v>1502</v>
      </c>
      <c r="C320" s="1901">
        <v>0</v>
      </c>
      <c r="D320" s="1717"/>
      <c r="E320" s="1683">
        <v>0</v>
      </c>
      <c r="F320" s="1213">
        <f>IF(E320=0,0,  E320*(IF(B320="FD",1,POWER((1+'2. TaxData'!$I$65),(C320-'1. AgeData'!$D$30)))))</f>
        <v>0</v>
      </c>
      <c r="G320" s="1798" t="s">
        <v>1502</v>
      </c>
      <c r="H320" s="1707">
        <v>0</v>
      </c>
      <c r="I320" s="1717"/>
      <c r="J320" s="1720">
        <v>0</v>
      </c>
      <c r="K320" s="1865">
        <f>IF(J320=0,0,  J320*IF(G320="FD",1,POWER((1+'2. TaxData'!$I$65),(H320-'1. AgeData'!$D$31))))</f>
        <v>0</v>
      </c>
      <c r="L320" s="1128"/>
      <c r="M320" s="1866"/>
      <c r="N320" s="316"/>
    </row>
    <row r="321" spans="1:14" s="306" customFormat="1" ht="12" x14ac:dyDescent="0.2">
      <c r="A321" s="1487">
        <v>29</v>
      </c>
      <c r="B321" s="1798" t="s">
        <v>1502</v>
      </c>
      <c r="C321" s="1901">
        <v>0</v>
      </c>
      <c r="D321" s="1717"/>
      <c r="E321" s="1683">
        <v>0</v>
      </c>
      <c r="F321" s="1213">
        <f>IF(E321=0,0,  E321*(IF(B321="FD",1,POWER((1+'2. TaxData'!$I$65),(C321-'1. AgeData'!$D$30)))))</f>
        <v>0</v>
      </c>
      <c r="G321" s="1798" t="s">
        <v>1502</v>
      </c>
      <c r="H321" s="1707">
        <v>0</v>
      </c>
      <c r="I321" s="1717"/>
      <c r="J321" s="1720">
        <v>0</v>
      </c>
      <c r="K321" s="1865">
        <f>IF(J321=0,0,  J321*IF(G321="FD",1,POWER((1+'2. TaxData'!$I$65),(H321-'1. AgeData'!$D$31))))</f>
        <v>0</v>
      </c>
      <c r="L321" s="316"/>
      <c r="M321" s="1455"/>
      <c r="N321" s="316"/>
    </row>
    <row r="322" spans="1:14" s="306" customFormat="1" ht="12" x14ac:dyDescent="0.2">
      <c r="A322" s="1487">
        <v>30</v>
      </c>
      <c r="B322" s="1798" t="s">
        <v>1502</v>
      </c>
      <c r="C322" s="1901">
        <v>0</v>
      </c>
      <c r="D322" s="1717"/>
      <c r="E322" s="1683">
        <v>0</v>
      </c>
      <c r="F322" s="1213">
        <f>IF(E322=0,0,  E322*(IF(B322="FD",1,POWER((1+'2. TaxData'!$I$65),(C322-'1. AgeData'!$D$30)))))</f>
        <v>0</v>
      </c>
      <c r="G322" s="1798" t="s">
        <v>1502</v>
      </c>
      <c r="H322" s="1707">
        <v>0</v>
      </c>
      <c r="I322" s="1717"/>
      <c r="J322" s="1720">
        <v>0</v>
      </c>
      <c r="K322" s="1865">
        <f>IF(J322=0,0,  J322*IF(G322="FD",1,POWER((1+'2. TaxData'!$I$65),(H322-'1. AgeData'!$D$31))))</f>
        <v>0</v>
      </c>
      <c r="L322" s="316"/>
      <c r="M322" s="1455"/>
      <c r="N322" s="316"/>
    </row>
    <row r="323" spans="1:14" s="306" customFormat="1" ht="12" x14ac:dyDescent="0.2">
      <c r="A323" s="1487">
        <v>31</v>
      </c>
      <c r="B323" s="1798" t="s">
        <v>1502</v>
      </c>
      <c r="C323" s="1901">
        <v>0</v>
      </c>
      <c r="D323" s="1717"/>
      <c r="E323" s="1683">
        <v>0</v>
      </c>
      <c r="F323" s="1213">
        <f>IF(E323=0,0,  E323*(IF(B323="FD",1,POWER((1+'2. TaxData'!$I$65),(C323-'1. AgeData'!$D$30)))))</f>
        <v>0</v>
      </c>
      <c r="G323" s="1798" t="s">
        <v>1502</v>
      </c>
      <c r="H323" s="1707">
        <v>0</v>
      </c>
      <c r="I323" s="1717"/>
      <c r="J323" s="1720">
        <v>0</v>
      </c>
      <c r="K323" s="1865">
        <f>IF(J323=0,0,  J323*IF(G323="FD",1,POWER((1+'2. TaxData'!$I$65),(H323-'1. AgeData'!$D$31))))</f>
        <v>0</v>
      </c>
      <c r="L323" s="316"/>
      <c r="M323" s="1455"/>
      <c r="N323" s="316"/>
    </row>
    <row r="324" spans="1:14" s="306" customFormat="1" ht="12" x14ac:dyDescent="0.2">
      <c r="A324" s="1487">
        <v>32</v>
      </c>
      <c r="B324" s="1798" t="s">
        <v>1502</v>
      </c>
      <c r="C324" s="1901">
        <v>0</v>
      </c>
      <c r="D324" s="1717"/>
      <c r="E324" s="1683">
        <v>0</v>
      </c>
      <c r="F324" s="1213">
        <f>IF(E324=0,0,  E324*(IF(B324="FD",1,POWER((1+'2. TaxData'!$I$65),(C324-'1. AgeData'!$D$30)))))</f>
        <v>0</v>
      </c>
      <c r="G324" s="1798" t="s">
        <v>1502</v>
      </c>
      <c r="H324" s="1707">
        <v>0</v>
      </c>
      <c r="I324" s="1717"/>
      <c r="J324" s="1720">
        <v>0</v>
      </c>
      <c r="K324" s="1865">
        <f>IF(J324=0,0,  J324*IF(G324="FD",1,POWER((1+'2. TaxData'!$I$65),(H324-'1. AgeData'!$D$31))))</f>
        <v>0</v>
      </c>
      <c r="L324" s="316"/>
      <c r="M324" s="1455"/>
      <c r="N324" s="316"/>
    </row>
    <row r="325" spans="1:14" s="306" customFormat="1" ht="12" x14ac:dyDescent="0.2">
      <c r="A325" s="1487">
        <v>33</v>
      </c>
      <c r="B325" s="1798" t="s">
        <v>1502</v>
      </c>
      <c r="C325" s="1901">
        <v>0</v>
      </c>
      <c r="D325" s="1717"/>
      <c r="E325" s="1683">
        <v>0</v>
      </c>
      <c r="F325" s="1213">
        <f>IF(E325=0,0,  E325*(IF(B325="FD",1,POWER((1+'2. TaxData'!$I$65),(C325-'1. AgeData'!$D$30)))))</f>
        <v>0</v>
      </c>
      <c r="G325" s="1798" t="s">
        <v>1502</v>
      </c>
      <c r="H325" s="1707">
        <v>0</v>
      </c>
      <c r="I325" s="1717"/>
      <c r="J325" s="1720">
        <v>0</v>
      </c>
      <c r="K325" s="1865">
        <f>IF(J325=0,0,  J325*IF(G325="FD",1,POWER((1+'2. TaxData'!$I$65),(H325-'1. AgeData'!$D$31))))</f>
        <v>0</v>
      </c>
      <c r="L325" s="316"/>
      <c r="M325" s="1455"/>
      <c r="N325" s="316"/>
    </row>
    <row r="326" spans="1:14" s="306" customFormat="1" ht="12" x14ac:dyDescent="0.2">
      <c r="A326" s="1487">
        <v>34</v>
      </c>
      <c r="B326" s="1798" t="s">
        <v>1502</v>
      </c>
      <c r="C326" s="1901">
        <v>0</v>
      </c>
      <c r="D326" s="1717"/>
      <c r="E326" s="1683">
        <v>0</v>
      </c>
      <c r="F326" s="1213">
        <f>IF(E326=0,0,  E326*(IF(B326="FD",1,POWER((1+'2. TaxData'!$I$65),(C326-'1. AgeData'!$D$30)))))</f>
        <v>0</v>
      </c>
      <c r="G326" s="1798" t="s">
        <v>1502</v>
      </c>
      <c r="H326" s="1707">
        <v>0</v>
      </c>
      <c r="I326" s="1717"/>
      <c r="J326" s="1720">
        <v>0</v>
      </c>
      <c r="K326" s="1865">
        <f>IF(J326=0,0,  J326*IF(G326="FD",1,POWER((1+'2. TaxData'!$I$65),(H326-'1. AgeData'!$D$31))))</f>
        <v>0</v>
      </c>
      <c r="L326" s="316"/>
      <c r="M326" s="1455"/>
      <c r="N326" s="316"/>
    </row>
    <row r="327" spans="1:14" s="306" customFormat="1" ht="12" x14ac:dyDescent="0.2">
      <c r="A327" s="1487">
        <v>35</v>
      </c>
      <c r="B327" s="1798" t="s">
        <v>1502</v>
      </c>
      <c r="C327" s="1901">
        <v>0</v>
      </c>
      <c r="D327" s="1717"/>
      <c r="E327" s="1683">
        <v>0</v>
      </c>
      <c r="F327" s="1213">
        <f>IF(E327=0,0,  E327*(IF(B327="FD",1,POWER((1+'2. TaxData'!$I$65),(C327-'1. AgeData'!$D$30)))))</f>
        <v>0</v>
      </c>
      <c r="G327" s="1798" t="s">
        <v>1502</v>
      </c>
      <c r="H327" s="1707">
        <v>0</v>
      </c>
      <c r="I327" s="1717"/>
      <c r="J327" s="1720">
        <v>0</v>
      </c>
      <c r="K327" s="1865">
        <f>IF(J327=0,0,  J327*IF(G327="FD",1,POWER((1+'2. TaxData'!$I$65),(H327-'1. AgeData'!$D$31))))</f>
        <v>0</v>
      </c>
      <c r="L327" s="316"/>
      <c r="M327" s="1455"/>
      <c r="N327" s="316"/>
    </row>
    <row r="328" spans="1:14" s="306" customFormat="1" ht="12" x14ac:dyDescent="0.2">
      <c r="A328" s="1487">
        <v>36</v>
      </c>
      <c r="B328" s="1798" t="s">
        <v>1502</v>
      </c>
      <c r="C328" s="1901">
        <v>0</v>
      </c>
      <c r="D328" s="1717"/>
      <c r="E328" s="1683">
        <v>0</v>
      </c>
      <c r="F328" s="1213">
        <f>IF(E328=0,0,  E328*(IF(B328="FD",1,POWER((1+'2. TaxData'!$I$65),(C328-'1. AgeData'!$D$30)))))</f>
        <v>0</v>
      </c>
      <c r="G328" s="1798" t="s">
        <v>1502</v>
      </c>
      <c r="H328" s="1707">
        <v>0</v>
      </c>
      <c r="I328" s="1717"/>
      <c r="J328" s="1720">
        <v>0</v>
      </c>
      <c r="K328" s="1865">
        <f>IF(J328=0,0,  J328*IF(G328="FD",1,POWER((1+'2. TaxData'!$I$65),(H328-'1. AgeData'!$D$31))))</f>
        <v>0</v>
      </c>
      <c r="L328" s="316"/>
      <c r="M328" s="1455"/>
      <c r="N328" s="316"/>
    </row>
    <row r="329" spans="1:14" s="306" customFormat="1" ht="12" x14ac:dyDescent="0.2">
      <c r="A329" s="1487">
        <v>37</v>
      </c>
      <c r="B329" s="1798" t="s">
        <v>1502</v>
      </c>
      <c r="C329" s="1901">
        <v>0</v>
      </c>
      <c r="D329" s="1717"/>
      <c r="E329" s="1683">
        <v>0</v>
      </c>
      <c r="F329" s="1213">
        <f>IF(E329=0,0,  E329*(IF(B329="FD",1,POWER((1+'2. TaxData'!$I$65),(C329-'1. AgeData'!$D$30)))))</f>
        <v>0</v>
      </c>
      <c r="G329" s="1798" t="s">
        <v>1502</v>
      </c>
      <c r="H329" s="1707">
        <v>0</v>
      </c>
      <c r="I329" s="1717"/>
      <c r="J329" s="1720">
        <v>0</v>
      </c>
      <c r="K329" s="1865">
        <f>IF(J329=0,0,  J329*IF(G329="FD",1,POWER((1+'2. TaxData'!$I$65),(H329-'1. AgeData'!$D$31))))</f>
        <v>0</v>
      </c>
      <c r="L329" s="316"/>
      <c r="M329" s="1455"/>
      <c r="N329" s="316"/>
    </row>
    <row r="330" spans="1:14" s="306" customFormat="1" ht="12" x14ac:dyDescent="0.2">
      <c r="A330" s="1487">
        <v>38</v>
      </c>
      <c r="B330" s="1798" t="s">
        <v>1502</v>
      </c>
      <c r="C330" s="1901">
        <v>0</v>
      </c>
      <c r="D330" s="1717"/>
      <c r="E330" s="1683">
        <v>0</v>
      </c>
      <c r="F330" s="1213">
        <f>IF(E330=0,0,  E330*(IF(B330="FD",1,POWER((1+'2. TaxData'!$I$65),(C330-'1. AgeData'!$D$30)))))</f>
        <v>0</v>
      </c>
      <c r="G330" s="1798" t="s">
        <v>1502</v>
      </c>
      <c r="H330" s="1707">
        <v>0</v>
      </c>
      <c r="I330" s="1717"/>
      <c r="J330" s="1720">
        <v>0</v>
      </c>
      <c r="K330" s="1865">
        <f>IF(J330=0,0,  J330*IF(G330="FD",1,POWER((1+'2. TaxData'!$I$65),(H330-'1. AgeData'!$D$31))))</f>
        <v>0</v>
      </c>
      <c r="L330" s="316"/>
      <c r="M330" s="1455"/>
      <c r="N330" s="316"/>
    </row>
    <row r="331" spans="1:14" s="306" customFormat="1" ht="12" x14ac:dyDescent="0.2">
      <c r="A331" s="1487">
        <v>39</v>
      </c>
      <c r="B331" s="1798" t="s">
        <v>1502</v>
      </c>
      <c r="C331" s="1901">
        <v>0</v>
      </c>
      <c r="D331" s="1717"/>
      <c r="E331" s="1683">
        <v>0</v>
      </c>
      <c r="F331" s="1213">
        <f>IF(E331=0,0,  E331*(IF(B331="FD",1,POWER((1+'2. TaxData'!$I$65),(C331-'1. AgeData'!$D$30)))))</f>
        <v>0</v>
      </c>
      <c r="G331" s="1798" t="s">
        <v>1502</v>
      </c>
      <c r="H331" s="1707">
        <v>0</v>
      </c>
      <c r="I331" s="1717"/>
      <c r="J331" s="1720">
        <v>0</v>
      </c>
      <c r="K331" s="1865">
        <f>IF(J331=0,0,  J331*IF(G331="FD",1,POWER((1+'2. TaxData'!$I$65),(H331-'1. AgeData'!$D$31))))</f>
        <v>0</v>
      </c>
      <c r="L331" s="316"/>
      <c r="M331" s="1455"/>
      <c r="N331" s="316"/>
    </row>
    <row r="332" spans="1:14" s="306" customFormat="1" ht="12" x14ac:dyDescent="0.2">
      <c r="A332" s="1487">
        <v>40</v>
      </c>
      <c r="B332" s="1798" t="s">
        <v>1502</v>
      </c>
      <c r="C332" s="1901">
        <v>0</v>
      </c>
      <c r="D332" s="1717"/>
      <c r="E332" s="1683">
        <v>0</v>
      </c>
      <c r="F332" s="1213">
        <f>IF(E332=0,0,  E332*(IF(B332="FD",1,POWER((1+'2. TaxData'!$I$65),(C332-'1. AgeData'!$D$30)))))</f>
        <v>0</v>
      </c>
      <c r="G332" s="1798" t="s">
        <v>1502</v>
      </c>
      <c r="H332" s="1707">
        <v>0</v>
      </c>
      <c r="I332" s="1717"/>
      <c r="J332" s="1720">
        <v>0</v>
      </c>
      <c r="K332" s="1865">
        <f>IF(J332=0,0,  J332*IF(G332="FD",1,POWER((1+'2. TaxData'!$I$65),(H332-'1. AgeData'!$D$31))))</f>
        <v>0</v>
      </c>
      <c r="L332" s="316"/>
      <c r="M332" s="1455"/>
      <c r="N332" s="316"/>
    </row>
    <row r="333" spans="1:14" s="306" customFormat="1" ht="12" x14ac:dyDescent="0.2">
      <c r="A333" s="1487">
        <v>41</v>
      </c>
      <c r="B333" s="1798" t="s">
        <v>1502</v>
      </c>
      <c r="C333" s="1901">
        <v>0</v>
      </c>
      <c r="D333" s="1717"/>
      <c r="E333" s="1683">
        <v>0</v>
      </c>
      <c r="F333" s="1213">
        <f>IF(E333=0,0,  E333*(IF(B333="FD",1,POWER((1+'2. TaxData'!$I$65),(C333-'1. AgeData'!$D$30)))))</f>
        <v>0</v>
      </c>
      <c r="G333" s="1798" t="s">
        <v>1502</v>
      </c>
      <c r="H333" s="1707">
        <v>0</v>
      </c>
      <c r="I333" s="1717"/>
      <c r="J333" s="1720">
        <v>0</v>
      </c>
      <c r="K333" s="1865">
        <f>IF(J333=0,0,  J333*IF(G333="FD",1,POWER((1+'2. TaxData'!$I$65),(H333-'1. AgeData'!$D$31))))</f>
        <v>0</v>
      </c>
      <c r="L333" s="316"/>
      <c r="M333" s="1455"/>
      <c r="N333" s="316"/>
    </row>
    <row r="334" spans="1:14" s="306" customFormat="1" ht="12" x14ac:dyDescent="0.2">
      <c r="A334" s="1487">
        <v>42</v>
      </c>
      <c r="B334" s="1798" t="s">
        <v>1502</v>
      </c>
      <c r="C334" s="1901">
        <v>0</v>
      </c>
      <c r="D334" s="1717"/>
      <c r="E334" s="1683">
        <v>0</v>
      </c>
      <c r="F334" s="1213">
        <f>IF(E334=0,0,  E334*(IF(B334="FD",1,POWER((1+'2. TaxData'!$I$65),(C334-'1. AgeData'!$D$30)))))</f>
        <v>0</v>
      </c>
      <c r="G334" s="1798" t="s">
        <v>1502</v>
      </c>
      <c r="H334" s="1707">
        <v>0</v>
      </c>
      <c r="I334" s="1717"/>
      <c r="J334" s="1720">
        <v>0</v>
      </c>
      <c r="K334" s="1865">
        <f>IF(J334=0,0,  J334*IF(G334="FD",1,POWER((1+'2. TaxData'!$I$65),(H334-'1. AgeData'!$D$31))))</f>
        <v>0</v>
      </c>
      <c r="L334" s="316"/>
      <c r="M334" s="1455"/>
      <c r="N334" s="316"/>
    </row>
    <row r="335" spans="1:14" s="306" customFormat="1" ht="12" x14ac:dyDescent="0.2">
      <c r="A335" s="1487">
        <v>43</v>
      </c>
      <c r="B335" s="1798" t="s">
        <v>1502</v>
      </c>
      <c r="C335" s="1901">
        <v>0</v>
      </c>
      <c r="D335" s="1717"/>
      <c r="E335" s="1683">
        <v>0</v>
      </c>
      <c r="F335" s="1213">
        <f>IF(E335=0,0,  E335*(IF(B335="FD",1,POWER((1+'2. TaxData'!$I$65),(C335-'1. AgeData'!$D$30)))))</f>
        <v>0</v>
      </c>
      <c r="G335" s="1798" t="s">
        <v>1502</v>
      </c>
      <c r="H335" s="1707">
        <v>0</v>
      </c>
      <c r="I335" s="1717"/>
      <c r="J335" s="1720">
        <v>0</v>
      </c>
      <c r="K335" s="1865">
        <f>IF(J335=0,0,  J335*IF(G335="FD",1,POWER((1+'2. TaxData'!$I$65),(H335-'1. AgeData'!$D$31))))</f>
        <v>0</v>
      </c>
      <c r="L335" s="316"/>
      <c r="M335" s="1455"/>
      <c r="N335" s="316"/>
    </row>
    <row r="336" spans="1:14" s="306" customFormat="1" ht="12" x14ac:dyDescent="0.2">
      <c r="A336" s="1487">
        <v>44</v>
      </c>
      <c r="B336" s="1798" t="s">
        <v>1502</v>
      </c>
      <c r="C336" s="1901">
        <v>0</v>
      </c>
      <c r="D336" s="1717"/>
      <c r="E336" s="1683">
        <v>0</v>
      </c>
      <c r="F336" s="1213">
        <f>IF(E336=0,0,  E336*(IF(B336="FD",1,POWER((1+'2. TaxData'!$I$65),(C336-'1. AgeData'!$D$30)))))</f>
        <v>0</v>
      </c>
      <c r="G336" s="1798" t="s">
        <v>1502</v>
      </c>
      <c r="H336" s="1707">
        <v>0</v>
      </c>
      <c r="I336" s="1717"/>
      <c r="J336" s="1720">
        <v>0</v>
      </c>
      <c r="K336" s="1865">
        <f>IF(J336=0,0,  J336*IF(G336="FD",1,POWER((1+'2. TaxData'!$I$65),(H336-'1. AgeData'!$D$31))))</f>
        <v>0</v>
      </c>
      <c r="L336" s="316"/>
      <c r="M336" s="1455"/>
      <c r="N336" s="316"/>
    </row>
    <row r="337" spans="1:14" s="306" customFormat="1" ht="12" x14ac:dyDescent="0.2">
      <c r="A337" s="1487">
        <v>45</v>
      </c>
      <c r="B337" s="1798" t="s">
        <v>1502</v>
      </c>
      <c r="C337" s="1901">
        <v>0</v>
      </c>
      <c r="D337" s="1717"/>
      <c r="E337" s="1683">
        <v>0</v>
      </c>
      <c r="F337" s="1213">
        <f>IF(E337=0,0,  E337*(IF(B337="FD",1,POWER((1+'2. TaxData'!$I$65),(C337-'1. AgeData'!$D$30)))))</f>
        <v>0</v>
      </c>
      <c r="G337" s="1798" t="s">
        <v>1502</v>
      </c>
      <c r="H337" s="1707">
        <v>0</v>
      </c>
      <c r="I337" s="1717"/>
      <c r="J337" s="1720">
        <v>0</v>
      </c>
      <c r="K337" s="1865">
        <f>IF(J337=0,0,  J337*IF(G337="FD",1,POWER((1+'2. TaxData'!$I$65),(H337-'1. AgeData'!$D$31))))</f>
        <v>0</v>
      </c>
      <c r="L337" s="316"/>
      <c r="M337" s="1455"/>
      <c r="N337" s="316"/>
    </row>
    <row r="338" spans="1:14" s="306" customFormat="1" ht="12" x14ac:dyDescent="0.2">
      <c r="A338" s="1487">
        <v>46</v>
      </c>
      <c r="B338" s="1798" t="s">
        <v>1502</v>
      </c>
      <c r="C338" s="1901">
        <v>0</v>
      </c>
      <c r="D338" s="1717"/>
      <c r="E338" s="1683">
        <v>0</v>
      </c>
      <c r="F338" s="1213">
        <f>IF(E338=0,0,  E338*(IF(B338="FD",1,POWER((1+'2. TaxData'!$I$65),(C338-'1. AgeData'!$D$30)))))</f>
        <v>0</v>
      </c>
      <c r="G338" s="1798" t="s">
        <v>1502</v>
      </c>
      <c r="H338" s="1707">
        <v>0</v>
      </c>
      <c r="I338" s="1717"/>
      <c r="J338" s="1720">
        <v>0</v>
      </c>
      <c r="K338" s="1865">
        <f>IF(J338=0,0,  J338*IF(G338="FD",1,POWER((1+'2. TaxData'!$I$65),(H338-'1. AgeData'!$D$31))))</f>
        <v>0</v>
      </c>
      <c r="L338" s="316"/>
      <c r="M338" s="1455"/>
      <c r="N338" s="316"/>
    </row>
    <row r="339" spans="1:14" s="306" customFormat="1" ht="12" x14ac:dyDescent="0.2">
      <c r="A339" s="1487">
        <v>47</v>
      </c>
      <c r="B339" s="1798" t="s">
        <v>1502</v>
      </c>
      <c r="C339" s="1901">
        <v>0</v>
      </c>
      <c r="D339" s="1717"/>
      <c r="E339" s="1683">
        <v>0</v>
      </c>
      <c r="F339" s="1213">
        <f>IF(E339=0,0,  E339*(IF(B339="FD",1,POWER((1+'2. TaxData'!$I$65),(C339-'1. AgeData'!$D$30)))))</f>
        <v>0</v>
      </c>
      <c r="G339" s="1798" t="s">
        <v>1502</v>
      </c>
      <c r="H339" s="1707">
        <v>0</v>
      </c>
      <c r="I339" s="1717"/>
      <c r="J339" s="1720">
        <v>0</v>
      </c>
      <c r="K339" s="1865">
        <f>IF(J339=0,0,  J339*IF(G339="FD",1,POWER((1+'2. TaxData'!$I$65),(H339-'1. AgeData'!$D$31))))</f>
        <v>0</v>
      </c>
      <c r="L339" s="316"/>
      <c r="M339" s="1455"/>
      <c r="N339" s="316"/>
    </row>
    <row r="340" spans="1:14" s="306" customFormat="1" ht="12" x14ac:dyDescent="0.2">
      <c r="A340" s="1487">
        <v>48</v>
      </c>
      <c r="B340" s="1798" t="s">
        <v>1502</v>
      </c>
      <c r="C340" s="1901">
        <v>0</v>
      </c>
      <c r="D340" s="1717"/>
      <c r="E340" s="1683">
        <v>0</v>
      </c>
      <c r="F340" s="1213">
        <f>IF(E340=0,0,  E340*(IF(B340="FD",1,POWER((1+'2. TaxData'!$I$65),(C340-'1. AgeData'!$D$30)))))</f>
        <v>0</v>
      </c>
      <c r="G340" s="1798" t="s">
        <v>1502</v>
      </c>
      <c r="H340" s="1707">
        <v>0</v>
      </c>
      <c r="I340" s="1717"/>
      <c r="J340" s="1720">
        <v>0</v>
      </c>
      <c r="K340" s="1865">
        <f>IF(J340=0,0,  J340*IF(G340="FD",1,POWER((1+'2. TaxData'!$I$65),(H340-'1. AgeData'!$D$31))))</f>
        <v>0</v>
      </c>
      <c r="L340" s="316"/>
      <c r="M340" s="1455"/>
      <c r="N340" s="316"/>
    </row>
    <row r="341" spans="1:14" s="306" customFormat="1" ht="12" x14ac:dyDescent="0.2">
      <c r="A341" s="1487">
        <v>49</v>
      </c>
      <c r="B341" s="1798" t="s">
        <v>1502</v>
      </c>
      <c r="C341" s="1901">
        <v>0</v>
      </c>
      <c r="D341" s="1717"/>
      <c r="E341" s="1683">
        <v>0</v>
      </c>
      <c r="F341" s="1213">
        <f>IF(E341=0,0,  E341*(IF(B341="FD",1,POWER((1+'2. TaxData'!$I$65),(C341-'1. AgeData'!$D$30)))))</f>
        <v>0</v>
      </c>
      <c r="G341" s="1798" t="s">
        <v>1502</v>
      </c>
      <c r="H341" s="1707">
        <v>0</v>
      </c>
      <c r="I341" s="1717"/>
      <c r="J341" s="1720">
        <v>0</v>
      </c>
      <c r="K341" s="1865">
        <f>IF(J341=0,0,  J341*IF(G341="FD",1,POWER((1+'2. TaxData'!$I$65),(H341-'1. AgeData'!$D$31))))</f>
        <v>0</v>
      </c>
      <c r="L341" s="316"/>
      <c r="M341" s="1455"/>
      <c r="N341" s="316"/>
    </row>
    <row r="342" spans="1:14" s="306" customFormat="1" ht="12" x14ac:dyDescent="0.2">
      <c r="A342" s="1487">
        <v>50</v>
      </c>
      <c r="B342" s="1798" t="s">
        <v>1502</v>
      </c>
      <c r="C342" s="1901">
        <v>0</v>
      </c>
      <c r="D342" s="1717"/>
      <c r="E342" s="1683">
        <v>0</v>
      </c>
      <c r="F342" s="1213">
        <f>IF(E342=0,0,  E342*(IF(B342="FD",1,POWER((1+'2. TaxData'!$I$65),(C342-'1. AgeData'!$D$30)))))</f>
        <v>0</v>
      </c>
      <c r="G342" s="1798" t="s">
        <v>1502</v>
      </c>
      <c r="H342" s="1707">
        <v>0</v>
      </c>
      <c r="I342" s="1717"/>
      <c r="J342" s="1720">
        <v>0</v>
      </c>
      <c r="K342" s="1865">
        <f>IF(J342=0,0,  J342*IF(G342="FD",1,POWER((1+'2. TaxData'!$I$65),(H342-'1. AgeData'!$D$31))))</f>
        <v>0</v>
      </c>
      <c r="L342" s="316"/>
      <c r="M342" s="1455"/>
      <c r="N342" s="316"/>
    </row>
    <row r="343" spans="1:14" s="306" customFormat="1" ht="12" x14ac:dyDescent="0.2">
      <c r="A343" s="1487">
        <v>51</v>
      </c>
      <c r="B343" s="1798" t="s">
        <v>1502</v>
      </c>
      <c r="C343" s="1901">
        <v>0</v>
      </c>
      <c r="D343" s="1717"/>
      <c r="E343" s="1683">
        <v>0</v>
      </c>
      <c r="F343" s="1213">
        <f>IF(E343=0,0,  E343*(IF(B343="FD",1,POWER((1+'2. TaxData'!$I$65),(C343-'1. AgeData'!$D$30)))))</f>
        <v>0</v>
      </c>
      <c r="G343" s="1798" t="s">
        <v>1502</v>
      </c>
      <c r="H343" s="1707">
        <v>0</v>
      </c>
      <c r="I343" s="1717"/>
      <c r="J343" s="1720">
        <v>0</v>
      </c>
      <c r="K343" s="1865">
        <f>IF(J343=0,0,  J343*IF(G343="FD",1,POWER((1+'2. TaxData'!$I$65),(H343-'1. AgeData'!$D$31))))</f>
        <v>0</v>
      </c>
      <c r="L343" s="316"/>
      <c r="M343" s="1455"/>
      <c r="N343" s="316"/>
    </row>
    <row r="344" spans="1:14" s="306" customFormat="1" ht="12" x14ac:dyDescent="0.2">
      <c r="A344" s="1487">
        <v>52</v>
      </c>
      <c r="B344" s="1798" t="s">
        <v>1502</v>
      </c>
      <c r="C344" s="1901">
        <v>0</v>
      </c>
      <c r="D344" s="1717"/>
      <c r="E344" s="1683">
        <v>0</v>
      </c>
      <c r="F344" s="1213">
        <f>IF(E344=0,0,  E344*(IF(B344="FD",1,POWER((1+'2. TaxData'!$I$65),(C344-'1. AgeData'!$D$30)))))</f>
        <v>0</v>
      </c>
      <c r="G344" s="1798" t="s">
        <v>1502</v>
      </c>
      <c r="H344" s="1707">
        <v>0</v>
      </c>
      <c r="I344" s="1717"/>
      <c r="J344" s="1720">
        <v>0</v>
      </c>
      <c r="K344" s="1865">
        <f>IF(J344=0,0,  J344*IF(G344="FD",1,POWER((1+'2. TaxData'!$I$65),(H344-'1. AgeData'!$D$31))))</f>
        <v>0</v>
      </c>
      <c r="L344" s="316"/>
      <c r="M344" s="1455"/>
      <c r="N344" s="316"/>
    </row>
    <row r="345" spans="1:14" s="306" customFormat="1" ht="12" x14ac:dyDescent="0.2">
      <c r="A345" s="1487">
        <v>53</v>
      </c>
      <c r="B345" s="1798" t="s">
        <v>1502</v>
      </c>
      <c r="C345" s="1901">
        <v>0</v>
      </c>
      <c r="D345" s="1717"/>
      <c r="E345" s="1683">
        <v>0</v>
      </c>
      <c r="F345" s="1213">
        <f>IF(E345=0,0,  E345*(IF(B345="FD",1,POWER((1+'2. TaxData'!$I$65),(C345-'1. AgeData'!$D$30)))))</f>
        <v>0</v>
      </c>
      <c r="G345" s="1798" t="s">
        <v>1502</v>
      </c>
      <c r="H345" s="1707">
        <v>0</v>
      </c>
      <c r="I345" s="1717"/>
      <c r="J345" s="1720">
        <v>0</v>
      </c>
      <c r="K345" s="1865">
        <f>IF(J345=0,0,  J345*IF(G345="FD",1,POWER((1+'2. TaxData'!$I$65),(H345-'1. AgeData'!$D$31))))</f>
        <v>0</v>
      </c>
      <c r="L345" s="316"/>
      <c r="M345" s="1455"/>
      <c r="N345" s="316"/>
    </row>
    <row r="346" spans="1:14" s="306" customFormat="1" ht="12" x14ac:dyDescent="0.2">
      <c r="A346" s="1487">
        <v>54</v>
      </c>
      <c r="B346" s="1798" t="s">
        <v>1502</v>
      </c>
      <c r="C346" s="1901">
        <v>0</v>
      </c>
      <c r="D346" s="1717"/>
      <c r="E346" s="1683">
        <v>0</v>
      </c>
      <c r="F346" s="1213">
        <f>IF(E346=0,0,  E346*(IF(B346="FD",1,POWER((1+'2. TaxData'!$I$65),(C346-'1. AgeData'!$D$30)))))</f>
        <v>0</v>
      </c>
      <c r="G346" s="1798" t="s">
        <v>1502</v>
      </c>
      <c r="H346" s="1707">
        <v>0</v>
      </c>
      <c r="I346" s="1717"/>
      <c r="J346" s="1720">
        <v>0</v>
      </c>
      <c r="K346" s="1865">
        <f>IF(J346=0,0,  J346*IF(G346="FD",1,POWER((1+'2. TaxData'!$I$65),(H346-'1. AgeData'!$D$31))))</f>
        <v>0</v>
      </c>
      <c r="L346" s="316"/>
      <c r="M346" s="1455"/>
      <c r="N346" s="316"/>
    </row>
    <row r="347" spans="1:14" s="306" customFormat="1" ht="12" x14ac:dyDescent="0.2">
      <c r="A347" s="1487">
        <v>55</v>
      </c>
      <c r="B347" s="1798" t="s">
        <v>1502</v>
      </c>
      <c r="C347" s="1901">
        <v>0</v>
      </c>
      <c r="D347" s="1717"/>
      <c r="E347" s="1683">
        <v>0</v>
      </c>
      <c r="F347" s="1213">
        <f>IF(E347=0,0,  E347*(IF(B347="FD",1,POWER((1+'2. TaxData'!$I$65),(C347-'1. AgeData'!$D$30)))))</f>
        <v>0</v>
      </c>
      <c r="G347" s="1798" t="s">
        <v>1502</v>
      </c>
      <c r="H347" s="1707">
        <v>0</v>
      </c>
      <c r="I347" s="1717"/>
      <c r="J347" s="1720">
        <v>0</v>
      </c>
      <c r="K347" s="1865">
        <f>IF(J347=0,0,  J347*IF(G347="FD",1,POWER((1+'2. TaxData'!$I$65),(H347-'1. AgeData'!$D$31))))</f>
        <v>0</v>
      </c>
      <c r="L347" s="316"/>
      <c r="M347" s="1455"/>
      <c r="N347" s="316"/>
    </row>
    <row r="348" spans="1:14" s="306" customFormat="1" ht="12" x14ac:dyDescent="0.2">
      <c r="A348" s="1487">
        <v>56</v>
      </c>
      <c r="B348" s="1798" t="s">
        <v>1502</v>
      </c>
      <c r="C348" s="1901">
        <v>0</v>
      </c>
      <c r="D348" s="1717"/>
      <c r="E348" s="1683">
        <v>0</v>
      </c>
      <c r="F348" s="1213">
        <f>IF(E348=0,0,  E348*(IF(B348="FD",1,POWER((1+'2. TaxData'!$I$65),(C348-'1. AgeData'!$D$30)))))</f>
        <v>0</v>
      </c>
      <c r="G348" s="1798" t="s">
        <v>1502</v>
      </c>
      <c r="H348" s="1707">
        <v>0</v>
      </c>
      <c r="I348" s="1717"/>
      <c r="J348" s="1720">
        <v>0</v>
      </c>
      <c r="K348" s="1865">
        <f>IF(J348=0,0,  J348*IF(G348="FD",1,POWER((1+'2. TaxData'!$I$65),(H348-'1. AgeData'!$D$31))))</f>
        <v>0</v>
      </c>
      <c r="L348" s="316"/>
      <c r="M348" s="1455"/>
      <c r="N348" s="316"/>
    </row>
    <row r="349" spans="1:14" s="306" customFormat="1" ht="12" x14ac:dyDescent="0.2">
      <c r="A349" s="1487">
        <v>57</v>
      </c>
      <c r="B349" s="1798" t="s">
        <v>1502</v>
      </c>
      <c r="C349" s="1901">
        <v>0</v>
      </c>
      <c r="D349" s="1717"/>
      <c r="E349" s="1683">
        <v>0</v>
      </c>
      <c r="F349" s="1213">
        <f>IF(E349=0,0,  E349*(IF(B349="FD",1,POWER((1+'2. TaxData'!$I$65),(C349-'1. AgeData'!$D$30)))))</f>
        <v>0</v>
      </c>
      <c r="G349" s="1798" t="s">
        <v>1502</v>
      </c>
      <c r="H349" s="1707">
        <v>0</v>
      </c>
      <c r="I349" s="1717"/>
      <c r="J349" s="1720">
        <v>0</v>
      </c>
      <c r="K349" s="1865">
        <f>IF(J349=0,0,  J349*IF(G349="FD",1,POWER((1+'2. TaxData'!$I$65),(H349-'1. AgeData'!$D$31))))</f>
        <v>0</v>
      </c>
      <c r="L349" s="316"/>
      <c r="M349" s="1455"/>
      <c r="N349" s="316"/>
    </row>
    <row r="350" spans="1:14" s="306" customFormat="1" ht="12" x14ac:dyDescent="0.2">
      <c r="A350" s="1487">
        <v>58</v>
      </c>
      <c r="B350" s="1798" t="s">
        <v>1502</v>
      </c>
      <c r="C350" s="1901">
        <v>0</v>
      </c>
      <c r="D350" s="1717"/>
      <c r="E350" s="1683">
        <v>0</v>
      </c>
      <c r="F350" s="1213">
        <f>IF(E350=0,0,  E350*(IF(B350="FD",1,POWER((1+'2. TaxData'!$I$65),(C350-'1. AgeData'!$D$30)))))</f>
        <v>0</v>
      </c>
      <c r="G350" s="1798" t="s">
        <v>1502</v>
      </c>
      <c r="H350" s="1707">
        <v>0</v>
      </c>
      <c r="I350" s="1717"/>
      <c r="J350" s="1720">
        <v>0</v>
      </c>
      <c r="K350" s="1865">
        <f>IF(J350=0,0,  J350*IF(G350="FD",1,POWER((1+'2. TaxData'!$I$65),(H350-'1. AgeData'!$D$31))))</f>
        <v>0</v>
      </c>
      <c r="L350" s="316"/>
      <c r="M350" s="1455"/>
      <c r="N350" s="316"/>
    </row>
    <row r="351" spans="1:14" s="306" customFormat="1" ht="12" x14ac:dyDescent="0.2">
      <c r="A351" s="1487">
        <v>59</v>
      </c>
      <c r="B351" s="1798" t="s">
        <v>1502</v>
      </c>
      <c r="C351" s="1901">
        <v>0</v>
      </c>
      <c r="D351" s="1717"/>
      <c r="E351" s="1683">
        <v>0</v>
      </c>
      <c r="F351" s="1213">
        <f>IF(E351=0,0,  E351*(IF(B351="FD",1,POWER((1+'2. TaxData'!$I$65),(C351-'1. AgeData'!$D$30)))))</f>
        <v>0</v>
      </c>
      <c r="G351" s="1798" t="s">
        <v>1502</v>
      </c>
      <c r="H351" s="1707">
        <v>0</v>
      </c>
      <c r="I351" s="1717"/>
      <c r="J351" s="1720">
        <v>0</v>
      </c>
      <c r="K351" s="1865">
        <f>IF(J351=0,0,  J351*IF(G351="FD",1,POWER((1+'2. TaxData'!$I$65),(H351-'1. AgeData'!$D$31))))</f>
        <v>0</v>
      </c>
      <c r="L351" s="316"/>
      <c r="M351" s="1455"/>
      <c r="N351" s="316"/>
    </row>
    <row r="352" spans="1:14" s="306" customFormat="1" ht="12" x14ac:dyDescent="0.2">
      <c r="A352" s="1487">
        <v>60</v>
      </c>
      <c r="B352" s="1798" t="s">
        <v>1502</v>
      </c>
      <c r="C352" s="1901">
        <v>0</v>
      </c>
      <c r="D352" s="1717"/>
      <c r="E352" s="1683">
        <v>0</v>
      </c>
      <c r="F352" s="1213">
        <f>IF(E352=0,0,  E352*(IF(B352="FD",1,POWER((1+'2. TaxData'!$I$65),(C352-'1. AgeData'!$D$30)))))</f>
        <v>0</v>
      </c>
      <c r="G352" s="1798" t="s">
        <v>1502</v>
      </c>
      <c r="H352" s="1707">
        <v>0</v>
      </c>
      <c r="I352" s="1717"/>
      <c r="J352" s="1720">
        <v>0</v>
      </c>
      <c r="K352" s="1865">
        <f>IF(J352=0,0,  J352*IF(G352="FD",1,POWER((1+'2. TaxData'!$I$65),(H352-'1. AgeData'!$D$31))))</f>
        <v>0</v>
      </c>
      <c r="L352" s="316"/>
      <c r="M352" s="1455"/>
      <c r="N352" s="316"/>
    </row>
    <row r="353" spans="1:14" s="306" customFormat="1" ht="12" x14ac:dyDescent="0.2">
      <c r="A353" s="1487">
        <v>61</v>
      </c>
      <c r="B353" s="1798" t="s">
        <v>1502</v>
      </c>
      <c r="C353" s="1901">
        <v>0</v>
      </c>
      <c r="D353" s="1717"/>
      <c r="E353" s="1683">
        <v>0</v>
      </c>
      <c r="F353" s="1213">
        <f>IF(E353=0,0,  E353*(IF(B353="FD",1,POWER((1+'2. TaxData'!$I$65),(C353-'1. AgeData'!$D$30)))))</f>
        <v>0</v>
      </c>
      <c r="G353" s="1798" t="s">
        <v>1502</v>
      </c>
      <c r="H353" s="1707">
        <v>0</v>
      </c>
      <c r="I353" s="1717"/>
      <c r="J353" s="1720">
        <v>0</v>
      </c>
      <c r="K353" s="1865">
        <f>IF(J353=0,0,  J353*IF(G353="FD",1,POWER((1+'2. TaxData'!$I$65),(H353-'1. AgeData'!$D$31))))</f>
        <v>0</v>
      </c>
      <c r="L353" s="316"/>
      <c r="M353" s="1455"/>
      <c r="N353" s="316"/>
    </row>
    <row r="354" spans="1:14" s="306" customFormat="1" ht="12" x14ac:dyDescent="0.2">
      <c r="A354" s="1487">
        <v>62</v>
      </c>
      <c r="B354" s="1798" t="s">
        <v>1502</v>
      </c>
      <c r="C354" s="1901">
        <v>0</v>
      </c>
      <c r="D354" s="1717"/>
      <c r="E354" s="1683">
        <v>0</v>
      </c>
      <c r="F354" s="1213">
        <f>IF(E354=0,0,  E354*(IF(B354="FD",1,POWER((1+'2. TaxData'!$I$65),(C354-'1. AgeData'!$D$30)))))</f>
        <v>0</v>
      </c>
      <c r="G354" s="1798" t="s">
        <v>1502</v>
      </c>
      <c r="H354" s="1707">
        <v>0</v>
      </c>
      <c r="I354" s="1717"/>
      <c r="J354" s="1720">
        <v>0</v>
      </c>
      <c r="K354" s="1865">
        <f>IF(J354=0,0,  J354*IF(G354="FD",1,POWER((1+'2. TaxData'!$I$65),(H354-'1. AgeData'!$D$31))))</f>
        <v>0</v>
      </c>
      <c r="L354" s="316"/>
      <c r="M354" s="1455"/>
      <c r="N354" s="316"/>
    </row>
    <row r="355" spans="1:14" s="306" customFormat="1" ht="12" x14ac:dyDescent="0.2">
      <c r="A355" s="1487">
        <v>63</v>
      </c>
      <c r="B355" s="1798" t="s">
        <v>1502</v>
      </c>
      <c r="C355" s="1901">
        <v>0</v>
      </c>
      <c r="D355" s="1717"/>
      <c r="E355" s="1683">
        <v>0</v>
      </c>
      <c r="F355" s="1213">
        <f>IF(E355=0,0,  E355*(IF(B355="FD",1,POWER((1+'2. TaxData'!$I$65),(C355-'1. AgeData'!$D$30)))))</f>
        <v>0</v>
      </c>
      <c r="G355" s="1798" t="s">
        <v>1502</v>
      </c>
      <c r="H355" s="1707">
        <v>0</v>
      </c>
      <c r="I355" s="1717"/>
      <c r="J355" s="1720">
        <v>0</v>
      </c>
      <c r="K355" s="1865">
        <f>IF(J355=0,0,  J355*IF(G355="FD",1,POWER((1+'2. TaxData'!$I$65),(H355-'1. AgeData'!$D$31))))</f>
        <v>0</v>
      </c>
      <c r="L355" s="316"/>
      <c r="M355" s="1455"/>
      <c r="N355" s="316"/>
    </row>
    <row r="356" spans="1:14" s="306" customFormat="1" ht="12" x14ac:dyDescent="0.2">
      <c r="A356" s="1487">
        <v>64</v>
      </c>
      <c r="B356" s="1798" t="s">
        <v>1502</v>
      </c>
      <c r="C356" s="1901">
        <v>0</v>
      </c>
      <c r="D356" s="1717"/>
      <c r="E356" s="1683">
        <v>0</v>
      </c>
      <c r="F356" s="1213">
        <f>IF(E356=0,0,  E356*(IF(B356="FD",1,POWER((1+'2. TaxData'!$I$65),(C356-'1. AgeData'!$D$30)))))</f>
        <v>0</v>
      </c>
      <c r="G356" s="1798" t="s">
        <v>1502</v>
      </c>
      <c r="H356" s="1707">
        <v>0</v>
      </c>
      <c r="I356" s="1717"/>
      <c r="J356" s="1720">
        <v>0</v>
      </c>
      <c r="K356" s="1865">
        <f>IF(J356=0,0,  J356*IF(G356="FD",1,POWER((1+'2. TaxData'!$I$65),(H356-'1. AgeData'!$D$31))))</f>
        <v>0</v>
      </c>
      <c r="L356" s="316"/>
      <c r="M356" s="1455"/>
      <c r="N356" s="316"/>
    </row>
    <row r="357" spans="1:14" s="306" customFormat="1" ht="12" x14ac:dyDescent="0.2">
      <c r="A357" s="1487">
        <v>65</v>
      </c>
      <c r="B357" s="1798" t="s">
        <v>1502</v>
      </c>
      <c r="C357" s="1901">
        <v>0</v>
      </c>
      <c r="D357" s="1717"/>
      <c r="E357" s="1683">
        <v>0</v>
      </c>
      <c r="F357" s="1213">
        <f>IF(E357=0,0,  E357*(IF(B357="FD",1,POWER((1+'2. TaxData'!$I$65),(C357-'1. AgeData'!$D$30)))))</f>
        <v>0</v>
      </c>
      <c r="G357" s="1798" t="s">
        <v>1502</v>
      </c>
      <c r="H357" s="1707">
        <v>0</v>
      </c>
      <c r="I357" s="1717"/>
      <c r="J357" s="1720">
        <v>0</v>
      </c>
      <c r="K357" s="1865">
        <f>IF(J357=0,0,  J357*IF(G357="FD",1,POWER((1+'2. TaxData'!$I$65),(H357-'1. AgeData'!$D$31))))</f>
        <v>0</v>
      </c>
      <c r="L357" s="316"/>
      <c r="M357" s="1455"/>
      <c r="N357" s="316"/>
    </row>
    <row r="358" spans="1:14" s="306" customFormat="1" ht="12" x14ac:dyDescent="0.2">
      <c r="A358" s="1487">
        <v>66</v>
      </c>
      <c r="B358" s="1798" t="s">
        <v>1502</v>
      </c>
      <c r="C358" s="1901">
        <v>0</v>
      </c>
      <c r="D358" s="1717"/>
      <c r="E358" s="1683">
        <v>0</v>
      </c>
      <c r="F358" s="1213">
        <f>IF(E358=0,0,  E358*(IF(B358="FD",1,POWER((1+'2. TaxData'!$I$65),(C358-'1. AgeData'!$D$30)))))</f>
        <v>0</v>
      </c>
      <c r="G358" s="1798" t="s">
        <v>1502</v>
      </c>
      <c r="H358" s="1707">
        <v>0</v>
      </c>
      <c r="I358" s="1717"/>
      <c r="J358" s="1720">
        <v>0</v>
      </c>
      <c r="K358" s="1865">
        <f>IF(J358=0,0,  J358*IF(G358="FD",1,POWER((1+'2. TaxData'!$I$65),(H358-'1. AgeData'!$D$31))))</f>
        <v>0</v>
      </c>
      <c r="L358" s="316"/>
      <c r="M358" s="1455"/>
      <c r="N358" s="316"/>
    </row>
    <row r="359" spans="1:14" s="306" customFormat="1" ht="12" x14ac:dyDescent="0.2">
      <c r="A359" s="1487">
        <v>67</v>
      </c>
      <c r="B359" s="1798" t="s">
        <v>1502</v>
      </c>
      <c r="C359" s="1901">
        <v>0</v>
      </c>
      <c r="D359" s="1717"/>
      <c r="E359" s="1683">
        <v>0</v>
      </c>
      <c r="F359" s="1213">
        <f>IF(E359=0,0,  E359*(IF(B359="FD",1,POWER((1+'2. TaxData'!$I$65),(C359-'1. AgeData'!$D$30)))))</f>
        <v>0</v>
      </c>
      <c r="G359" s="1798" t="s">
        <v>1502</v>
      </c>
      <c r="H359" s="1707">
        <v>0</v>
      </c>
      <c r="I359" s="1717"/>
      <c r="J359" s="1720">
        <v>0</v>
      </c>
      <c r="K359" s="1865">
        <f>IF(J359=0,0,  J359*IF(G359="FD",1,POWER((1+'2. TaxData'!$I$65),(H359-'1. AgeData'!$D$31))))</f>
        <v>0</v>
      </c>
      <c r="L359" s="316"/>
      <c r="M359" s="1455"/>
      <c r="N359" s="316"/>
    </row>
    <row r="360" spans="1:14" s="306" customFormat="1" ht="12" x14ac:dyDescent="0.2">
      <c r="A360" s="1487">
        <v>68</v>
      </c>
      <c r="B360" s="1798" t="s">
        <v>1502</v>
      </c>
      <c r="C360" s="1901">
        <v>0</v>
      </c>
      <c r="D360" s="1717"/>
      <c r="E360" s="1683">
        <v>0</v>
      </c>
      <c r="F360" s="1213">
        <f>IF(E360=0,0,  E360*(IF(B360="FD",1,POWER((1+'2. TaxData'!$I$65),(C360-'1. AgeData'!$D$30)))))</f>
        <v>0</v>
      </c>
      <c r="G360" s="1798" t="s">
        <v>1502</v>
      </c>
      <c r="H360" s="1707">
        <v>0</v>
      </c>
      <c r="I360" s="1717"/>
      <c r="J360" s="1720">
        <v>0</v>
      </c>
      <c r="K360" s="1865">
        <f>IF(J360=0,0,  J360*IF(G360="FD",1,POWER((1+'2. TaxData'!$I$65),(H360-'1. AgeData'!$D$31))))</f>
        <v>0</v>
      </c>
      <c r="L360" s="316"/>
      <c r="M360" s="1455"/>
      <c r="N360" s="316"/>
    </row>
    <row r="361" spans="1:14" s="306" customFormat="1" ht="12" x14ac:dyDescent="0.2">
      <c r="A361" s="1487">
        <v>69</v>
      </c>
      <c r="B361" s="1798" t="s">
        <v>1502</v>
      </c>
      <c r="C361" s="1901">
        <v>0</v>
      </c>
      <c r="D361" s="1717"/>
      <c r="E361" s="1683">
        <v>0</v>
      </c>
      <c r="F361" s="1213">
        <f>IF(E361=0,0,  E361*(IF(B361="FD",1,POWER((1+'2. TaxData'!$I$65),(C361-'1. AgeData'!$D$30)))))</f>
        <v>0</v>
      </c>
      <c r="G361" s="1798" t="s">
        <v>1502</v>
      </c>
      <c r="H361" s="1707">
        <v>0</v>
      </c>
      <c r="I361" s="1717"/>
      <c r="J361" s="1720">
        <v>0</v>
      </c>
      <c r="K361" s="1865">
        <f>IF(J361=0,0,  J361*IF(G361="FD",1,POWER((1+'2. TaxData'!$I$65),(H361-'1. AgeData'!$D$31))))</f>
        <v>0</v>
      </c>
      <c r="L361" s="316"/>
      <c r="M361" s="1455"/>
      <c r="N361" s="316"/>
    </row>
    <row r="362" spans="1:14" s="306" customFormat="1" ht="12" x14ac:dyDescent="0.2">
      <c r="A362" s="1487">
        <v>70</v>
      </c>
      <c r="B362" s="1798" t="s">
        <v>1502</v>
      </c>
      <c r="C362" s="1901">
        <v>0</v>
      </c>
      <c r="D362" s="1717"/>
      <c r="E362" s="1683">
        <v>0</v>
      </c>
      <c r="F362" s="1213">
        <f>IF(E362=0,0,  E362*(IF(B362="FD",1,POWER((1+'2. TaxData'!$I$65),(C362-'1. AgeData'!$D$30)))))</f>
        <v>0</v>
      </c>
      <c r="G362" s="1798" t="s">
        <v>1502</v>
      </c>
      <c r="H362" s="1707">
        <v>0</v>
      </c>
      <c r="I362" s="1717"/>
      <c r="J362" s="1720">
        <v>0</v>
      </c>
      <c r="K362" s="1865">
        <f>IF(J362=0,0,  J362*IF(G362="FD",1,POWER((1+'2. TaxData'!$I$65),(H362-'1. AgeData'!$D$31))))</f>
        <v>0</v>
      </c>
      <c r="L362" s="316"/>
      <c r="M362" s="1455"/>
      <c r="N362" s="316"/>
    </row>
    <row r="363" spans="1:14" s="306" customFormat="1" ht="12" x14ac:dyDescent="0.2">
      <c r="A363" s="1487">
        <v>71</v>
      </c>
      <c r="B363" s="1798" t="s">
        <v>1502</v>
      </c>
      <c r="C363" s="1901">
        <v>0</v>
      </c>
      <c r="D363" s="1717"/>
      <c r="E363" s="1683">
        <v>0</v>
      </c>
      <c r="F363" s="1213">
        <f>IF(E363=0,0,  E363*(IF(B363="FD",1,POWER((1+'2. TaxData'!$I$65),(C363-'1. AgeData'!$D$30)))))</f>
        <v>0</v>
      </c>
      <c r="G363" s="1798" t="s">
        <v>1502</v>
      </c>
      <c r="H363" s="1707">
        <v>0</v>
      </c>
      <c r="I363" s="1717"/>
      <c r="J363" s="1720">
        <v>0</v>
      </c>
      <c r="K363" s="1865">
        <f>IF(J363=0,0,  J363*IF(G363="FD",1,POWER((1+'2. TaxData'!$I$65),(H363-'1. AgeData'!$D$31))))</f>
        <v>0</v>
      </c>
      <c r="L363" s="316"/>
      <c r="M363" s="1455"/>
      <c r="N363" s="316"/>
    </row>
    <row r="364" spans="1:14" s="306" customFormat="1" ht="12" x14ac:dyDescent="0.2">
      <c r="A364" s="1487">
        <v>72</v>
      </c>
      <c r="B364" s="1798" t="s">
        <v>1502</v>
      </c>
      <c r="C364" s="1901">
        <v>0</v>
      </c>
      <c r="D364" s="1717"/>
      <c r="E364" s="1683">
        <v>0</v>
      </c>
      <c r="F364" s="1213">
        <f>IF(E364=0,0,  E364*(IF(B364="FD",1,POWER((1+'2. TaxData'!$I$65),(C364-'1. AgeData'!$D$30)))))</f>
        <v>0</v>
      </c>
      <c r="G364" s="1798" t="s">
        <v>1502</v>
      </c>
      <c r="H364" s="1707">
        <v>0</v>
      </c>
      <c r="I364" s="1717"/>
      <c r="J364" s="1720">
        <v>0</v>
      </c>
      <c r="K364" s="1865">
        <f>IF(J364=0,0,  J364*IF(G364="FD",1,POWER((1+'2. TaxData'!$I$65),(H364-'1. AgeData'!$D$31))))</f>
        <v>0</v>
      </c>
      <c r="L364" s="316"/>
      <c r="M364" s="1455"/>
      <c r="N364" s="316"/>
    </row>
    <row r="365" spans="1:14" s="306" customFormat="1" ht="12" x14ac:dyDescent="0.2">
      <c r="A365" s="1487">
        <v>73</v>
      </c>
      <c r="B365" s="1798" t="s">
        <v>1502</v>
      </c>
      <c r="C365" s="1901">
        <v>0</v>
      </c>
      <c r="D365" s="1717"/>
      <c r="E365" s="1683">
        <v>0</v>
      </c>
      <c r="F365" s="1213">
        <f>IF(E365=0,0,  E365*(IF(B365="FD",1,POWER((1+'2. TaxData'!$I$65),(C365-'1. AgeData'!$D$30)))))</f>
        <v>0</v>
      </c>
      <c r="G365" s="1798" t="s">
        <v>1502</v>
      </c>
      <c r="H365" s="1707">
        <v>0</v>
      </c>
      <c r="I365" s="1717"/>
      <c r="J365" s="1720">
        <v>0</v>
      </c>
      <c r="K365" s="1865">
        <f>IF(J365=0,0,  J365*IF(G365="FD",1,POWER((1+'2. TaxData'!$I$65),(H365-'1. AgeData'!$D$31))))</f>
        <v>0</v>
      </c>
      <c r="L365" s="316"/>
      <c r="M365" s="1455"/>
      <c r="N365" s="316"/>
    </row>
    <row r="366" spans="1:14" s="306" customFormat="1" ht="12" x14ac:dyDescent="0.2">
      <c r="A366" s="1487">
        <v>74</v>
      </c>
      <c r="B366" s="1798" t="s">
        <v>1502</v>
      </c>
      <c r="C366" s="1901">
        <v>0</v>
      </c>
      <c r="D366" s="1717"/>
      <c r="E366" s="1683">
        <v>0</v>
      </c>
      <c r="F366" s="1213">
        <f>IF(E366=0,0,  E366*(IF(B366="FD",1,POWER((1+'2. TaxData'!$I$65),(C366-'1. AgeData'!$D$30)))))</f>
        <v>0</v>
      </c>
      <c r="G366" s="1798" t="s">
        <v>1502</v>
      </c>
      <c r="H366" s="1707">
        <v>0</v>
      </c>
      <c r="I366" s="1717"/>
      <c r="J366" s="1720">
        <v>0</v>
      </c>
      <c r="K366" s="1865">
        <f>IF(J366=0,0,  J366*IF(G366="FD",1,POWER((1+'2. TaxData'!$I$65),(H366-'1. AgeData'!$D$31))))</f>
        <v>0</v>
      </c>
      <c r="L366" s="316"/>
      <c r="M366" s="1455"/>
      <c r="N366" s="316"/>
    </row>
    <row r="367" spans="1:14" s="306" customFormat="1" ht="12" x14ac:dyDescent="0.2">
      <c r="A367" s="1487">
        <v>75</v>
      </c>
      <c r="B367" s="1798" t="s">
        <v>1502</v>
      </c>
      <c r="C367" s="1901">
        <v>0</v>
      </c>
      <c r="D367" s="1717"/>
      <c r="E367" s="1683">
        <v>0</v>
      </c>
      <c r="F367" s="1213">
        <f>IF(E367=0,0,  E367*(IF(B367="FD",1,POWER((1+'2. TaxData'!$I$65),(C367-'1. AgeData'!$D$30)))))</f>
        <v>0</v>
      </c>
      <c r="G367" s="1798" t="s">
        <v>1502</v>
      </c>
      <c r="H367" s="1707">
        <v>0</v>
      </c>
      <c r="I367" s="1717"/>
      <c r="J367" s="1720">
        <v>0</v>
      </c>
      <c r="K367" s="1865">
        <f>IF(J367=0,0,  J367*IF(G367="FD",1,POWER((1+'2. TaxData'!$I$65),(H367-'1. AgeData'!$D$31))))</f>
        <v>0</v>
      </c>
      <c r="L367" s="316"/>
      <c r="M367" s="1455"/>
      <c r="N367" s="316"/>
    </row>
    <row r="368" spans="1:14" s="306" customFormat="1" ht="12" x14ac:dyDescent="0.2">
      <c r="A368" s="1487">
        <v>76</v>
      </c>
      <c r="B368" s="1798" t="s">
        <v>1502</v>
      </c>
      <c r="C368" s="1901">
        <v>0</v>
      </c>
      <c r="D368" s="1717"/>
      <c r="E368" s="1683">
        <v>0</v>
      </c>
      <c r="F368" s="1213">
        <f>IF(E368=0,0,  E368*(IF(B368="FD",1,POWER((1+'2. TaxData'!$I$65),(C368-'1. AgeData'!$D$30)))))</f>
        <v>0</v>
      </c>
      <c r="G368" s="1798" t="s">
        <v>1502</v>
      </c>
      <c r="H368" s="1707">
        <v>0</v>
      </c>
      <c r="I368" s="1717"/>
      <c r="J368" s="1720">
        <v>0</v>
      </c>
      <c r="K368" s="1865">
        <f>IF(J368=0,0,  J368*IF(G368="FD",1,POWER((1+'2. TaxData'!$I$65),(H368-'1. AgeData'!$D$31))))</f>
        <v>0</v>
      </c>
      <c r="L368" s="316"/>
      <c r="M368" s="1455"/>
      <c r="N368" s="316"/>
    </row>
    <row r="369" spans="1:14" s="306" customFormat="1" ht="12" x14ac:dyDescent="0.2">
      <c r="A369" s="1487">
        <v>77</v>
      </c>
      <c r="B369" s="1798" t="s">
        <v>1502</v>
      </c>
      <c r="C369" s="1901">
        <v>0</v>
      </c>
      <c r="D369" s="1717"/>
      <c r="E369" s="1683">
        <v>0</v>
      </c>
      <c r="F369" s="1213">
        <f>IF(E369=0,0,  E369*(IF(B369="FD",1,POWER((1+'2. TaxData'!$I$65),(C369-'1. AgeData'!$D$30)))))</f>
        <v>0</v>
      </c>
      <c r="G369" s="1798" t="s">
        <v>1502</v>
      </c>
      <c r="H369" s="1707">
        <v>0</v>
      </c>
      <c r="I369" s="1717"/>
      <c r="J369" s="1720">
        <v>0</v>
      </c>
      <c r="K369" s="1865">
        <f>IF(J369=0,0,  J369*IF(G369="FD",1,POWER((1+'2. TaxData'!$I$65),(H369-'1. AgeData'!$D$31))))</f>
        <v>0</v>
      </c>
      <c r="L369" s="316"/>
      <c r="M369" s="1455"/>
      <c r="N369" s="316"/>
    </row>
    <row r="370" spans="1:14" s="306" customFormat="1" ht="12" x14ac:dyDescent="0.2">
      <c r="A370" s="1487">
        <v>78</v>
      </c>
      <c r="B370" s="1798" t="s">
        <v>1502</v>
      </c>
      <c r="C370" s="1901">
        <v>0</v>
      </c>
      <c r="D370" s="1717"/>
      <c r="E370" s="1683">
        <v>0</v>
      </c>
      <c r="F370" s="1213">
        <f>IF(E370=0,0,  E370*(IF(B370="FD",1,POWER((1+'2. TaxData'!$I$65),(C370-'1. AgeData'!$D$30)))))</f>
        <v>0</v>
      </c>
      <c r="G370" s="1798" t="s">
        <v>1502</v>
      </c>
      <c r="H370" s="1707">
        <v>0</v>
      </c>
      <c r="I370" s="1717"/>
      <c r="J370" s="1720">
        <v>0</v>
      </c>
      <c r="K370" s="1865">
        <f>IF(J370=0,0,  J370*IF(G370="FD",1,POWER((1+'2. TaxData'!$I$65),(H370-'1. AgeData'!$D$31))))</f>
        <v>0</v>
      </c>
      <c r="L370" s="316"/>
      <c r="M370" s="1455"/>
      <c r="N370" s="316"/>
    </row>
    <row r="371" spans="1:14" s="306" customFormat="1" ht="12" x14ac:dyDescent="0.2">
      <c r="A371" s="1487">
        <v>79</v>
      </c>
      <c r="B371" s="1798" t="s">
        <v>1502</v>
      </c>
      <c r="C371" s="1901">
        <v>0</v>
      </c>
      <c r="D371" s="1717"/>
      <c r="E371" s="1683">
        <v>0</v>
      </c>
      <c r="F371" s="1213">
        <f>IF(E371=0,0,  E371*(IF(B371="FD",1,POWER((1+'2. TaxData'!$I$65),(C371-'1. AgeData'!$D$30)))))</f>
        <v>0</v>
      </c>
      <c r="G371" s="1798" t="s">
        <v>1502</v>
      </c>
      <c r="H371" s="1707">
        <v>0</v>
      </c>
      <c r="I371" s="1717"/>
      <c r="J371" s="1720">
        <v>0</v>
      </c>
      <c r="K371" s="1865">
        <f>IF(J371=0,0,  J371*IF(G371="FD",1,POWER((1+'2. TaxData'!$I$65),(H371-'1. AgeData'!$D$31))))</f>
        <v>0</v>
      </c>
      <c r="L371" s="316"/>
      <c r="M371" s="1455"/>
      <c r="N371" s="316"/>
    </row>
    <row r="372" spans="1:14" s="306" customFormat="1" ht="12" x14ac:dyDescent="0.2">
      <c r="A372" s="1487">
        <v>80</v>
      </c>
      <c r="B372" s="1798" t="s">
        <v>1502</v>
      </c>
      <c r="C372" s="1901">
        <v>0</v>
      </c>
      <c r="D372" s="1717"/>
      <c r="E372" s="1683">
        <v>0</v>
      </c>
      <c r="F372" s="1213">
        <f>IF(E372=0,0,  E372*(IF(B372="FD",1,POWER((1+'2. TaxData'!$I$65),(C372-'1. AgeData'!$D$30)))))</f>
        <v>0</v>
      </c>
      <c r="G372" s="1798" t="s">
        <v>1502</v>
      </c>
      <c r="H372" s="1707">
        <v>0</v>
      </c>
      <c r="I372" s="1717"/>
      <c r="J372" s="1720">
        <v>0</v>
      </c>
      <c r="K372" s="1865">
        <f>IF(J372=0,0,  J372*IF(G372="FD",1,POWER((1+'2. TaxData'!$I$65),(H372-'1. AgeData'!$D$31))))</f>
        <v>0</v>
      </c>
      <c r="L372" s="316"/>
      <c r="M372" s="1455"/>
      <c r="N372" s="316"/>
    </row>
    <row r="373" spans="1:14" s="306" customFormat="1" ht="12" x14ac:dyDescent="0.2">
      <c r="A373" s="1487">
        <v>81</v>
      </c>
      <c r="B373" s="1798" t="s">
        <v>1502</v>
      </c>
      <c r="C373" s="1901">
        <v>0</v>
      </c>
      <c r="D373" s="1717"/>
      <c r="E373" s="1683">
        <v>0</v>
      </c>
      <c r="F373" s="1213">
        <f>IF(E373=0,0,  E373*(IF(B373="FD",1,POWER((1+'2. TaxData'!$I$65),(C373-'1. AgeData'!$D$30)))))</f>
        <v>0</v>
      </c>
      <c r="G373" s="1798" t="s">
        <v>1502</v>
      </c>
      <c r="H373" s="1707">
        <v>0</v>
      </c>
      <c r="I373" s="1717"/>
      <c r="J373" s="1720">
        <v>0</v>
      </c>
      <c r="K373" s="1865">
        <f>IF(J373=0,0,  J373*IF(G373="FD",1,POWER((1+'2. TaxData'!$I$65),(H373-'1. AgeData'!$D$31))))</f>
        <v>0</v>
      </c>
      <c r="L373" s="316"/>
      <c r="M373" s="1455"/>
      <c r="N373" s="316"/>
    </row>
    <row r="374" spans="1:14" s="306" customFormat="1" ht="12" x14ac:dyDescent="0.2">
      <c r="A374" s="1487">
        <v>82</v>
      </c>
      <c r="B374" s="1798" t="s">
        <v>1502</v>
      </c>
      <c r="C374" s="1901">
        <v>0</v>
      </c>
      <c r="D374" s="1717"/>
      <c r="E374" s="1683">
        <v>0</v>
      </c>
      <c r="F374" s="1213">
        <f>IF(E374=0,0,  E374*(IF(B374="FD",1,POWER((1+'2. TaxData'!$I$65),(C374-'1. AgeData'!$D$30)))))</f>
        <v>0</v>
      </c>
      <c r="G374" s="1798" t="s">
        <v>1502</v>
      </c>
      <c r="H374" s="1707">
        <v>0</v>
      </c>
      <c r="I374" s="1717"/>
      <c r="J374" s="1720">
        <v>0</v>
      </c>
      <c r="K374" s="1865">
        <f>IF(J374=0,0,  J374*IF(G374="FD",1,POWER((1+'2. TaxData'!$I$65),(H374-'1. AgeData'!$D$31))))</f>
        <v>0</v>
      </c>
      <c r="L374" s="316"/>
      <c r="M374" s="1455"/>
      <c r="N374" s="316"/>
    </row>
    <row r="375" spans="1:14" s="306" customFormat="1" ht="12" x14ac:dyDescent="0.2">
      <c r="A375" s="1487">
        <v>83</v>
      </c>
      <c r="B375" s="1798" t="s">
        <v>1502</v>
      </c>
      <c r="C375" s="1901">
        <v>0</v>
      </c>
      <c r="D375" s="1717"/>
      <c r="E375" s="1683">
        <v>0</v>
      </c>
      <c r="F375" s="1213">
        <f>IF(E375=0,0,  E375*(IF(B375="FD",1,POWER((1+'2. TaxData'!$I$65),(C375-'1. AgeData'!$D$30)))))</f>
        <v>0</v>
      </c>
      <c r="G375" s="1798" t="s">
        <v>1502</v>
      </c>
      <c r="H375" s="1707">
        <v>0</v>
      </c>
      <c r="I375" s="1717"/>
      <c r="J375" s="1720">
        <v>0</v>
      </c>
      <c r="K375" s="1865">
        <f>IF(J375=0,0,  J375*IF(G375="FD",1,POWER((1+'2. TaxData'!$I$65),(H375-'1. AgeData'!$D$31))))</f>
        <v>0</v>
      </c>
      <c r="L375" s="316"/>
      <c r="M375" s="1455"/>
      <c r="N375" s="316"/>
    </row>
    <row r="376" spans="1:14" s="306" customFormat="1" ht="12" x14ac:dyDescent="0.2">
      <c r="A376" s="1487">
        <v>84</v>
      </c>
      <c r="B376" s="1798" t="s">
        <v>1502</v>
      </c>
      <c r="C376" s="1901">
        <v>0</v>
      </c>
      <c r="D376" s="1717"/>
      <c r="E376" s="1683">
        <v>0</v>
      </c>
      <c r="F376" s="1213">
        <f>IF(E376=0,0,  E376*(IF(B376="FD",1,POWER((1+'2. TaxData'!$I$65),(C376-'1. AgeData'!$D$30)))))</f>
        <v>0</v>
      </c>
      <c r="G376" s="1798" t="s">
        <v>1502</v>
      </c>
      <c r="H376" s="1707">
        <v>0</v>
      </c>
      <c r="I376" s="1717"/>
      <c r="J376" s="1720">
        <v>0</v>
      </c>
      <c r="K376" s="1865">
        <f>IF(J376=0,0,  J376*IF(G376="FD",1,POWER((1+'2. TaxData'!$I$65),(H376-'1. AgeData'!$D$31))))</f>
        <v>0</v>
      </c>
      <c r="L376" s="316"/>
      <c r="M376" s="1455"/>
      <c r="N376" s="316"/>
    </row>
    <row r="377" spans="1:14" s="306" customFormat="1" ht="12" x14ac:dyDescent="0.2">
      <c r="A377" s="1487">
        <v>85</v>
      </c>
      <c r="B377" s="1798" t="s">
        <v>1502</v>
      </c>
      <c r="C377" s="1901">
        <v>0</v>
      </c>
      <c r="D377" s="1717"/>
      <c r="E377" s="1683">
        <v>0</v>
      </c>
      <c r="F377" s="1213">
        <f>IF(E377=0,0,  E377*(IF(B377="FD",1,POWER((1+'2. TaxData'!$I$65),(C377-'1. AgeData'!$D$30)))))</f>
        <v>0</v>
      </c>
      <c r="G377" s="1798" t="s">
        <v>1502</v>
      </c>
      <c r="H377" s="1707">
        <v>0</v>
      </c>
      <c r="I377" s="1717"/>
      <c r="J377" s="1720">
        <v>0</v>
      </c>
      <c r="K377" s="1865">
        <f>IF(J377=0,0,  J377*IF(G377="FD",1,POWER((1+'2. TaxData'!$I$65),(H377-'1. AgeData'!$D$31))))</f>
        <v>0</v>
      </c>
      <c r="L377" s="316"/>
      <c r="M377" s="1455"/>
      <c r="N377" s="316"/>
    </row>
    <row r="378" spans="1:14" s="306" customFormat="1" ht="12" x14ac:dyDescent="0.2">
      <c r="A378" s="1487">
        <v>86</v>
      </c>
      <c r="B378" s="1798" t="s">
        <v>1502</v>
      </c>
      <c r="C378" s="1901">
        <v>0</v>
      </c>
      <c r="D378" s="1717"/>
      <c r="E378" s="1683">
        <v>0</v>
      </c>
      <c r="F378" s="1213">
        <f>IF(E378=0,0,  E378*(IF(B378="FD",1,POWER((1+'2. TaxData'!$I$65),(C378-'1. AgeData'!$D$30)))))</f>
        <v>0</v>
      </c>
      <c r="G378" s="1798" t="s">
        <v>1502</v>
      </c>
      <c r="H378" s="1707">
        <v>0</v>
      </c>
      <c r="I378" s="1717"/>
      <c r="J378" s="1720">
        <v>0</v>
      </c>
      <c r="K378" s="1865">
        <f>IF(J378=0,0,  J378*IF(G378="FD",1,POWER((1+'2. TaxData'!$I$65),(H378-'1. AgeData'!$D$31))))</f>
        <v>0</v>
      </c>
      <c r="L378" s="316"/>
      <c r="M378" s="1455"/>
      <c r="N378" s="316"/>
    </row>
    <row r="379" spans="1:14" s="306" customFormat="1" ht="12" x14ac:dyDescent="0.2">
      <c r="A379" s="1487">
        <v>87</v>
      </c>
      <c r="B379" s="1798" t="s">
        <v>1502</v>
      </c>
      <c r="C379" s="1901">
        <v>0</v>
      </c>
      <c r="D379" s="1717"/>
      <c r="E379" s="1683">
        <v>0</v>
      </c>
      <c r="F379" s="1213">
        <f>IF(E379=0,0,  E379*(IF(B379="FD",1,POWER((1+'2. TaxData'!$I$65),(C379-'1. AgeData'!$D$30)))))</f>
        <v>0</v>
      </c>
      <c r="G379" s="1798" t="s">
        <v>1502</v>
      </c>
      <c r="H379" s="1707">
        <v>0</v>
      </c>
      <c r="I379" s="1717"/>
      <c r="J379" s="1720">
        <v>0</v>
      </c>
      <c r="K379" s="1865">
        <f>IF(J379=0,0,  J379*IF(G379="FD",1,POWER((1+'2. TaxData'!$I$65),(H379-'1. AgeData'!$D$31))))</f>
        <v>0</v>
      </c>
      <c r="L379" s="316"/>
      <c r="M379" s="1455"/>
      <c r="N379" s="316"/>
    </row>
    <row r="380" spans="1:14" s="306" customFormat="1" ht="12" x14ac:dyDescent="0.2">
      <c r="A380" s="1487">
        <v>88</v>
      </c>
      <c r="B380" s="1798" t="s">
        <v>1502</v>
      </c>
      <c r="C380" s="1901">
        <v>0</v>
      </c>
      <c r="D380" s="1717"/>
      <c r="E380" s="1683">
        <v>0</v>
      </c>
      <c r="F380" s="1213">
        <f>IF(E380=0,0,  E380*(IF(B380="FD",1,POWER((1+'2. TaxData'!$I$65),(C380-'1. AgeData'!$D$30)))))</f>
        <v>0</v>
      </c>
      <c r="G380" s="1798" t="s">
        <v>1502</v>
      </c>
      <c r="H380" s="1707">
        <v>0</v>
      </c>
      <c r="I380" s="1717"/>
      <c r="J380" s="1720">
        <v>0</v>
      </c>
      <c r="K380" s="1865">
        <f>IF(J380=0,0,  J380*IF(G380="FD",1,POWER((1+'2. TaxData'!$I$65),(H380-'1. AgeData'!$D$31))))</f>
        <v>0</v>
      </c>
      <c r="L380" s="316"/>
      <c r="M380" s="1455"/>
      <c r="N380" s="316"/>
    </row>
    <row r="381" spans="1:14" s="306" customFormat="1" ht="12" x14ac:dyDescent="0.2">
      <c r="A381" s="1487">
        <v>89</v>
      </c>
      <c r="B381" s="1798" t="s">
        <v>1502</v>
      </c>
      <c r="C381" s="1901">
        <v>0</v>
      </c>
      <c r="D381" s="1717"/>
      <c r="E381" s="1683">
        <v>0</v>
      </c>
      <c r="F381" s="1213">
        <f>IF(E381=0,0,  E381*(IF(B381="FD",1,POWER((1+'2. TaxData'!$I$65),(C381-'1. AgeData'!$D$30)))))</f>
        <v>0</v>
      </c>
      <c r="G381" s="1798" t="s">
        <v>1502</v>
      </c>
      <c r="H381" s="1707">
        <v>0</v>
      </c>
      <c r="I381" s="1717"/>
      <c r="J381" s="1720">
        <v>0</v>
      </c>
      <c r="K381" s="1865">
        <f>IF(J381=0,0,  J381*IF(G381="FD",1,POWER((1+'2. TaxData'!$I$65),(H381-'1. AgeData'!$D$31))))</f>
        <v>0</v>
      </c>
      <c r="L381" s="316"/>
      <c r="M381" s="1455"/>
      <c r="N381" s="316"/>
    </row>
    <row r="382" spans="1:14" s="306" customFormat="1" ht="12" x14ac:dyDescent="0.2">
      <c r="A382" s="1487">
        <v>90</v>
      </c>
      <c r="B382" s="1798" t="s">
        <v>1502</v>
      </c>
      <c r="C382" s="1901">
        <v>0</v>
      </c>
      <c r="D382" s="1717"/>
      <c r="E382" s="1683">
        <v>0</v>
      </c>
      <c r="F382" s="1213">
        <f>IF(E382=0,0,  E382*(IF(B382="FD",1,POWER((1+'2. TaxData'!$I$65),(C382-'1. AgeData'!$D$30)))))</f>
        <v>0</v>
      </c>
      <c r="G382" s="1798" t="s">
        <v>1502</v>
      </c>
      <c r="H382" s="1707">
        <v>0</v>
      </c>
      <c r="I382" s="1717"/>
      <c r="J382" s="1720">
        <v>0</v>
      </c>
      <c r="K382" s="1865">
        <f>IF(J382=0,0,  J382*IF(G382="FD",1,POWER((1+'2. TaxData'!$I$65),(H382-'1. AgeData'!$D$31))))</f>
        <v>0</v>
      </c>
      <c r="L382" s="316"/>
      <c r="M382" s="1455"/>
      <c r="N382" s="316"/>
    </row>
    <row r="383" spans="1:14" s="306" customFormat="1" ht="12" x14ac:dyDescent="0.2">
      <c r="A383" s="1487">
        <v>91</v>
      </c>
      <c r="B383" s="1798" t="s">
        <v>1502</v>
      </c>
      <c r="C383" s="1901">
        <v>0</v>
      </c>
      <c r="D383" s="1717"/>
      <c r="E383" s="1683">
        <v>0</v>
      </c>
      <c r="F383" s="1213">
        <f>IF(E383=0,0,  E383*(IF(B383="FD",1,POWER((1+'2. TaxData'!$I$65),(C383-'1. AgeData'!$D$30)))))</f>
        <v>0</v>
      </c>
      <c r="G383" s="1798" t="s">
        <v>1502</v>
      </c>
      <c r="H383" s="1707">
        <v>0</v>
      </c>
      <c r="I383" s="1717"/>
      <c r="J383" s="1720">
        <v>0</v>
      </c>
      <c r="K383" s="1865">
        <f>IF(J383=0,0,  J383*IF(G383="FD",1,POWER((1+'2. TaxData'!$I$65),(H383-'1. AgeData'!$D$31))))</f>
        <v>0</v>
      </c>
      <c r="L383" s="316"/>
      <c r="M383" s="1455"/>
      <c r="N383" s="316"/>
    </row>
    <row r="384" spans="1:14" s="306" customFormat="1" ht="12" x14ac:dyDescent="0.2">
      <c r="A384" s="1487">
        <v>92</v>
      </c>
      <c r="B384" s="1798" t="s">
        <v>1502</v>
      </c>
      <c r="C384" s="1901">
        <v>0</v>
      </c>
      <c r="D384" s="1717"/>
      <c r="E384" s="1683">
        <v>0</v>
      </c>
      <c r="F384" s="1213">
        <f>IF(E384=0,0,  E384*(IF(B384="FD",1,POWER((1+'2. TaxData'!$I$65),(C384-'1. AgeData'!$D$30)))))</f>
        <v>0</v>
      </c>
      <c r="G384" s="1798" t="s">
        <v>1502</v>
      </c>
      <c r="H384" s="1707">
        <v>0</v>
      </c>
      <c r="I384" s="1717"/>
      <c r="J384" s="1720">
        <v>0</v>
      </c>
      <c r="K384" s="1865">
        <f>IF(J384=0,0,  J384*IF(G384="FD",1,POWER((1+'2. TaxData'!$I$65),(H384-'1. AgeData'!$D$31))))</f>
        <v>0</v>
      </c>
      <c r="L384" s="316"/>
      <c r="M384" s="1455"/>
      <c r="N384" s="316"/>
    </row>
    <row r="385" spans="1:14" s="306" customFormat="1" ht="12" x14ac:dyDescent="0.2">
      <c r="A385" s="1487">
        <v>93</v>
      </c>
      <c r="B385" s="1798" t="s">
        <v>1502</v>
      </c>
      <c r="C385" s="1901">
        <v>0</v>
      </c>
      <c r="D385" s="1717"/>
      <c r="E385" s="1683">
        <v>0</v>
      </c>
      <c r="F385" s="1213">
        <f>IF(E385=0,0,  E385*(IF(B385="FD",1,POWER((1+'2. TaxData'!$I$65),(C385-'1. AgeData'!$D$30)))))</f>
        <v>0</v>
      </c>
      <c r="G385" s="1798" t="s">
        <v>1502</v>
      </c>
      <c r="H385" s="1707">
        <v>0</v>
      </c>
      <c r="I385" s="1717"/>
      <c r="J385" s="1720">
        <v>0</v>
      </c>
      <c r="K385" s="1865">
        <f>IF(J385=0,0,  J385*IF(G385="FD",1,POWER((1+'2. TaxData'!$I$65),(H385-'1. AgeData'!$D$31))))</f>
        <v>0</v>
      </c>
      <c r="L385" s="316"/>
      <c r="M385" s="1455"/>
      <c r="N385" s="316"/>
    </row>
    <row r="386" spans="1:14" s="306" customFormat="1" ht="12" x14ac:dyDescent="0.2">
      <c r="A386" s="1487">
        <v>94</v>
      </c>
      <c r="B386" s="1798" t="s">
        <v>1502</v>
      </c>
      <c r="C386" s="1901">
        <v>0</v>
      </c>
      <c r="D386" s="1717"/>
      <c r="E386" s="1683">
        <v>0</v>
      </c>
      <c r="F386" s="1213">
        <f>IF(E386=0,0,  E386*(IF(B386="FD",1,POWER((1+'2. TaxData'!$I$65),(C386-'1. AgeData'!$D$30)))))</f>
        <v>0</v>
      </c>
      <c r="G386" s="1798" t="s">
        <v>1502</v>
      </c>
      <c r="H386" s="1707">
        <v>0</v>
      </c>
      <c r="I386" s="1717"/>
      <c r="J386" s="1720">
        <v>0</v>
      </c>
      <c r="K386" s="1865">
        <f>IF(J386=0,0,  J386*IF(G386="FD",1,POWER((1+'2. TaxData'!$I$65),(H386-'1. AgeData'!$D$31))))</f>
        <v>0</v>
      </c>
      <c r="L386" s="316"/>
      <c r="M386" s="1455"/>
      <c r="N386" s="316"/>
    </row>
    <row r="387" spans="1:14" s="306" customFormat="1" ht="12" x14ac:dyDescent="0.2">
      <c r="A387" s="1487">
        <v>95</v>
      </c>
      <c r="B387" s="1798" t="s">
        <v>1502</v>
      </c>
      <c r="C387" s="1901">
        <v>0</v>
      </c>
      <c r="D387" s="1717"/>
      <c r="E387" s="1683">
        <v>0</v>
      </c>
      <c r="F387" s="1213">
        <f>IF(E387=0,0,  E387*(IF(B387="FD",1,POWER((1+'2. TaxData'!$I$65),(C387-'1. AgeData'!$D$30)))))</f>
        <v>0</v>
      </c>
      <c r="G387" s="1798" t="s">
        <v>1502</v>
      </c>
      <c r="H387" s="1707">
        <v>0</v>
      </c>
      <c r="I387" s="1717"/>
      <c r="J387" s="1720">
        <v>0</v>
      </c>
      <c r="K387" s="1865">
        <f>IF(J387=0,0,  J387*IF(G387="FD",1,POWER((1+'2. TaxData'!$I$65),(H387-'1. AgeData'!$D$31))))</f>
        <v>0</v>
      </c>
      <c r="L387" s="316"/>
      <c r="M387" s="1455"/>
      <c r="N387" s="316"/>
    </row>
    <row r="388" spans="1:14" s="306" customFormat="1" ht="12" x14ac:dyDescent="0.2">
      <c r="A388" s="1487">
        <v>96</v>
      </c>
      <c r="B388" s="1798" t="s">
        <v>1502</v>
      </c>
      <c r="C388" s="1901">
        <v>0</v>
      </c>
      <c r="D388" s="1717"/>
      <c r="E388" s="1683">
        <v>0</v>
      </c>
      <c r="F388" s="1213">
        <f>IF(E388=0,0,  E388*(IF(B388="FD",1,POWER((1+'2. TaxData'!$I$65),(C388-'1. AgeData'!$D$30)))))</f>
        <v>0</v>
      </c>
      <c r="G388" s="1798" t="s">
        <v>1502</v>
      </c>
      <c r="H388" s="1707">
        <v>0</v>
      </c>
      <c r="I388" s="1717"/>
      <c r="J388" s="1720">
        <v>0</v>
      </c>
      <c r="K388" s="1865">
        <f>IF(J388=0,0,  J388*IF(G388="FD",1,POWER((1+'2. TaxData'!$I$65),(H388-'1. AgeData'!$D$31))))</f>
        <v>0</v>
      </c>
      <c r="L388" s="316"/>
      <c r="M388" s="1455"/>
      <c r="N388" s="316"/>
    </row>
    <row r="389" spans="1:14" s="306" customFormat="1" ht="12" x14ac:dyDescent="0.2">
      <c r="A389" s="1487">
        <v>97</v>
      </c>
      <c r="B389" s="1798" t="s">
        <v>1502</v>
      </c>
      <c r="C389" s="1901">
        <v>0</v>
      </c>
      <c r="D389" s="1717"/>
      <c r="E389" s="1683">
        <v>0</v>
      </c>
      <c r="F389" s="1213">
        <f>IF(E389=0,0,  E389*(IF(B389="FD",1,POWER((1+'2. TaxData'!$I$65),(C389-'1. AgeData'!$D$30)))))</f>
        <v>0</v>
      </c>
      <c r="G389" s="1798" t="s">
        <v>1502</v>
      </c>
      <c r="H389" s="1707">
        <v>0</v>
      </c>
      <c r="I389" s="1717"/>
      <c r="J389" s="1720">
        <v>0</v>
      </c>
      <c r="K389" s="1865">
        <f>IF(J389=0,0,  J389*IF(G389="FD",1,POWER((1+'2. TaxData'!$I$65),(H389-'1. AgeData'!$D$31))))</f>
        <v>0</v>
      </c>
      <c r="L389" s="316"/>
      <c r="M389" s="1455"/>
      <c r="N389" s="316"/>
    </row>
    <row r="390" spans="1:14" s="306" customFormat="1" ht="12" x14ac:dyDescent="0.2">
      <c r="A390" s="1487">
        <v>98</v>
      </c>
      <c r="B390" s="1798" t="s">
        <v>1502</v>
      </c>
      <c r="C390" s="1901">
        <v>0</v>
      </c>
      <c r="D390" s="1717"/>
      <c r="E390" s="1683">
        <v>0</v>
      </c>
      <c r="F390" s="1213">
        <f>IF(E390=0,0,  E390*(IF(B390="FD",1,POWER((1+'2. TaxData'!$I$65),(C390-'1. AgeData'!$D$30)))))</f>
        <v>0</v>
      </c>
      <c r="G390" s="1798" t="s">
        <v>1502</v>
      </c>
      <c r="H390" s="1707">
        <v>0</v>
      </c>
      <c r="I390" s="1717"/>
      <c r="J390" s="1720">
        <v>0</v>
      </c>
      <c r="K390" s="1865">
        <f>IF(J390=0,0,  J390*IF(G390="FD",1,POWER((1+'2. TaxData'!$I$65),(H390-'1. AgeData'!$D$31))))</f>
        <v>0</v>
      </c>
      <c r="L390" s="316"/>
      <c r="M390" s="1455"/>
      <c r="N390" s="316"/>
    </row>
    <row r="391" spans="1:14" s="306" customFormat="1" ht="12" x14ac:dyDescent="0.2">
      <c r="A391" s="1487">
        <v>99</v>
      </c>
      <c r="B391" s="1798" t="s">
        <v>1502</v>
      </c>
      <c r="C391" s="1901">
        <v>0</v>
      </c>
      <c r="D391" s="1717"/>
      <c r="E391" s="1683">
        <v>0</v>
      </c>
      <c r="F391" s="1213">
        <f>IF(E391=0,0,  E391*(IF(B391="FD",1,POWER((1+'2. TaxData'!$I$65),(C391-'1. AgeData'!$D$30)))))</f>
        <v>0</v>
      </c>
      <c r="G391" s="1798" t="s">
        <v>1502</v>
      </c>
      <c r="H391" s="1707">
        <v>0</v>
      </c>
      <c r="I391" s="1717"/>
      <c r="J391" s="1720">
        <v>0</v>
      </c>
      <c r="K391" s="1865">
        <f>IF(J391=0,0,  J391*IF(G391="FD",1,POWER((1+'2. TaxData'!$I$65),(H391-'1. AgeData'!$D$31))))</f>
        <v>0</v>
      </c>
      <c r="L391" s="316"/>
      <c r="M391" s="1455"/>
      <c r="N391" s="316"/>
    </row>
    <row r="392" spans="1:14" s="306" customFormat="1" ht="12" x14ac:dyDescent="0.2">
      <c r="A392" s="1487">
        <v>100</v>
      </c>
      <c r="B392" s="1798" t="s">
        <v>1502</v>
      </c>
      <c r="C392" s="1901">
        <v>0</v>
      </c>
      <c r="D392" s="1717"/>
      <c r="E392" s="1683">
        <v>0</v>
      </c>
      <c r="F392" s="1213">
        <f>IF(E392=0,0,  E392*(IF(B392="FD",1,POWER((1+'2. TaxData'!$I$65),(C392-'1. AgeData'!$D$30)))))</f>
        <v>0</v>
      </c>
      <c r="G392" s="1798" t="s">
        <v>1502</v>
      </c>
      <c r="H392" s="1707">
        <v>0</v>
      </c>
      <c r="I392" s="1717"/>
      <c r="J392" s="1720">
        <v>0</v>
      </c>
      <c r="K392" s="1865">
        <f>IF(J392=0,0,  J392*IF(G392="FD",1,POWER((1+'2. TaxData'!$I$65),(H392-'1. AgeData'!$D$31))))</f>
        <v>0</v>
      </c>
      <c r="L392" s="316"/>
      <c r="M392" s="1455"/>
      <c r="N392" s="316"/>
    </row>
    <row r="393" spans="1:14" s="306" customFormat="1" ht="12" x14ac:dyDescent="0.2">
      <c r="A393" s="1487">
        <v>101</v>
      </c>
      <c r="B393" s="1798" t="s">
        <v>1502</v>
      </c>
      <c r="C393" s="1901">
        <v>0</v>
      </c>
      <c r="D393" s="1717"/>
      <c r="E393" s="1683">
        <v>0</v>
      </c>
      <c r="F393" s="1213">
        <f>IF(E393=0,0,  E393*(IF(B393="FD",1,POWER((1+'2. TaxData'!$I$65),(C393-'1. AgeData'!$D$30)))))</f>
        <v>0</v>
      </c>
      <c r="G393" s="1798" t="s">
        <v>1502</v>
      </c>
      <c r="H393" s="1707">
        <v>0</v>
      </c>
      <c r="I393" s="1717"/>
      <c r="J393" s="1720">
        <v>0</v>
      </c>
      <c r="K393" s="1865">
        <f>IF(J393=0,0,  J393*IF(G393="FD",1,POWER((1+'2. TaxData'!$I$65),(H393-'1. AgeData'!$D$31))))</f>
        <v>0</v>
      </c>
      <c r="L393" s="316"/>
      <c r="M393" s="1455"/>
      <c r="N393" s="316"/>
    </row>
    <row r="394" spans="1:14" s="306" customFormat="1" ht="12" x14ac:dyDescent="0.2">
      <c r="A394" s="1487">
        <v>102</v>
      </c>
      <c r="B394" s="1798" t="s">
        <v>1502</v>
      </c>
      <c r="C394" s="1901">
        <v>0</v>
      </c>
      <c r="D394" s="1717"/>
      <c r="E394" s="1683">
        <v>0</v>
      </c>
      <c r="F394" s="1213">
        <f>IF(E394=0,0,  E394*(IF(B394="FD",1,POWER((1+'2. TaxData'!$I$65),(C394-'1. AgeData'!$D$30)))))</f>
        <v>0</v>
      </c>
      <c r="G394" s="1798" t="s">
        <v>1502</v>
      </c>
      <c r="H394" s="1707">
        <v>0</v>
      </c>
      <c r="I394" s="1717"/>
      <c r="J394" s="1720">
        <v>0</v>
      </c>
      <c r="K394" s="1865">
        <f>IF(J394=0,0,  J394*IF(G394="FD",1,POWER((1+'2. TaxData'!$I$65),(H394-'1. AgeData'!$D$31))))</f>
        <v>0</v>
      </c>
      <c r="L394" s="316"/>
      <c r="M394" s="1455"/>
      <c r="N394" s="316"/>
    </row>
    <row r="395" spans="1:14" s="306" customFormat="1" ht="12" x14ac:dyDescent="0.2">
      <c r="A395" s="1487">
        <v>103</v>
      </c>
      <c r="B395" s="1798" t="s">
        <v>1502</v>
      </c>
      <c r="C395" s="1901">
        <v>0</v>
      </c>
      <c r="D395" s="1717"/>
      <c r="E395" s="1683">
        <v>0</v>
      </c>
      <c r="F395" s="1213">
        <f>IF(E395=0,0,  E395*(IF(B395="FD",1,POWER((1+'2. TaxData'!$I$65),(C395-'1. AgeData'!$D$30)))))</f>
        <v>0</v>
      </c>
      <c r="G395" s="1798" t="s">
        <v>1502</v>
      </c>
      <c r="H395" s="1707">
        <v>0</v>
      </c>
      <c r="I395" s="1717"/>
      <c r="J395" s="1720">
        <v>0</v>
      </c>
      <c r="K395" s="1865">
        <f>IF(J395=0,0,  J395*IF(G395="FD",1,POWER((1+'2. TaxData'!$I$65),(H395-'1. AgeData'!$D$31))))</f>
        <v>0</v>
      </c>
      <c r="L395" s="316"/>
      <c r="M395" s="1455"/>
      <c r="N395" s="316"/>
    </row>
    <row r="396" spans="1:14" s="306" customFormat="1" ht="12" x14ac:dyDescent="0.2">
      <c r="A396" s="1487">
        <v>104</v>
      </c>
      <c r="B396" s="1798" t="s">
        <v>1502</v>
      </c>
      <c r="C396" s="1901">
        <v>0</v>
      </c>
      <c r="D396" s="1717"/>
      <c r="E396" s="1683">
        <v>0</v>
      </c>
      <c r="F396" s="1213">
        <f>IF(E396=0,0,  E396*(IF(B396="FD",1,POWER((1+'2. TaxData'!$I$65),(C396-'1. AgeData'!$D$30)))))</f>
        <v>0</v>
      </c>
      <c r="G396" s="1798" t="s">
        <v>1502</v>
      </c>
      <c r="H396" s="1707">
        <v>0</v>
      </c>
      <c r="I396" s="1717"/>
      <c r="J396" s="1720">
        <v>0</v>
      </c>
      <c r="K396" s="1865">
        <f>IF(J396=0,0,  J396*IF(G396="FD",1,POWER((1+'2. TaxData'!$I$65),(H396-'1. AgeData'!$D$31))))</f>
        <v>0</v>
      </c>
      <c r="L396" s="316"/>
      <c r="M396" s="1455"/>
      <c r="N396" s="316"/>
    </row>
    <row r="397" spans="1:14" s="306" customFormat="1" ht="12" x14ac:dyDescent="0.2">
      <c r="A397" s="1487">
        <v>105</v>
      </c>
      <c r="B397" s="1798" t="s">
        <v>1502</v>
      </c>
      <c r="C397" s="1901">
        <v>0</v>
      </c>
      <c r="D397" s="1717"/>
      <c r="E397" s="1683">
        <v>0</v>
      </c>
      <c r="F397" s="1213">
        <f>IF(E397=0,0,  E397*(IF(B397="FD",1,POWER((1+'2. TaxData'!$I$65),(C397-'1. AgeData'!$D$30)))))</f>
        <v>0</v>
      </c>
      <c r="G397" s="1798" t="s">
        <v>1502</v>
      </c>
      <c r="H397" s="1707">
        <v>0</v>
      </c>
      <c r="I397" s="1717"/>
      <c r="J397" s="1720">
        <v>0</v>
      </c>
      <c r="K397" s="1865">
        <f>IF(J397=0,0,  J397*IF(G397="FD",1,POWER((1+'2. TaxData'!$I$65),(H397-'1. AgeData'!$D$31))))</f>
        <v>0</v>
      </c>
      <c r="L397" s="316"/>
      <c r="M397" s="1455"/>
      <c r="N397" s="316"/>
    </row>
    <row r="398" spans="1:14" s="306" customFormat="1" ht="12" x14ac:dyDescent="0.2">
      <c r="A398" s="1487">
        <v>106</v>
      </c>
      <c r="B398" s="1798" t="s">
        <v>1502</v>
      </c>
      <c r="C398" s="1901">
        <v>0</v>
      </c>
      <c r="D398" s="1717"/>
      <c r="E398" s="1683">
        <v>0</v>
      </c>
      <c r="F398" s="1213">
        <f>IF(E398=0,0,  E398*(IF(B398="FD",1,POWER((1+'2. TaxData'!$I$65),(C398-'1. AgeData'!$D$30)))))</f>
        <v>0</v>
      </c>
      <c r="G398" s="1798" t="s">
        <v>1502</v>
      </c>
      <c r="H398" s="1707">
        <v>0</v>
      </c>
      <c r="I398" s="1717"/>
      <c r="J398" s="1720">
        <v>0</v>
      </c>
      <c r="K398" s="1865">
        <f>IF(J398=0,0,  J398*IF(G398="FD",1,POWER((1+'2. TaxData'!$I$65),(H398-'1. AgeData'!$D$31))))</f>
        <v>0</v>
      </c>
      <c r="L398" s="316"/>
      <c r="M398" s="1455"/>
      <c r="N398" s="316"/>
    </row>
    <row r="399" spans="1:14" s="306" customFormat="1" ht="12" x14ac:dyDescent="0.2">
      <c r="A399" s="1487">
        <v>107</v>
      </c>
      <c r="B399" s="1798" t="s">
        <v>1502</v>
      </c>
      <c r="C399" s="1901">
        <v>0</v>
      </c>
      <c r="D399" s="1717"/>
      <c r="E399" s="1683">
        <v>0</v>
      </c>
      <c r="F399" s="1213">
        <f>IF(E399=0,0,  E399*(IF(B399="FD",1,POWER((1+'2. TaxData'!$I$65),(C399-'1. AgeData'!$D$30)))))</f>
        <v>0</v>
      </c>
      <c r="G399" s="1798" t="s">
        <v>1502</v>
      </c>
      <c r="H399" s="1707">
        <v>0</v>
      </c>
      <c r="I399" s="1717"/>
      <c r="J399" s="1720">
        <v>0</v>
      </c>
      <c r="K399" s="1865">
        <f>IF(J399=0,0,  J399*IF(G399="FD",1,POWER((1+'2. TaxData'!$I$65),(H399-'1. AgeData'!$D$31))))</f>
        <v>0</v>
      </c>
      <c r="L399" s="316"/>
      <c r="M399" s="1455"/>
      <c r="N399" s="316"/>
    </row>
    <row r="400" spans="1:14" s="306" customFormat="1" ht="12" x14ac:dyDescent="0.2">
      <c r="A400" s="1487">
        <v>108</v>
      </c>
      <c r="B400" s="1798" t="s">
        <v>1502</v>
      </c>
      <c r="C400" s="1901">
        <v>0</v>
      </c>
      <c r="D400" s="1717"/>
      <c r="E400" s="1683">
        <v>0</v>
      </c>
      <c r="F400" s="1213">
        <f>IF(E400=0,0,  E400*(IF(B400="FD",1,POWER((1+'2. TaxData'!$I$65),(C400-'1. AgeData'!$D$30)))))</f>
        <v>0</v>
      </c>
      <c r="G400" s="1798" t="s">
        <v>1502</v>
      </c>
      <c r="H400" s="1707">
        <v>0</v>
      </c>
      <c r="I400" s="1717"/>
      <c r="J400" s="1720">
        <v>0</v>
      </c>
      <c r="K400" s="1865">
        <f>IF(J400=0,0,  J400*IF(G400="FD",1,POWER((1+'2. TaxData'!$I$65),(H400-'1. AgeData'!$D$31))))</f>
        <v>0</v>
      </c>
      <c r="L400" s="316"/>
      <c r="M400" s="1455"/>
      <c r="N400" s="316"/>
    </row>
    <row r="401" spans="1:14" s="306" customFormat="1" ht="12" x14ac:dyDescent="0.2">
      <c r="A401" s="1487">
        <v>109</v>
      </c>
      <c r="B401" s="1798" t="s">
        <v>1502</v>
      </c>
      <c r="C401" s="1901">
        <v>0</v>
      </c>
      <c r="D401" s="1717"/>
      <c r="E401" s="1683">
        <v>0</v>
      </c>
      <c r="F401" s="1213">
        <f>IF(E401=0,0,  E401*(IF(B401="FD",1,POWER((1+'2. TaxData'!$I$65),(C401-'1. AgeData'!$D$30)))))</f>
        <v>0</v>
      </c>
      <c r="G401" s="1798" t="s">
        <v>1502</v>
      </c>
      <c r="H401" s="1707">
        <v>0</v>
      </c>
      <c r="I401" s="1717"/>
      <c r="J401" s="1720">
        <v>0</v>
      </c>
      <c r="K401" s="1865">
        <f>IF(J401=0,0,  J401*IF(G401="FD",1,POWER((1+'2. TaxData'!$I$65),(H401-'1. AgeData'!$D$31))))</f>
        <v>0</v>
      </c>
      <c r="L401" s="316"/>
      <c r="M401" s="1455"/>
      <c r="N401" s="316"/>
    </row>
    <row r="402" spans="1:14" s="306" customFormat="1" ht="12" x14ac:dyDescent="0.2">
      <c r="A402" s="1487">
        <v>110</v>
      </c>
      <c r="B402" s="1798" t="s">
        <v>1502</v>
      </c>
      <c r="C402" s="1901">
        <v>0</v>
      </c>
      <c r="D402" s="1717"/>
      <c r="E402" s="1683">
        <v>0</v>
      </c>
      <c r="F402" s="1213">
        <f>IF(E402=0,0,  E402*(IF(B402="FD",1,POWER((1+'2. TaxData'!$I$65),(C402-'1. AgeData'!$D$30)))))</f>
        <v>0</v>
      </c>
      <c r="G402" s="1798" t="s">
        <v>1502</v>
      </c>
      <c r="H402" s="1707">
        <v>0</v>
      </c>
      <c r="I402" s="1717"/>
      <c r="J402" s="1720">
        <v>0</v>
      </c>
      <c r="K402" s="1865">
        <f>IF(J402=0,0,  J402*IF(G402="FD",1,POWER((1+'2. TaxData'!$I$65),(H402-'1. AgeData'!$D$31))))</f>
        <v>0</v>
      </c>
      <c r="L402" s="316"/>
      <c r="M402" s="1455"/>
      <c r="N402" s="316"/>
    </row>
    <row r="403" spans="1:14" s="306" customFormat="1" ht="12" x14ac:dyDescent="0.2">
      <c r="A403" s="1487">
        <v>111</v>
      </c>
      <c r="B403" s="1798" t="s">
        <v>1502</v>
      </c>
      <c r="C403" s="1901">
        <v>0</v>
      </c>
      <c r="D403" s="1717"/>
      <c r="E403" s="1683">
        <v>0</v>
      </c>
      <c r="F403" s="1213">
        <f>IF(E403=0,0,  E403*(IF(B403="FD",1,POWER((1+'2. TaxData'!$I$65),(C403-'1. AgeData'!$D$30)))))</f>
        <v>0</v>
      </c>
      <c r="G403" s="1798" t="s">
        <v>1502</v>
      </c>
      <c r="H403" s="1707">
        <v>0</v>
      </c>
      <c r="I403" s="1717"/>
      <c r="J403" s="1720">
        <v>0</v>
      </c>
      <c r="K403" s="1865">
        <f>IF(J403=0,0,  J403*IF(G403="FD",1,POWER((1+'2. TaxData'!$I$65),(H403-'1. AgeData'!$D$31))))</f>
        <v>0</v>
      </c>
      <c r="L403" s="316"/>
      <c r="M403" s="1455"/>
      <c r="N403" s="316"/>
    </row>
    <row r="404" spans="1:14" s="306" customFormat="1" ht="12" x14ac:dyDescent="0.2">
      <c r="A404" s="1487">
        <v>112</v>
      </c>
      <c r="B404" s="1798" t="s">
        <v>1502</v>
      </c>
      <c r="C404" s="1901">
        <v>0</v>
      </c>
      <c r="D404" s="1717"/>
      <c r="E404" s="1683">
        <v>0</v>
      </c>
      <c r="F404" s="1213">
        <f>IF(E404=0,0,  E404*(IF(B404="FD",1,POWER((1+'2. TaxData'!$I$65),(C404-'1. AgeData'!$D$30)))))</f>
        <v>0</v>
      </c>
      <c r="G404" s="1798" t="s">
        <v>1502</v>
      </c>
      <c r="H404" s="1707">
        <v>0</v>
      </c>
      <c r="I404" s="1717"/>
      <c r="J404" s="1720">
        <v>0</v>
      </c>
      <c r="K404" s="1865">
        <f>IF(J404=0,0,  J404*IF(G404="FD",1,POWER((1+'2. TaxData'!$I$65),(H404-'1. AgeData'!$D$31))))</f>
        <v>0</v>
      </c>
      <c r="L404" s="316"/>
      <c r="M404" s="1455"/>
      <c r="N404" s="316"/>
    </row>
    <row r="405" spans="1:14" s="306" customFormat="1" ht="12" x14ac:dyDescent="0.2">
      <c r="A405" s="1487">
        <v>113</v>
      </c>
      <c r="B405" s="1798" t="s">
        <v>1502</v>
      </c>
      <c r="C405" s="1901">
        <v>0</v>
      </c>
      <c r="D405" s="1717"/>
      <c r="E405" s="1683">
        <v>0</v>
      </c>
      <c r="F405" s="1213">
        <f>IF(E405=0,0,  E405*(IF(B405="FD",1,POWER((1+'2. TaxData'!$I$65),(C405-'1. AgeData'!$D$30)))))</f>
        <v>0</v>
      </c>
      <c r="G405" s="1798" t="s">
        <v>1502</v>
      </c>
      <c r="H405" s="1707">
        <v>0</v>
      </c>
      <c r="I405" s="1717"/>
      <c r="J405" s="1720">
        <v>0</v>
      </c>
      <c r="K405" s="1865">
        <f>IF(J405=0,0,  J405*IF(G405="FD",1,POWER((1+'2. TaxData'!$I$65),(H405-'1. AgeData'!$D$31))))</f>
        <v>0</v>
      </c>
      <c r="L405" s="316"/>
      <c r="M405" s="1455"/>
      <c r="N405" s="316"/>
    </row>
    <row r="406" spans="1:14" s="306" customFormat="1" ht="12" x14ac:dyDescent="0.2">
      <c r="A406" s="1487">
        <v>114</v>
      </c>
      <c r="B406" s="1798" t="s">
        <v>1502</v>
      </c>
      <c r="C406" s="1901">
        <v>0</v>
      </c>
      <c r="D406" s="1717"/>
      <c r="E406" s="1683">
        <v>0</v>
      </c>
      <c r="F406" s="1213">
        <f>IF(E406=0,0,  E406*(IF(B406="FD",1,POWER((1+'2. TaxData'!$I$65),(C406-'1. AgeData'!$D$30)))))</f>
        <v>0</v>
      </c>
      <c r="G406" s="1798" t="s">
        <v>1502</v>
      </c>
      <c r="H406" s="1707">
        <v>0</v>
      </c>
      <c r="I406" s="1717"/>
      <c r="J406" s="1720">
        <v>0</v>
      </c>
      <c r="K406" s="1865">
        <f>IF(J406=0,0,  J406*IF(G406="FD",1,POWER((1+'2. TaxData'!$I$65),(H406-'1. AgeData'!$D$31))))</f>
        <v>0</v>
      </c>
      <c r="L406" s="316"/>
      <c r="M406" s="1455"/>
      <c r="N406" s="316"/>
    </row>
    <row r="407" spans="1:14" s="306" customFormat="1" ht="12" x14ac:dyDescent="0.2">
      <c r="A407" s="1487">
        <v>115</v>
      </c>
      <c r="B407" s="1798" t="s">
        <v>1502</v>
      </c>
      <c r="C407" s="1901">
        <v>0</v>
      </c>
      <c r="D407" s="1717"/>
      <c r="E407" s="1683">
        <v>0</v>
      </c>
      <c r="F407" s="1213">
        <f>IF(E407=0,0,  E407*(IF(B407="FD",1,POWER((1+'2. TaxData'!$I$65),(C407-'1. AgeData'!$D$30)))))</f>
        <v>0</v>
      </c>
      <c r="G407" s="1798" t="s">
        <v>1502</v>
      </c>
      <c r="H407" s="1707">
        <v>0</v>
      </c>
      <c r="I407" s="1717"/>
      <c r="J407" s="1720">
        <v>0</v>
      </c>
      <c r="K407" s="1865">
        <f>IF(J407=0,0,  J407*IF(G407="FD",1,POWER((1+'2. TaxData'!$I$65),(H407-'1. AgeData'!$D$31))))</f>
        <v>0</v>
      </c>
      <c r="L407" s="316"/>
      <c r="M407" s="1455"/>
      <c r="N407" s="316"/>
    </row>
    <row r="408" spans="1:14" s="306" customFormat="1" ht="12" x14ac:dyDescent="0.2">
      <c r="A408" s="1487">
        <v>116</v>
      </c>
      <c r="B408" s="1798" t="s">
        <v>1502</v>
      </c>
      <c r="C408" s="1901">
        <v>0</v>
      </c>
      <c r="D408" s="1717"/>
      <c r="E408" s="1683">
        <v>0</v>
      </c>
      <c r="F408" s="1213">
        <f>IF(E408=0,0,  E408*(IF(B408="FD",1,POWER((1+'2. TaxData'!$I$65),(C408-'1. AgeData'!$D$30)))))</f>
        <v>0</v>
      </c>
      <c r="G408" s="1798" t="s">
        <v>1502</v>
      </c>
      <c r="H408" s="1707">
        <v>0</v>
      </c>
      <c r="I408" s="1717"/>
      <c r="J408" s="1720">
        <v>0</v>
      </c>
      <c r="K408" s="1865">
        <f>IF(J408=0,0,  J408*IF(G408="FD",1,POWER((1+'2. TaxData'!$I$65),(H408-'1. AgeData'!$D$31))))</f>
        <v>0</v>
      </c>
      <c r="L408" s="316"/>
      <c r="M408" s="1455"/>
      <c r="N408" s="316"/>
    </row>
    <row r="409" spans="1:14" s="306" customFormat="1" ht="12" x14ac:dyDescent="0.2">
      <c r="A409" s="1487">
        <v>117</v>
      </c>
      <c r="B409" s="1798" t="s">
        <v>1502</v>
      </c>
      <c r="C409" s="1901">
        <v>0</v>
      </c>
      <c r="D409" s="1717"/>
      <c r="E409" s="1683">
        <v>0</v>
      </c>
      <c r="F409" s="1213">
        <f>IF(E409=0,0,  E409*(IF(B409="FD",1,POWER((1+'2. TaxData'!$I$65),(C409-'1. AgeData'!$D$30)))))</f>
        <v>0</v>
      </c>
      <c r="G409" s="1798" t="s">
        <v>1502</v>
      </c>
      <c r="H409" s="1707">
        <v>0</v>
      </c>
      <c r="I409" s="1717"/>
      <c r="J409" s="1720">
        <v>0</v>
      </c>
      <c r="K409" s="1865">
        <f>IF(J409=0,0,  J409*IF(G409="FD",1,POWER((1+'2. TaxData'!$I$65),(H409-'1. AgeData'!$D$31))))</f>
        <v>0</v>
      </c>
      <c r="L409" s="316"/>
      <c r="M409" s="1455"/>
      <c r="N409" s="316"/>
    </row>
    <row r="410" spans="1:14" s="306" customFormat="1" ht="12" x14ac:dyDescent="0.2">
      <c r="A410" s="1487">
        <v>118</v>
      </c>
      <c r="B410" s="1798" t="s">
        <v>1502</v>
      </c>
      <c r="C410" s="1901">
        <v>0</v>
      </c>
      <c r="D410" s="1717"/>
      <c r="E410" s="1683">
        <v>0</v>
      </c>
      <c r="F410" s="1213">
        <f>IF(E410=0,0,  E410*(IF(B410="FD",1,POWER((1+'2. TaxData'!$I$65),(C410-'1. AgeData'!$D$30)))))</f>
        <v>0</v>
      </c>
      <c r="G410" s="1798" t="s">
        <v>1502</v>
      </c>
      <c r="H410" s="1707">
        <v>0</v>
      </c>
      <c r="I410" s="1717"/>
      <c r="J410" s="1720">
        <v>0</v>
      </c>
      <c r="K410" s="1865">
        <f>IF(J410=0,0,  J410*IF(G410="FD",1,POWER((1+'2. TaxData'!$I$65),(H410-'1. AgeData'!$D$31))))</f>
        <v>0</v>
      </c>
      <c r="L410" s="316"/>
      <c r="M410" s="1455"/>
      <c r="N410" s="316"/>
    </row>
    <row r="411" spans="1:14" s="306" customFormat="1" ht="12" x14ac:dyDescent="0.2">
      <c r="A411" s="1487">
        <v>119</v>
      </c>
      <c r="B411" s="1798" t="s">
        <v>1502</v>
      </c>
      <c r="C411" s="1901">
        <v>0</v>
      </c>
      <c r="D411" s="1717"/>
      <c r="E411" s="1683">
        <v>0</v>
      </c>
      <c r="F411" s="1213">
        <f>IF(E411=0,0,  E411*(IF(B411="FD",1,POWER((1+'2. TaxData'!$I$65),(C411-'1. AgeData'!$D$30)))))</f>
        <v>0</v>
      </c>
      <c r="G411" s="1798" t="s">
        <v>1502</v>
      </c>
      <c r="H411" s="1707">
        <v>0</v>
      </c>
      <c r="I411" s="1717"/>
      <c r="J411" s="1720">
        <v>0</v>
      </c>
      <c r="K411" s="1865">
        <f>IF(J411=0,0,  J411*IF(G411="FD",1,POWER((1+'2. TaxData'!$I$65),(H411-'1. AgeData'!$D$31))))</f>
        <v>0</v>
      </c>
      <c r="L411" s="316"/>
      <c r="M411" s="1455"/>
      <c r="N411" s="316"/>
    </row>
    <row r="412" spans="1:14" s="306" customFormat="1" ht="12" x14ac:dyDescent="0.2">
      <c r="A412" s="1487">
        <v>120</v>
      </c>
      <c r="B412" s="1798" t="s">
        <v>1502</v>
      </c>
      <c r="C412" s="1901">
        <v>0</v>
      </c>
      <c r="D412" s="1717"/>
      <c r="E412" s="1683">
        <v>0</v>
      </c>
      <c r="F412" s="1213">
        <f>IF(E412=0,0,  E412*(IF(B412="FD",1,POWER((1+'2. TaxData'!$I$65),(C412-'1. AgeData'!$D$30)))))</f>
        <v>0</v>
      </c>
      <c r="G412" s="1798" t="s">
        <v>1502</v>
      </c>
      <c r="H412" s="1707">
        <v>0</v>
      </c>
      <c r="I412" s="1717"/>
      <c r="J412" s="1720">
        <v>0</v>
      </c>
      <c r="K412" s="1865">
        <f>IF(J412=0,0,  J412*IF(G412="FD",1,POWER((1+'2. TaxData'!$I$65),(H412-'1. AgeData'!$D$31))))</f>
        <v>0</v>
      </c>
      <c r="L412" s="316"/>
      <c r="M412" s="1455"/>
      <c r="N412" s="316"/>
    </row>
    <row r="413" spans="1:14" s="306" customFormat="1" ht="12" x14ac:dyDescent="0.2">
      <c r="A413" s="1487">
        <v>121</v>
      </c>
      <c r="B413" s="1798" t="s">
        <v>1502</v>
      </c>
      <c r="C413" s="1901">
        <v>0</v>
      </c>
      <c r="D413" s="1717"/>
      <c r="E413" s="1683">
        <v>0</v>
      </c>
      <c r="F413" s="1213">
        <f>IF(E413=0,0,  E413*(IF(B413="FD",1,POWER((1+'2. TaxData'!$I$65),(C413-'1. AgeData'!$D$30)))))</f>
        <v>0</v>
      </c>
      <c r="G413" s="1798" t="s">
        <v>1502</v>
      </c>
      <c r="H413" s="1707">
        <v>0</v>
      </c>
      <c r="I413" s="1717"/>
      <c r="J413" s="1720">
        <v>0</v>
      </c>
      <c r="K413" s="1865">
        <f>IF(J413=0,0,  J413*IF(G413="FD",1,POWER((1+'2. TaxData'!$I$65),(H413-'1. AgeData'!$D$31))))</f>
        <v>0</v>
      </c>
      <c r="L413" s="316"/>
      <c r="M413" s="1455"/>
      <c r="N413" s="316"/>
    </row>
    <row r="414" spans="1:14" s="306" customFormat="1" ht="12" x14ac:dyDescent="0.2">
      <c r="A414" s="1487">
        <v>122</v>
      </c>
      <c r="B414" s="1798" t="s">
        <v>1502</v>
      </c>
      <c r="C414" s="1901">
        <v>0</v>
      </c>
      <c r="D414" s="1717"/>
      <c r="E414" s="1683">
        <v>0</v>
      </c>
      <c r="F414" s="1213">
        <f>IF(E414=0,0,  E414*(IF(B414="FD",1,POWER((1+'2. TaxData'!$I$65),(C414-'1. AgeData'!$D$30)))))</f>
        <v>0</v>
      </c>
      <c r="G414" s="1798" t="s">
        <v>1502</v>
      </c>
      <c r="H414" s="1707">
        <v>0</v>
      </c>
      <c r="I414" s="1717"/>
      <c r="J414" s="1720">
        <v>0</v>
      </c>
      <c r="K414" s="1865">
        <f>IF(J414=0,0,  J414*IF(G414="FD",1,POWER((1+'2. TaxData'!$I$65),(H414-'1. AgeData'!$D$31))))</f>
        <v>0</v>
      </c>
      <c r="L414" s="316"/>
      <c r="M414" s="1455"/>
      <c r="N414" s="316"/>
    </row>
    <row r="415" spans="1:14" s="306" customFormat="1" ht="12" x14ac:dyDescent="0.2">
      <c r="A415" s="1487">
        <v>123</v>
      </c>
      <c r="B415" s="1798" t="s">
        <v>1502</v>
      </c>
      <c r="C415" s="1901">
        <v>0</v>
      </c>
      <c r="D415" s="1717"/>
      <c r="E415" s="1683">
        <v>0</v>
      </c>
      <c r="F415" s="1213">
        <f>IF(E415=0,0,  E415*(IF(B415="FD",1,POWER((1+'2. TaxData'!$I$65),(C415-'1. AgeData'!$D$30)))))</f>
        <v>0</v>
      </c>
      <c r="G415" s="1798" t="s">
        <v>1502</v>
      </c>
      <c r="H415" s="1707">
        <v>0</v>
      </c>
      <c r="I415" s="1717"/>
      <c r="J415" s="1720">
        <v>0</v>
      </c>
      <c r="K415" s="1865">
        <f>IF(J415=0,0,  J415*IF(G415="FD",1,POWER((1+'2. TaxData'!$I$65),(H415-'1. AgeData'!$D$31))))</f>
        <v>0</v>
      </c>
      <c r="L415" s="316"/>
      <c r="M415" s="1455"/>
      <c r="N415" s="316"/>
    </row>
    <row r="416" spans="1:14" s="306" customFormat="1" ht="12" x14ac:dyDescent="0.2">
      <c r="A416" s="1487">
        <v>124</v>
      </c>
      <c r="B416" s="1798" t="s">
        <v>1502</v>
      </c>
      <c r="C416" s="1901">
        <v>0</v>
      </c>
      <c r="D416" s="1717"/>
      <c r="E416" s="1683">
        <v>0</v>
      </c>
      <c r="F416" s="1213">
        <f>IF(E416=0,0,  E416*(IF(B416="FD",1,POWER((1+'2. TaxData'!$I$65),(C416-'1. AgeData'!$D$30)))))</f>
        <v>0</v>
      </c>
      <c r="G416" s="1798" t="s">
        <v>1502</v>
      </c>
      <c r="H416" s="1707">
        <v>0</v>
      </c>
      <c r="I416" s="1717"/>
      <c r="J416" s="1720">
        <v>0</v>
      </c>
      <c r="K416" s="1865">
        <f>IF(J416=0,0,  J416*IF(G416="FD",1,POWER((1+'2. TaxData'!$I$65),(H416-'1. AgeData'!$D$31))))</f>
        <v>0</v>
      </c>
      <c r="L416" s="316"/>
      <c r="M416" s="1455"/>
      <c r="N416" s="316"/>
    </row>
    <row r="417" spans="1:14" s="306" customFormat="1" ht="12" x14ac:dyDescent="0.2">
      <c r="A417" s="1487">
        <v>125</v>
      </c>
      <c r="B417" s="1798" t="s">
        <v>1502</v>
      </c>
      <c r="C417" s="1901">
        <v>0</v>
      </c>
      <c r="D417" s="1717"/>
      <c r="E417" s="1683">
        <v>0</v>
      </c>
      <c r="F417" s="1213">
        <f>IF(E417=0,0,  E417*(IF(B417="FD",1,POWER((1+'2. TaxData'!$I$65),(C417-'1. AgeData'!$D$30)))))</f>
        <v>0</v>
      </c>
      <c r="G417" s="1798" t="s">
        <v>1502</v>
      </c>
      <c r="H417" s="1707">
        <v>0</v>
      </c>
      <c r="I417" s="1717"/>
      <c r="J417" s="1720">
        <v>0</v>
      </c>
      <c r="K417" s="1865">
        <f>IF(J417=0,0,  J417*IF(G417="FD",1,POWER((1+'2. TaxData'!$I$65),(H417-'1. AgeData'!$D$31))))</f>
        <v>0</v>
      </c>
      <c r="L417" s="316"/>
      <c r="M417" s="1455"/>
      <c r="N417" s="316"/>
    </row>
    <row r="418" spans="1:14" s="306" customFormat="1" ht="12" x14ac:dyDescent="0.2">
      <c r="A418" s="1487">
        <v>126</v>
      </c>
      <c r="B418" s="1798" t="s">
        <v>1502</v>
      </c>
      <c r="C418" s="1901">
        <v>0</v>
      </c>
      <c r="D418" s="1717"/>
      <c r="E418" s="1683">
        <v>0</v>
      </c>
      <c r="F418" s="1213">
        <f>IF(E418=0,0,  E418*(IF(B418="FD",1,POWER((1+'2. TaxData'!$I$65),(C418-'1. AgeData'!$D$30)))))</f>
        <v>0</v>
      </c>
      <c r="G418" s="1798" t="s">
        <v>1502</v>
      </c>
      <c r="H418" s="1707">
        <v>0</v>
      </c>
      <c r="I418" s="1717"/>
      <c r="J418" s="1720">
        <v>0</v>
      </c>
      <c r="K418" s="1865">
        <f>IF(J418=0,0,  J418*IF(G418="FD",1,POWER((1+'2. TaxData'!$I$65),(H418-'1. AgeData'!$D$31))))</f>
        <v>0</v>
      </c>
      <c r="L418" s="316"/>
      <c r="M418" s="1455"/>
      <c r="N418" s="316"/>
    </row>
    <row r="419" spans="1:14" s="306" customFormat="1" ht="12" x14ac:dyDescent="0.2">
      <c r="A419" s="1487">
        <v>127</v>
      </c>
      <c r="B419" s="1798" t="s">
        <v>1502</v>
      </c>
      <c r="C419" s="1901">
        <v>0</v>
      </c>
      <c r="D419" s="1717"/>
      <c r="E419" s="1683">
        <v>0</v>
      </c>
      <c r="F419" s="1213">
        <f>IF(E419=0,0,  E419*(IF(B419="FD",1,POWER((1+'2. TaxData'!$I$65),(C419-'1. AgeData'!$D$30)))))</f>
        <v>0</v>
      </c>
      <c r="G419" s="1798" t="s">
        <v>1502</v>
      </c>
      <c r="H419" s="1707">
        <v>0</v>
      </c>
      <c r="I419" s="1717"/>
      <c r="J419" s="1720">
        <v>0</v>
      </c>
      <c r="K419" s="1865">
        <f>IF(J419=0,0,  J419*IF(G419="FD",1,POWER((1+'2. TaxData'!$I$65),(H419-'1. AgeData'!$D$31))))</f>
        <v>0</v>
      </c>
      <c r="L419" s="316"/>
      <c r="M419" s="1455"/>
      <c r="N419" s="316"/>
    </row>
    <row r="420" spans="1:14" s="306" customFormat="1" ht="12" x14ac:dyDescent="0.2">
      <c r="A420" s="1487">
        <v>128</v>
      </c>
      <c r="B420" s="1798" t="s">
        <v>1502</v>
      </c>
      <c r="C420" s="1901">
        <v>0</v>
      </c>
      <c r="D420" s="1717"/>
      <c r="E420" s="1683">
        <v>0</v>
      </c>
      <c r="F420" s="1213">
        <f>IF(E420=0,0,  E420*(IF(B420="FD",1,POWER((1+'2. TaxData'!$I$65),(C420-'1. AgeData'!$D$30)))))</f>
        <v>0</v>
      </c>
      <c r="G420" s="1798" t="s">
        <v>1502</v>
      </c>
      <c r="H420" s="1707">
        <v>0</v>
      </c>
      <c r="I420" s="1717"/>
      <c r="J420" s="1720">
        <v>0</v>
      </c>
      <c r="K420" s="1865">
        <f>IF(J420=0,0,  J420*IF(G420="FD",1,POWER((1+'2. TaxData'!$I$65),(H420-'1. AgeData'!$D$31))))</f>
        <v>0</v>
      </c>
      <c r="L420" s="316"/>
      <c r="M420" s="1455"/>
      <c r="N420" s="316"/>
    </row>
    <row r="421" spans="1:14" s="306" customFormat="1" ht="12" x14ac:dyDescent="0.2">
      <c r="A421" s="1487">
        <v>129</v>
      </c>
      <c r="B421" s="1798" t="s">
        <v>1502</v>
      </c>
      <c r="C421" s="1901">
        <v>0</v>
      </c>
      <c r="D421" s="1717"/>
      <c r="E421" s="1683">
        <v>0</v>
      </c>
      <c r="F421" s="1213">
        <f>IF(E421=0,0,  E421*(IF(B421="FD",1,POWER((1+'2. TaxData'!$I$65),(C421-'1. AgeData'!$D$30)))))</f>
        <v>0</v>
      </c>
      <c r="G421" s="1798" t="s">
        <v>1502</v>
      </c>
      <c r="H421" s="1707">
        <v>0</v>
      </c>
      <c r="I421" s="1717"/>
      <c r="J421" s="1720">
        <v>0</v>
      </c>
      <c r="K421" s="1865">
        <f>IF(J421=0,0,  J421*IF(G421="FD",1,POWER((1+'2. TaxData'!$I$65),(H421-'1. AgeData'!$D$31))))</f>
        <v>0</v>
      </c>
      <c r="L421" s="316"/>
      <c r="M421" s="1455"/>
      <c r="N421" s="316"/>
    </row>
    <row r="422" spans="1:14" s="306" customFormat="1" ht="12" x14ac:dyDescent="0.2">
      <c r="A422" s="1487">
        <v>130</v>
      </c>
      <c r="B422" s="1798" t="s">
        <v>1502</v>
      </c>
      <c r="C422" s="1901">
        <v>0</v>
      </c>
      <c r="D422" s="1717"/>
      <c r="E422" s="1683">
        <v>0</v>
      </c>
      <c r="F422" s="1213">
        <f>IF(E422=0,0,  E422*(IF(B422="FD",1,POWER((1+'2. TaxData'!$I$65),(C422-'1. AgeData'!$D$30)))))</f>
        <v>0</v>
      </c>
      <c r="G422" s="1798" t="s">
        <v>1502</v>
      </c>
      <c r="H422" s="1707">
        <v>0</v>
      </c>
      <c r="I422" s="1717"/>
      <c r="J422" s="1720">
        <v>0</v>
      </c>
      <c r="K422" s="1865">
        <f>IF(J422=0,0,  J422*IF(G422="FD",1,POWER((1+'2. TaxData'!$I$65),(H422-'1. AgeData'!$D$31))))</f>
        <v>0</v>
      </c>
      <c r="L422" s="316"/>
      <c r="M422" s="1455"/>
      <c r="N422" s="316"/>
    </row>
    <row r="423" spans="1:14" s="306" customFormat="1" ht="12" x14ac:dyDescent="0.2">
      <c r="A423" s="1487">
        <v>131</v>
      </c>
      <c r="B423" s="1798" t="s">
        <v>1502</v>
      </c>
      <c r="C423" s="1901">
        <v>0</v>
      </c>
      <c r="D423" s="1717"/>
      <c r="E423" s="1683">
        <v>0</v>
      </c>
      <c r="F423" s="1213">
        <f>IF(E423=0,0,  E423*(IF(B423="FD",1,POWER((1+'2. TaxData'!$I$65),(C423-'1. AgeData'!$D$30)))))</f>
        <v>0</v>
      </c>
      <c r="G423" s="1798" t="s">
        <v>1502</v>
      </c>
      <c r="H423" s="1707">
        <v>0</v>
      </c>
      <c r="I423" s="1717"/>
      <c r="J423" s="1720">
        <v>0</v>
      </c>
      <c r="K423" s="1865">
        <f>IF(J423=0,0,  J423*IF(G423="FD",1,POWER((1+'2. TaxData'!$I$65),(H423-'1. AgeData'!$D$31))))</f>
        <v>0</v>
      </c>
      <c r="L423" s="316"/>
      <c r="M423" s="1455"/>
      <c r="N423" s="316"/>
    </row>
    <row r="424" spans="1:14" s="306" customFormat="1" ht="12" x14ac:dyDescent="0.2">
      <c r="A424" s="1487">
        <v>132</v>
      </c>
      <c r="B424" s="1798" t="s">
        <v>1502</v>
      </c>
      <c r="C424" s="1901">
        <v>0</v>
      </c>
      <c r="D424" s="1717"/>
      <c r="E424" s="1683">
        <v>0</v>
      </c>
      <c r="F424" s="1213">
        <f>IF(E424=0,0,  E424*(IF(B424="FD",1,POWER((1+'2. TaxData'!$I$65),(C424-'1. AgeData'!$D$30)))))</f>
        <v>0</v>
      </c>
      <c r="G424" s="1798" t="s">
        <v>1502</v>
      </c>
      <c r="H424" s="1707">
        <v>0</v>
      </c>
      <c r="I424" s="1717"/>
      <c r="J424" s="1720">
        <v>0</v>
      </c>
      <c r="K424" s="1865">
        <f>IF(J424=0,0,  J424*IF(G424="FD",1,POWER((1+'2. TaxData'!$I$65),(H424-'1. AgeData'!$D$31))))</f>
        <v>0</v>
      </c>
      <c r="L424" s="316"/>
      <c r="M424" s="1455"/>
      <c r="N424" s="316"/>
    </row>
    <row r="425" spans="1:14" s="306" customFormat="1" ht="12" x14ac:dyDescent="0.2">
      <c r="A425" s="1487">
        <v>133</v>
      </c>
      <c r="B425" s="1798" t="s">
        <v>1502</v>
      </c>
      <c r="C425" s="1901">
        <v>0</v>
      </c>
      <c r="D425" s="1717"/>
      <c r="E425" s="1683">
        <v>0</v>
      </c>
      <c r="F425" s="1213">
        <f>IF(E425=0,0,  E425*(IF(B425="FD",1,POWER((1+'2. TaxData'!$I$65),(C425-'1. AgeData'!$D$30)))))</f>
        <v>0</v>
      </c>
      <c r="G425" s="1798" t="s">
        <v>1502</v>
      </c>
      <c r="H425" s="1707">
        <v>0</v>
      </c>
      <c r="I425" s="1717"/>
      <c r="J425" s="1720">
        <v>0</v>
      </c>
      <c r="K425" s="1865">
        <f>IF(J425=0,0,  J425*IF(G425="FD",1,POWER((1+'2. TaxData'!$I$65),(H425-'1. AgeData'!$D$31))))</f>
        <v>0</v>
      </c>
      <c r="L425" s="316"/>
      <c r="M425" s="1455"/>
      <c r="N425" s="316"/>
    </row>
    <row r="426" spans="1:14" s="306" customFormat="1" ht="12" x14ac:dyDescent="0.2">
      <c r="A426" s="1487">
        <v>134</v>
      </c>
      <c r="B426" s="1798" t="s">
        <v>1502</v>
      </c>
      <c r="C426" s="1901">
        <v>0</v>
      </c>
      <c r="D426" s="1717"/>
      <c r="E426" s="1683">
        <v>0</v>
      </c>
      <c r="F426" s="1213">
        <f>IF(E426=0,0,  E426*(IF(B426="FD",1,POWER((1+'2. TaxData'!$I$65),(C426-'1. AgeData'!$D$30)))))</f>
        <v>0</v>
      </c>
      <c r="G426" s="1798" t="s">
        <v>1502</v>
      </c>
      <c r="H426" s="1707">
        <v>0</v>
      </c>
      <c r="I426" s="1717"/>
      <c r="J426" s="1720">
        <v>0</v>
      </c>
      <c r="K426" s="1865">
        <f>IF(J426=0,0,  J426*IF(G426="FD",1,POWER((1+'2. TaxData'!$I$65),(H426-'1. AgeData'!$D$31))))</f>
        <v>0</v>
      </c>
      <c r="L426" s="316"/>
      <c r="M426" s="1455"/>
      <c r="N426" s="316"/>
    </row>
    <row r="427" spans="1:14" s="306" customFormat="1" ht="12" x14ac:dyDescent="0.2">
      <c r="A427" s="1487">
        <v>135</v>
      </c>
      <c r="B427" s="1798" t="s">
        <v>1502</v>
      </c>
      <c r="C427" s="1901">
        <v>0</v>
      </c>
      <c r="D427" s="1717"/>
      <c r="E427" s="1683">
        <v>0</v>
      </c>
      <c r="F427" s="1213">
        <f>IF(E427=0,0,  E427*(IF(B427="FD",1,POWER((1+'2. TaxData'!$I$65),(C427-'1. AgeData'!$D$30)))))</f>
        <v>0</v>
      </c>
      <c r="G427" s="1798" t="s">
        <v>1502</v>
      </c>
      <c r="H427" s="1707">
        <v>0</v>
      </c>
      <c r="I427" s="1717"/>
      <c r="J427" s="1720">
        <v>0</v>
      </c>
      <c r="K427" s="1865">
        <f>IF(J427=0,0,  J427*IF(G427="FD",1,POWER((1+'2. TaxData'!$I$65),(H427-'1. AgeData'!$D$31))))</f>
        <v>0</v>
      </c>
      <c r="L427" s="316"/>
      <c r="M427" s="1455"/>
      <c r="N427" s="316"/>
    </row>
    <row r="428" spans="1:14" s="306" customFormat="1" ht="12" x14ac:dyDescent="0.2">
      <c r="A428" s="1487">
        <v>136</v>
      </c>
      <c r="B428" s="1798" t="s">
        <v>1502</v>
      </c>
      <c r="C428" s="1901">
        <v>0</v>
      </c>
      <c r="D428" s="1717"/>
      <c r="E428" s="1683">
        <v>0</v>
      </c>
      <c r="F428" s="1213">
        <f>IF(E428=0,0,  E428*(IF(B428="FD",1,POWER((1+'2. TaxData'!$I$65),(C428-'1. AgeData'!$D$30)))))</f>
        <v>0</v>
      </c>
      <c r="G428" s="1798" t="s">
        <v>1502</v>
      </c>
      <c r="H428" s="1707">
        <v>0</v>
      </c>
      <c r="I428" s="1717"/>
      <c r="J428" s="1720">
        <v>0</v>
      </c>
      <c r="K428" s="1865">
        <f>IF(J428=0,0,  J428*IF(G428="FD",1,POWER((1+'2. TaxData'!$I$65),(H428-'1. AgeData'!$D$31))))</f>
        <v>0</v>
      </c>
      <c r="L428" s="316"/>
      <c r="M428" s="1455"/>
      <c r="N428" s="316"/>
    </row>
    <row r="429" spans="1:14" s="306" customFormat="1" ht="12" x14ac:dyDescent="0.2">
      <c r="A429" s="1487">
        <v>137</v>
      </c>
      <c r="B429" s="1798" t="s">
        <v>1502</v>
      </c>
      <c r="C429" s="1901">
        <v>0</v>
      </c>
      <c r="D429" s="1717"/>
      <c r="E429" s="1683">
        <v>0</v>
      </c>
      <c r="F429" s="1213">
        <f>IF(E429=0,0,  E429*(IF(B429="FD",1,POWER((1+'2. TaxData'!$I$65),(C429-'1. AgeData'!$D$30)))))</f>
        <v>0</v>
      </c>
      <c r="G429" s="1798" t="s">
        <v>1502</v>
      </c>
      <c r="H429" s="1707">
        <v>0</v>
      </c>
      <c r="I429" s="1717"/>
      <c r="J429" s="1720">
        <v>0</v>
      </c>
      <c r="K429" s="1865">
        <f>IF(J429=0,0,  J429*IF(G429="FD",1,POWER((1+'2. TaxData'!$I$65),(H429-'1. AgeData'!$D$31))))</f>
        <v>0</v>
      </c>
      <c r="L429" s="316"/>
      <c r="M429" s="1455"/>
      <c r="N429" s="316"/>
    </row>
    <row r="430" spans="1:14" s="306" customFormat="1" ht="12" x14ac:dyDescent="0.2">
      <c r="A430" s="1487">
        <v>138</v>
      </c>
      <c r="B430" s="1798" t="s">
        <v>1502</v>
      </c>
      <c r="C430" s="1901">
        <v>0</v>
      </c>
      <c r="D430" s="1717"/>
      <c r="E430" s="1683">
        <v>0</v>
      </c>
      <c r="F430" s="1213">
        <f>IF(E430=0,0,  E430*(IF(B430="FD",1,POWER((1+'2. TaxData'!$I$65),(C430-'1. AgeData'!$D$30)))))</f>
        <v>0</v>
      </c>
      <c r="G430" s="1798" t="s">
        <v>1502</v>
      </c>
      <c r="H430" s="1707">
        <v>0</v>
      </c>
      <c r="I430" s="1717"/>
      <c r="J430" s="1720">
        <v>0</v>
      </c>
      <c r="K430" s="1865">
        <f>IF(J430=0,0,  J430*IF(G430="FD",1,POWER((1+'2. TaxData'!$I$65),(H430-'1. AgeData'!$D$31))))</f>
        <v>0</v>
      </c>
      <c r="L430" s="316"/>
      <c r="M430" s="1455"/>
      <c r="N430" s="316"/>
    </row>
    <row r="431" spans="1:14" s="306" customFormat="1" ht="12" x14ac:dyDescent="0.2">
      <c r="A431" s="1487">
        <v>139</v>
      </c>
      <c r="B431" s="1798" t="s">
        <v>1502</v>
      </c>
      <c r="C431" s="1901">
        <v>0</v>
      </c>
      <c r="D431" s="1717"/>
      <c r="E431" s="1683">
        <v>0</v>
      </c>
      <c r="F431" s="1213">
        <f>IF(E431=0,0,  E431*(IF(B431="FD",1,POWER((1+'2. TaxData'!$I$65),(C431-'1. AgeData'!$D$30)))))</f>
        <v>0</v>
      </c>
      <c r="G431" s="1798" t="s">
        <v>1502</v>
      </c>
      <c r="H431" s="1707">
        <v>0</v>
      </c>
      <c r="I431" s="1717"/>
      <c r="J431" s="1720">
        <v>0</v>
      </c>
      <c r="K431" s="1865">
        <f>IF(J431=0,0,  J431*IF(G431="FD",1,POWER((1+'2. TaxData'!$I$65),(H431-'1. AgeData'!$D$31))))</f>
        <v>0</v>
      </c>
      <c r="L431" s="316"/>
      <c r="M431" s="1455"/>
      <c r="N431" s="316"/>
    </row>
    <row r="432" spans="1:14" s="306" customFormat="1" ht="12" x14ac:dyDescent="0.2">
      <c r="A432" s="1487">
        <v>140</v>
      </c>
      <c r="B432" s="1798" t="s">
        <v>1502</v>
      </c>
      <c r="C432" s="1901">
        <v>0</v>
      </c>
      <c r="D432" s="1717"/>
      <c r="E432" s="1683">
        <v>0</v>
      </c>
      <c r="F432" s="1213">
        <f>IF(E432=0,0,  E432*(IF(B432="FD",1,POWER((1+'2. TaxData'!$I$65),(C432-'1. AgeData'!$D$30)))))</f>
        <v>0</v>
      </c>
      <c r="G432" s="1798" t="s">
        <v>1502</v>
      </c>
      <c r="H432" s="1707">
        <v>0</v>
      </c>
      <c r="I432" s="1717"/>
      <c r="J432" s="1720">
        <v>0</v>
      </c>
      <c r="K432" s="1865">
        <f>IF(J432=0,0,  J432*IF(G432="FD",1,POWER((1+'2. TaxData'!$I$65),(H432-'1. AgeData'!$D$31))))</f>
        <v>0</v>
      </c>
      <c r="L432" s="316"/>
      <c r="M432" s="1455"/>
      <c r="N432" s="316"/>
    </row>
    <row r="433" spans="1:14" s="306" customFormat="1" ht="12" x14ac:dyDescent="0.2">
      <c r="A433" s="1487">
        <v>141</v>
      </c>
      <c r="B433" s="1798" t="s">
        <v>1502</v>
      </c>
      <c r="C433" s="1901">
        <v>0</v>
      </c>
      <c r="D433" s="1717"/>
      <c r="E433" s="1683">
        <v>0</v>
      </c>
      <c r="F433" s="1213">
        <f>IF(E433=0,0,  E433*(IF(B433="FD",1,POWER((1+'2. TaxData'!$I$65),(C433-'1. AgeData'!$D$30)))))</f>
        <v>0</v>
      </c>
      <c r="G433" s="1798" t="s">
        <v>1502</v>
      </c>
      <c r="H433" s="1707">
        <v>0</v>
      </c>
      <c r="I433" s="1717"/>
      <c r="J433" s="1720">
        <v>0</v>
      </c>
      <c r="K433" s="1865">
        <f>IF(J433=0,0,  J433*IF(G433="FD",1,POWER((1+'2. TaxData'!$I$65),(H433-'1. AgeData'!$D$31))))</f>
        <v>0</v>
      </c>
      <c r="L433" s="316"/>
      <c r="M433" s="1455"/>
      <c r="N433" s="316"/>
    </row>
    <row r="434" spans="1:14" s="306" customFormat="1" ht="12" x14ac:dyDescent="0.2">
      <c r="A434" s="1487">
        <v>142</v>
      </c>
      <c r="B434" s="1798" t="s">
        <v>1502</v>
      </c>
      <c r="C434" s="1901">
        <v>0</v>
      </c>
      <c r="D434" s="1717"/>
      <c r="E434" s="1683">
        <v>0</v>
      </c>
      <c r="F434" s="1213">
        <f>IF(E434=0,0,  E434*(IF(B434="FD",1,POWER((1+'2. TaxData'!$I$65),(C434-'1. AgeData'!$D$30)))))</f>
        <v>0</v>
      </c>
      <c r="G434" s="1798" t="s">
        <v>1502</v>
      </c>
      <c r="H434" s="1707">
        <v>0</v>
      </c>
      <c r="I434" s="1717"/>
      <c r="J434" s="1720">
        <v>0</v>
      </c>
      <c r="K434" s="1865">
        <f>IF(J434=0,0,  J434*IF(G434="FD",1,POWER((1+'2. TaxData'!$I$65),(H434-'1. AgeData'!$D$31))))</f>
        <v>0</v>
      </c>
      <c r="L434" s="316"/>
      <c r="M434" s="1455"/>
      <c r="N434" s="316"/>
    </row>
    <row r="435" spans="1:14" s="306" customFormat="1" ht="12" x14ac:dyDescent="0.2">
      <c r="A435" s="1487">
        <v>143</v>
      </c>
      <c r="B435" s="1798" t="s">
        <v>1502</v>
      </c>
      <c r="C435" s="1901">
        <v>0</v>
      </c>
      <c r="D435" s="1717"/>
      <c r="E435" s="1683">
        <v>0</v>
      </c>
      <c r="F435" s="1213">
        <f>IF(E435=0,0,  E435*(IF(B435="FD",1,POWER((1+'2. TaxData'!$I$65),(C435-'1. AgeData'!$D$30)))))</f>
        <v>0</v>
      </c>
      <c r="G435" s="1798" t="s">
        <v>1502</v>
      </c>
      <c r="H435" s="1707">
        <v>0</v>
      </c>
      <c r="I435" s="1717"/>
      <c r="J435" s="1720">
        <v>0</v>
      </c>
      <c r="K435" s="1865">
        <f>IF(J435=0,0,  J435*IF(G435="FD",1,POWER((1+'2. TaxData'!$I$65),(H435-'1. AgeData'!$D$31))))</f>
        <v>0</v>
      </c>
      <c r="L435" s="316"/>
      <c r="M435" s="1455"/>
      <c r="N435" s="316"/>
    </row>
    <row r="436" spans="1:14" s="306" customFormat="1" ht="12" x14ac:dyDescent="0.2">
      <c r="A436" s="1487">
        <v>144</v>
      </c>
      <c r="B436" s="1798" t="s">
        <v>1502</v>
      </c>
      <c r="C436" s="1901">
        <v>0</v>
      </c>
      <c r="D436" s="1717"/>
      <c r="E436" s="1683">
        <v>0</v>
      </c>
      <c r="F436" s="1213">
        <f>IF(E436=0,0,  E436*(IF(B436="FD",1,POWER((1+'2. TaxData'!$I$65),(C436-'1. AgeData'!$D$30)))))</f>
        <v>0</v>
      </c>
      <c r="G436" s="1798" t="s">
        <v>1502</v>
      </c>
      <c r="H436" s="1707">
        <v>0</v>
      </c>
      <c r="I436" s="1717"/>
      <c r="J436" s="1720">
        <v>0</v>
      </c>
      <c r="K436" s="1865">
        <f>IF(J436=0,0,  J436*IF(G436="FD",1,POWER((1+'2. TaxData'!$I$65),(H436-'1. AgeData'!$D$31))))</f>
        <v>0</v>
      </c>
      <c r="L436" s="316"/>
      <c r="M436" s="1455"/>
      <c r="N436" s="316"/>
    </row>
    <row r="437" spans="1:14" s="306" customFormat="1" ht="12" x14ac:dyDescent="0.2">
      <c r="A437" s="1487">
        <v>145</v>
      </c>
      <c r="B437" s="1798" t="s">
        <v>1502</v>
      </c>
      <c r="C437" s="1901">
        <v>0</v>
      </c>
      <c r="D437" s="1717"/>
      <c r="E437" s="1683">
        <v>0</v>
      </c>
      <c r="F437" s="1213">
        <f>IF(E437=0,0,  E437*(IF(B437="FD",1,POWER((1+'2. TaxData'!$I$65),(C437-'1. AgeData'!$D$30)))))</f>
        <v>0</v>
      </c>
      <c r="G437" s="1798" t="s">
        <v>1502</v>
      </c>
      <c r="H437" s="1707">
        <v>0</v>
      </c>
      <c r="I437" s="1717"/>
      <c r="J437" s="1720">
        <v>0</v>
      </c>
      <c r="K437" s="1865">
        <f>IF(J437=0,0,  J437*IF(G437="FD",1,POWER((1+'2. TaxData'!$I$65),(H437-'1. AgeData'!$D$31))))</f>
        <v>0</v>
      </c>
      <c r="L437" s="316"/>
      <c r="M437" s="1455"/>
      <c r="N437" s="316"/>
    </row>
    <row r="438" spans="1:14" s="306" customFormat="1" ht="12" x14ac:dyDescent="0.2">
      <c r="A438" s="1487">
        <v>146</v>
      </c>
      <c r="B438" s="1798" t="s">
        <v>1502</v>
      </c>
      <c r="C438" s="1901">
        <v>0</v>
      </c>
      <c r="D438" s="1717"/>
      <c r="E438" s="1683">
        <v>0</v>
      </c>
      <c r="F438" s="1213">
        <f>IF(E438=0,0,  E438*(IF(B438="FD",1,POWER((1+'2. TaxData'!$I$65),(C438-'1. AgeData'!$D$30)))))</f>
        <v>0</v>
      </c>
      <c r="G438" s="1798" t="s">
        <v>1502</v>
      </c>
      <c r="H438" s="1707">
        <v>0</v>
      </c>
      <c r="I438" s="1717"/>
      <c r="J438" s="1720">
        <v>0</v>
      </c>
      <c r="K438" s="1865">
        <f>IF(J438=0,0,  J438*IF(G438="FD",1,POWER((1+'2. TaxData'!$I$65),(H438-'1. AgeData'!$D$31))))</f>
        <v>0</v>
      </c>
      <c r="L438" s="316"/>
      <c r="M438" s="1455"/>
      <c r="N438" s="316"/>
    </row>
    <row r="439" spans="1:14" s="306" customFormat="1" ht="12" x14ac:dyDescent="0.2">
      <c r="A439" s="1487">
        <v>147</v>
      </c>
      <c r="B439" s="1798" t="s">
        <v>1502</v>
      </c>
      <c r="C439" s="1901">
        <v>0</v>
      </c>
      <c r="D439" s="1717"/>
      <c r="E439" s="1683">
        <v>0</v>
      </c>
      <c r="F439" s="1213">
        <f>IF(E439=0,0,  E439*(IF(B439="FD",1,POWER((1+'2. TaxData'!$I$65),(C439-'1. AgeData'!$D$30)))))</f>
        <v>0</v>
      </c>
      <c r="G439" s="1798" t="s">
        <v>1502</v>
      </c>
      <c r="H439" s="1707">
        <v>0</v>
      </c>
      <c r="I439" s="1717"/>
      <c r="J439" s="1720">
        <v>0</v>
      </c>
      <c r="K439" s="1865">
        <f>IF(J439=0,0,  J439*IF(G439="FD",1,POWER((1+'2. TaxData'!$I$65),(H439-'1. AgeData'!$D$31))))</f>
        <v>0</v>
      </c>
      <c r="L439" s="316"/>
      <c r="M439" s="1455"/>
      <c r="N439" s="316"/>
    </row>
    <row r="440" spans="1:14" s="306" customFormat="1" ht="12" x14ac:dyDescent="0.2">
      <c r="A440" s="1487">
        <v>148</v>
      </c>
      <c r="B440" s="1798" t="s">
        <v>1502</v>
      </c>
      <c r="C440" s="1901">
        <v>0</v>
      </c>
      <c r="D440" s="1717"/>
      <c r="E440" s="1683">
        <v>0</v>
      </c>
      <c r="F440" s="1213">
        <f>IF(E440=0,0,  E440*(IF(B440="FD",1,POWER((1+'2. TaxData'!$I$65),(C440-'1. AgeData'!$D$30)))))</f>
        <v>0</v>
      </c>
      <c r="G440" s="1798" t="s">
        <v>1502</v>
      </c>
      <c r="H440" s="1707">
        <v>0</v>
      </c>
      <c r="I440" s="1717"/>
      <c r="J440" s="1720">
        <v>0</v>
      </c>
      <c r="K440" s="1865">
        <f>IF(J440=0,0,  J440*IF(G440="FD",1,POWER((1+'2. TaxData'!$I$65),(H440-'1. AgeData'!$D$31))))</f>
        <v>0</v>
      </c>
      <c r="L440" s="316"/>
      <c r="M440" s="1455"/>
      <c r="N440" s="316"/>
    </row>
    <row r="441" spans="1:14" s="306" customFormat="1" ht="12" x14ac:dyDescent="0.2">
      <c r="A441" s="1487">
        <v>149</v>
      </c>
      <c r="B441" s="1798" t="s">
        <v>1502</v>
      </c>
      <c r="C441" s="1901">
        <v>0</v>
      </c>
      <c r="D441" s="1717"/>
      <c r="E441" s="1683">
        <v>0</v>
      </c>
      <c r="F441" s="1213">
        <f>IF(E441=0,0,  E441*(IF(B441="FD",1,POWER((1+'2. TaxData'!$I$65),(C441-'1. AgeData'!$D$30)))))</f>
        <v>0</v>
      </c>
      <c r="G441" s="1798" t="s">
        <v>1502</v>
      </c>
      <c r="H441" s="1707">
        <v>0</v>
      </c>
      <c r="I441" s="1717"/>
      <c r="J441" s="1720">
        <v>0</v>
      </c>
      <c r="K441" s="1865">
        <f>IF(J441=0,0,  J441*IF(G441="FD",1,POWER((1+'2. TaxData'!$I$65),(H441-'1. AgeData'!$D$31))))</f>
        <v>0</v>
      </c>
      <c r="L441" s="316"/>
      <c r="M441" s="1455"/>
      <c r="N441" s="316"/>
    </row>
    <row r="442" spans="1:14" s="306" customFormat="1" ht="12" x14ac:dyDescent="0.2">
      <c r="A442" s="1487">
        <v>150</v>
      </c>
      <c r="B442" s="1798" t="s">
        <v>1502</v>
      </c>
      <c r="C442" s="1901">
        <v>0</v>
      </c>
      <c r="D442" s="1717"/>
      <c r="E442" s="1683">
        <v>0</v>
      </c>
      <c r="F442" s="1213">
        <f>IF(E442=0,0,  E442*(IF(B442="FD",1,POWER((1+'2. TaxData'!$I$65),(C442-'1. AgeData'!$D$30)))))</f>
        <v>0</v>
      </c>
      <c r="G442" s="1798" t="s">
        <v>1502</v>
      </c>
      <c r="H442" s="1707">
        <v>0</v>
      </c>
      <c r="I442" s="1717"/>
      <c r="J442" s="1720">
        <v>0</v>
      </c>
      <c r="K442" s="1865">
        <f>IF(J442=0,0,  J442*IF(G442="FD",1,POWER((1+'2. TaxData'!$I$65),(H442-'1. AgeData'!$D$31))))</f>
        <v>0</v>
      </c>
      <c r="L442" s="316"/>
      <c r="M442" s="1455"/>
      <c r="N442" s="316"/>
    </row>
    <row r="443" spans="1:14" s="306" customFormat="1" ht="12" x14ac:dyDescent="0.2">
      <c r="A443" s="1487">
        <v>151</v>
      </c>
      <c r="B443" s="1798" t="s">
        <v>1502</v>
      </c>
      <c r="C443" s="1901">
        <v>0</v>
      </c>
      <c r="D443" s="1717"/>
      <c r="E443" s="1683">
        <v>0</v>
      </c>
      <c r="F443" s="1213">
        <f>IF(E443=0,0,  E443*(IF(B443="FD",1,POWER((1+'2. TaxData'!$I$65),(C443-'1. AgeData'!$D$30)))))</f>
        <v>0</v>
      </c>
      <c r="G443" s="1798" t="s">
        <v>1502</v>
      </c>
      <c r="H443" s="1707">
        <v>0</v>
      </c>
      <c r="I443" s="1717"/>
      <c r="J443" s="1720">
        <v>0</v>
      </c>
      <c r="K443" s="1865">
        <f>IF(J443=0,0,  J443*IF(G443="FD",1,POWER((1+'2. TaxData'!$I$65),(H443-'1. AgeData'!$D$31))))</f>
        <v>0</v>
      </c>
      <c r="L443" s="316"/>
      <c r="M443" s="1455"/>
      <c r="N443" s="316"/>
    </row>
    <row r="444" spans="1:14" s="306" customFormat="1" ht="12" x14ac:dyDescent="0.2">
      <c r="A444" s="1487">
        <v>152</v>
      </c>
      <c r="B444" s="1798" t="s">
        <v>1502</v>
      </c>
      <c r="C444" s="1901">
        <v>0</v>
      </c>
      <c r="D444" s="1717"/>
      <c r="E444" s="1683">
        <v>0</v>
      </c>
      <c r="F444" s="1213">
        <f>IF(E444=0,0,  E444*(IF(B444="FD",1,POWER((1+'2. TaxData'!$I$65),(C444-'1. AgeData'!$D$30)))))</f>
        <v>0</v>
      </c>
      <c r="G444" s="1798" t="s">
        <v>1502</v>
      </c>
      <c r="H444" s="1707">
        <v>0</v>
      </c>
      <c r="I444" s="1717"/>
      <c r="J444" s="1720">
        <v>0</v>
      </c>
      <c r="K444" s="1865">
        <f>IF(J444=0,0,  J444*IF(G444="FD",1,POWER((1+'2. TaxData'!$I$65),(H444-'1. AgeData'!$D$31))))</f>
        <v>0</v>
      </c>
      <c r="L444" s="316"/>
      <c r="M444" s="1455"/>
      <c r="N444" s="316"/>
    </row>
    <row r="445" spans="1:14" s="306" customFormat="1" ht="12" x14ac:dyDescent="0.2">
      <c r="A445" s="1487">
        <v>153</v>
      </c>
      <c r="B445" s="1798" t="s">
        <v>1502</v>
      </c>
      <c r="C445" s="1901">
        <v>0</v>
      </c>
      <c r="D445" s="1717"/>
      <c r="E445" s="1683">
        <v>0</v>
      </c>
      <c r="F445" s="1213">
        <f>IF(E445=0,0,  E445*(IF(B445="FD",1,POWER((1+'2. TaxData'!$I$65),(C445-'1. AgeData'!$D$30)))))</f>
        <v>0</v>
      </c>
      <c r="G445" s="1798" t="s">
        <v>1502</v>
      </c>
      <c r="H445" s="1707">
        <v>0</v>
      </c>
      <c r="I445" s="1717"/>
      <c r="J445" s="1720">
        <v>0</v>
      </c>
      <c r="K445" s="1865">
        <f>IF(J445=0,0,  J445*IF(G445="FD",1,POWER((1+'2. TaxData'!$I$65),(H445-'1. AgeData'!$D$31))))</f>
        <v>0</v>
      </c>
      <c r="L445" s="316"/>
      <c r="M445" s="1455"/>
      <c r="N445" s="316"/>
    </row>
    <row r="446" spans="1:14" s="306" customFormat="1" ht="12" x14ac:dyDescent="0.2">
      <c r="A446" s="1487">
        <v>154</v>
      </c>
      <c r="B446" s="1798" t="s">
        <v>1502</v>
      </c>
      <c r="C446" s="1901">
        <v>0</v>
      </c>
      <c r="D446" s="1717"/>
      <c r="E446" s="1683">
        <v>0</v>
      </c>
      <c r="F446" s="1213">
        <f>IF(E446=0,0,  E446*(IF(B446="FD",1,POWER((1+'2. TaxData'!$I$65),(C446-'1. AgeData'!$D$30)))))</f>
        <v>0</v>
      </c>
      <c r="G446" s="1798" t="s">
        <v>1502</v>
      </c>
      <c r="H446" s="1707">
        <v>0</v>
      </c>
      <c r="I446" s="1717"/>
      <c r="J446" s="1720">
        <v>0</v>
      </c>
      <c r="K446" s="1865">
        <f>IF(J446=0,0,  J446*IF(G446="FD",1,POWER((1+'2. TaxData'!$I$65),(H446-'1. AgeData'!$D$31))))</f>
        <v>0</v>
      </c>
      <c r="L446" s="316"/>
      <c r="M446" s="1455"/>
      <c r="N446" s="316"/>
    </row>
    <row r="447" spans="1:14" s="306" customFormat="1" ht="12" x14ac:dyDescent="0.2">
      <c r="A447" s="1487">
        <v>155</v>
      </c>
      <c r="B447" s="1798" t="s">
        <v>1502</v>
      </c>
      <c r="C447" s="1901">
        <v>0</v>
      </c>
      <c r="D447" s="1717"/>
      <c r="E447" s="1683">
        <v>0</v>
      </c>
      <c r="F447" s="1213">
        <f>IF(E447=0,0,  E447*(IF(B447="FD",1,POWER((1+'2. TaxData'!$I$65),(C447-'1. AgeData'!$D$30)))))</f>
        <v>0</v>
      </c>
      <c r="G447" s="1798" t="s">
        <v>1502</v>
      </c>
      <c r="H447" s="1707">
        <v>0</v>
      </c>
      <c r="I447" s="1717"/>
      <c r="J447" s="1720">
        <v>0</v>
      </c>
      <c r="K447" s="1865">
        <f>IF(J447=0,0,  J447*IF(G447="FD",1,POWER((1+'2. TaxData'!$I$65),(H447-'1. AgeData'!$D$31))))</f>
        <v>0</v>
      </c>
      <c r="L447" s="316"/>
      <c r="M447" s="1455"/>
      <c r="N447" s="316"/>
    </row>
    <row r="448" spans="1:14" s="306" customFormat="1" ht="12" x14ac:dyDescent="0.2">
      <c r="A448" s="1487">
        <v>156</v>
      </c>
      <c r="B448" s="1798" t="s">
        <v>1502</v>
      </c>
      <c r="C448" s="1901">
        <v>0</v>
      </c>
      <c r="D448" s="1717"/>
      <c r="E448" s="1683">
        <v>0</v>
      </c>
      <c r="F448" s="1213">
        <f>IF(E448=0,0,  E448*(IF(B448="FD",1,POWER((1+'2. TaxData'!$I$65),(C448-'1. AgeData'!$D$30)))))</f>
        <v>0</v>
      </c>
      <c r="G448" s="1798" t="s">
        <v>1502</v>
      </c>
      <c r="H448" s="1707">
        <v>0</v>
      </c>
      <c r="I448" s="1717"/>
      <c r="J448" s="1720">
        <v>0</v>
      </c>
      <c r="K448" s="1865">
        <f>IF(J448=0,0,  J448*IF(G448="FD",1,POWER((1+'2. TaxData'!$I$65),(H448-'1. AgeData'!$D$31))))</f>
        <v>0</v>
      </c>
      <c r="L448" s="316"/>
      <c r="M448" s="1455"/>
      <c r="N448" s="316"/>
    </row>
    <row r="449" spans="1:15" s="306" customFormat="1" ht="12" x14ac:dyDescent="0.2">
      <c r="A449" s="1487">
        <v>157</v>
      </c>
      <c r="B449" s="1798" t="s">
        <v>1502</v>
      </c>
      <c r="C449" s="1901">
        <v>0</v>
      </c>
      <c r="D449" s="1717"/>
      <c r="E449" s="1683">
        <v>0</v>
      </c>
      <c r="F449" s="1213">
        <f>IF(E449=0,0,  E449*(IF(B449="FD",1,POWER((1+'2. TaxData'!$I$65),(C449-'1. AgeData'!$D$30)))))</f>
        <v>0</v>
      </c>
      <c r="G449" s="1798" t="s">
        <v>1502</v>
      </c>
      <c r="H449" s="1707">
        <v>0</v>
      </c>
      <c r="I449" s="1717"/>
      <c r="J449" s="1720">
        <v>0</v>
      </c>
      <c r="K449" s="1865">
        <f>IF(J449=0,0,  J449*IF(G449="FD",1,POWER((1+'2. TaxData'!$I$65),(H449-'1. AgeData'!$D$31))))</f>
        <v>0</v>
      </c>
      <c r="L449" s="316"/>
      <c r="M449" s="1455"/>
      <c r="N449" s="316"/>
    </row>
    <row r="450" spans="1:15" s="306" customFormat="1" ht="12" x14ac:dyDescent="0.2">
      <c r="A450" s="1487">
        <v>158</v>
      </c>
      <c r="B450" s="1798" t="s">
        <v>1502</v>
      </c>
      <c r="C450" s="1901">
        <v>0</v>
      </c>
      <c r="D450" s="1717"/>
      <c r="E450" s="1683">
        <v>0</v>
      </c>
      <c r="F450" s="1213">
        <f>IF(E450=0,0,  E450*(IF(B450="FD",1,POWER((1+'2. TaxData'!$I$65),(C450-'1. AgeData'!$D$30)))))</f>
        <v>0</v>
      </c>
      <c r="G450" s="1798" t="s">
        <v>1502</v>
      </c>
      <c r="H450" s="1707">
        <v>0</v>
      </c>
      <c r="I450" s="1717"/>
      <c r="J450" s="1720">
        <v>0</v>
      </c>
      <c r="K450" s="1865">
        <f>IF(J450=0,0,  J450*IF(G450="FD",1,POWER((1+'2. TaxData'!$I$65),(H450-'1. AgeData'!$D$31))))</f>
        <v>0</v>
      </c>
      <c r="L450" s="316"/>
      <c r="M450" s="1455"/>
      <c r="N450" s="316"/>
    </row>
    <row r="451" spans="1:15" s="306" customFormat="1" ht="12.75" thickBot="1" x14ac:dyDescent="0.25">
      <c r="A451" s="1852">
        <v>159</v>
      </c>
      <c r="B451" s="1871" t="s">
        <v>1502</v>
      </c>
      <c r="C451" s="1900">
        <v>0</v>
      </c>
      <c r="D451" s="1802"/>
      <c r="E451" s="1803">
        <v>0</v>
      </c>
      <c r="F451" s="1867">
        <f>IF(E451=0,0,  E451*(IF(B451="FD",1,POWER((1+'2. TaxData'!$I$65),(C451-'1. AgeData'!$D$30)))))</f>
        <v>0</v>
      </c>
      <c r="G451" s="1871" t="s">
        <v>1502</v>
      </c>
      <c r="H451" s="1876">
        <v>0</v>
      </c>
      <c r="I451" s="1802"/>
      <c r="J451" s="1868">
        <v>0</v>
      </c>
      <c r="K451" s="1869">
        <f>IF(J451=0,0,  J451*IF(G451="FD",1,POWER((1+'2. TaxData'!$I$65),(H451-'1. AgeData'!$D$31))))</f>
        <v>0</v>
      </c>
      <c r="L451" s="1853"/>
      <c r="M451" s="1870"/>
      <c r="N451" s="316"/>
    </row>
    <row r="452" spans="1:15" s="306" customFormat="1" ht="12.75" thickTop="1" x14ac:dyDescent="0.2">
      <c r="A452" s="316"/>
      <c r="B452" s="1906"/>
      <c r="C452" s="1901"/>
      <c r="D452" s="1717"/>
      <c r="E452" s="1683"/>
      <c r="F452" s="390"/>
      <c r="G452" s="1906"/>
      <c r="H452" s="1707"/>
      <c r="I452" s="1717"/>
      <c r="J452" s="1720"/>
      <c r="K452" s="390"/>
      <c r="L452" s="316"/>
      <c r="M452" s="316"/>
      <c r="N452" s="316"/>
    </row>
    <row r="453" spans="1:15" s="1909" customFormat="1" x14ac:dyDescent="0.25"/>
    <row r="454" spans="1:15" ht="15.75" thickBot="1" x14ac:dyDescent="0.3"/>
    <row r="455" spans="1:15" ht="19.5" thickBot="1" x14ac:dyDescent="0.35">
      <c r="A455" s="1571" t="s">
        <v>1263</v>
      </c>
      <c r="B455" s="1572"/>
      <c r="C455" s="1573"/>
      <c r="D455" s="1573"/>
      <c r="E455" s="1572"/>
      <c r="F455" s="1572"/>
      <c r="G455" s="1572"/>
      <c r="H455" s="1572"/>
      <c r="I455" s="1572"/>
      <c r="J455" s="1572"/>
      <c r="K455" s="1575"/>
      <c r="L455" s="1577"/>
      <c r="M455" s="215"/>
    </row>
    <row r="456" spans="1:15" ht="18.75" x14ac:dyDescent="0.3">
      <c r="A456" s="1841"/>
      <c r="B456" s="1842"/>
      <c r="C456" s="1841"/>
      <c r="D456" s="1841"/>
      <c r="E456" s="1842"/>
      <c r="F456" s="1842"/>
      <c r="G456" s="1842"/>
      <c r="H456" s="1842"/>
      <c r="I456" s="1842"/>
      <c r="J456" s="1842"/>
      <c r="K456" s="33"/>
      <c r="L456" s="1843"/>
      <c r="M456" s="215"/>
      <c r="N456" s="215"/>
    </row>
    <row r="457" spans="1:15" ht="19.5" thickBot="1" x14ac:dyDescent="0.35">
      <c r="A457" s="1841"/>
      <c r="B457" s="1842"/>
      <c r="C457" s="1841"/>
      <c r="D457" s="1841"/>
      <c r="E457" s="1842"/>
      <c r="F457" s="1842"/>
      <c r="G457" s="1842"/>
      <c r="H457" s="1842"/>
      <c r="I457" s="1842"/>
      <c r="J457" s="1842"/>
      <c r="K457" s="33"/>
      <c r="L457" s="1843"/>
      <c r="M457" s="215"/>
    </row>
    <row r="458" spans="1:15" ht="19.5" thickTop="1" x14ac:dyDescent="0.3">
      <c r="A458" s="1340" t="s">
        <v>1519</v>
      </c>
      <c r="B458" s="1341"/>
      <c r="C458" s="1341"/>
      <c r="D458" s="1342"/>
      <c r="E458" s="1844"/>
      <c r="F458" s="1844"/>
      <c r="G458" s="1844"/>
      <c r="H458" s="1844"/>
      <c r="I458" s="1844"/>
      <c r="J458" s="1844"/>
      <c r="K458" s="1636"/>
      <c r="L458" s="1843"/>
      <c r="M458" s="215"/>
    </row>
    <row r="459" spans="1:15" ht="18.75" x14ac:dyDescent="0.3">
      <c r="A459" s="1438"/>
      <c r="B459" s="144"/>
      <c r="C459" s="6"/>
      <c r="D459" s="6"/>
      <c r="E459" s="1842"/>
      <c r="F459" s="1842"/>
      <c r="G459" s="1842"/>
      <c r="H459" s="1842"/>
      <c r="I459" s="1842"/>
      <c r="J459" s="1842"/>
      <c r="K459" s="1454"/>
      <c r="L459" s="1843"/>
      <c r="M459" s="215"/>
    </row>
    <row r="460" spans="1:15" ht="18.75" x14ac:dyDescent="0.3">
      <c r="A460" s="1336" t="s">
        <v>1518</v>
      </c>
      <c r="B460" s="6"/>
      <c r="C460" s="6"/>
      <c r="D460" s="6"/>
      <c r="E460" s="1842"/>
      <c r="F460" s="1842"/>
      <c r="G460" s="1842"/>
      <c r="H460" s="1842"/>
      <c r="I460" s="1842"/>
      <c r="J460" s="1842"/>
      <c r="K460" s="1454"/>
      <c r="L460" s="1843"/>
      <c r="M460" s="215"/>
    </row>
    <row r="461" spans="1:15" ht="18.75" x14ac:dyDescent="0.3">
      <c r="A461" s="1336" t="s">
        <v>1517</v>
      </c>
      <c r="B461" s="6"/>
      <c r="C461" s="6"/>
      <c r="D461" s="6"/>
      <c r="E461" s="1842"/>
      <c r="F461" s="1842"/>
      <c r="G461" s="1842"/>
      <c r="H461" s="1842"/>
      <c r="I461" s="1842"/>
      <c r="J461" s="1842"/>
      <c r="K461" s="1454"/>
      <c r="L461" s="1843"/>
      <c r="M461" s="215"/>
    </row>
    <row r="462" spans="1:15" s="6" customFormat="1" ht="19.5" thickBot="1" x14ac:dyDescent="0.35">
      <c r="E462" s="1842"/>
      <c r="F462" s="1842"/>
      <c r="G462" s="1842"/>
      <c r="H462" s="1842"/>
      <c r="I462" s="1842"/>
      <c r="J462" s="1842"/>
      <c r="K462" s="1454"/>
      <c r="L462" s="1843"/>
      <c r="M462" s="215"/>
      <c r="N462"/>
      <c r="O462"/>
    </row>
    <row r="463" spans="1:15" ht="63" thickTop="1" thickBot="1" x14ac:dyDescent="0.35">
      <c r="A463" s="1845" t="s">
        <v>142</v>
      </c>
      <c r="B463" s="1846" t="s">
        <v>143</v>
      </c>
      <c r="C463" s="1847" t="s">
        <v>448</v>
      </c>
      <c r="D463" s="1847" t="s">
        <v>449</v>
      </c>
      <c r="E463" s="1916" t="s">
        <v>1511</v>
      </c>
      <c r="F463" s="1946"/>
      <c r="G463" s="1858" t="s">
        <v>1503</v>
      </c>
      <c r="H463" s="1858" t="s">
        <v>1504</v>
      </c>
      <c r="I463" s="1916" t="s">
        <v>1512</v>
      </c>
      <c r="J463" s="1842"/>
      <c r="K463" s="1454"/>
      <c r="L463" s="1843"/>
      <c r="M463" s="215"/>
    </row>
    <row r="464" spans="1:15" ht="15.75" thickTop="1" x14ac:dyDescent="0.25">
      <c r="A464" s="1848">
        <f>'1. AgeData'!$D$30</f>
        <v>60</v>
      </c>
      <c r="B464" s="1347">
        <f>'1. AgeData'!$D$31</f>
        <v>55</v>
      </c>
      <c r="C464" s="2108">
        <f>SUMIF($C$116:$C$274,("="&amp;A464),$F$116:$F$274)*IF(OR(AND(A464&gt;='1. AgeData'!$I$30,'S. Setup'!J$84="remove"),'S. Setup'!$J$63="no"), 0,1)</f>
        <v>17500</v>
      </c>
      <c r="D464" s="2109">
        <f>SUMIF($H$116:$H$274,("="&amp;B464),$K$116:$K$274)*IF(OR(AND(B464&gt;='1. AgeData'!$I$31,'S. Setup'!J$84="remove"),'S. Setup'!$J$63="no"), 0,1)</f>
        <v>8500</v>
      </c>
      <c r="E464" s="1919">
        <f>C464+D464</f>
        <v>26000</v>
      </c>
      <c r="F464" s="1155"/>
      <c r="G464" s="1921">
        <f>SUMIF($C$293:$C$451,("="&amp;A464),$F$293:$F$451)*IF(OR(AND(A464&gt;='1. AgeData'!$I$30,'S. Setup'!J$84="remove"),'S. Setup'!$J$63="no"), 0,1)</f>
        <v>0</v>
      </c>
      <c r="H464" s="2099">
        <f>SUMIF($H$293:$H$451,("="&amp;B464),$K$293:$K$451)*IF(OR(AND(B464&gt;='1. AgeData'!$I$31,'S. Setup'!K$84="remove"),'S. Setup'!$J$63="no"), 0,1)</f>
        <v>0</v>
      </c>
      <c r="I464" s="1919">
        <f t="shared" ref="I464:I499" si="0">G464+H464</f>
        <v>0</v>
      </c>
      <c r="J464" s="1917"/>
      <c r="K464" s="1918"/>
      <c r="L464" s="1843"/>
      <c r="M464" s="215"/>
    </row>
    <row r="465" spans="1:13" x14ac:dyDescent="0.25">
      <c r="A465" s="1487">
        <f t="shared" ref="A465:B480" si="1">A464+1</f>
        <v>61</v>
      </c>
      <c r="B465" s="316">
        <f t="shared" si="1"/>
        <v>56</v>
      </c>
      <c r="C465" s="2110">
        <f>SUMIF($C$116:$C$274,("="&amp;A465),$F$116:$F$274)*IF(OR(AND(A465&gt;='1. AgeData'!$I$30,'S. Setup'!J$84="remove"),'S. Setup'!$J$63="no"), 0,1)</f>
        <v>25598.68</v>
      </c>
      <c r="D465" s="2111">
        <f>SUMIF($H$116:$H$274,("="&amp;B465),$K$116:$K$274)*IF(OR(AND(B465&gt;='1. AgeData'!$I$31,'S. Setup'!J$84="remove"),'S. Setup'!$J$63="no"), 0,1)</f>
        <v>26380</v>
      </c>
      <c r="E465" s="1919">
        <f t="shared" ref="E465:E500" si="2">C465+D465</f>
        <v>51978.68</v>
      </c>
      <c r="F465" s="1155"/>
      <c r="G465" s="1922">
        <f>SUMIF($C$293:$C$451,("="&amp;A465),$F$293:$F$451)*IF(OR(AND(A465&gt;='1. AgeData'!$I$30,'S. Setup'!J$84="remove"),'S. Setup'!$J$63="no"), 0,1)</f>
        <v>0</v>
      </c>
      <c r="H465" s="1919">
        <f>SUMIF($H$293:$H$451,("="&amp;B465),$K$293:$K$451)*IF(OR(AND(B465&gt;='1. AgeData'!$I$31,'S. Setup'!K$84="remove"),'S. Setup'!$J$63="no"), 0,1)</f>
        <v>0</v>
      </c>
      <c r="I465" s="1919">
        <f t="shared" si="0"/>
        <v>0</v>
      </c>
      <c r="J465" s="1917"/>
      <c r="K465" s="1918"/>
      <c r="L465" s="1843"/>
      <c r="M465" s="215"/>
    </row>
    <row r="466" spans="1:13" x14ac:dyDescent="0.25">
      <c r="A466" s="1487">
        <f t="shared" si="1"/>
        <v>62</v>
      </c>
      <c r="B466" s="318">
        <f t="shared" si="1"/>
        <v>57</v>
      </c>
      <c r="C466" s="2110">
        <f>SUMIF($C$116:$C$274,("="&amp;A466),$F$116:$F$274)*IF(OR(AND(A466&gt;='1. AgeData'!$I$30,'S. Setup'!J$84="remove"),'S. Setup'!$J$63="no"), 0,1)</f>
        <v>26143.360000000001</v>
      </c>
      <c r="D466" s="2111">
        <f>SUMIF($H$116:$H$274,("="&amp;B466),$K$116:$K$274)*IF(OR(AND(B466&gt;='1. AgeData'!$I$31,'S. Setup'!J$84="remove"),'S. Setup'!$J$63="no"), 0,1)</f>
        <v>24686.799999999999</v>
      </c>
      <c r="E466" s="1919">
        <f t="shared" si="2"/>
        <v>50830.16</v>
      </c>
      <c r="F466" s="1155"/>
      <c r="G466" s="1922">
        <f>SUMIF($C$293:$C$451,("="&amp;A466),$F$293:$F$451)*IF(OR(AND(A466&gt;='1. AgeData'!$I$30,'S. Setup'!J$84="remove"),'S. Setup'!$J$63="no"), 0,1)</f>
        <v>0</v>
      </c>
      <c r="H466" s="1919">
        <f>SUMIF($H$293:$H$451,("="&amp;B466),$K$293:$K$451)*IF(OR(AND(B466&gt;='1. AgeData'!$I$31,'S. Setup'!K$84="remove"),'S. Setup'!$J$63="no"), 0,1)</f>
        <v>0</v>
      </c>
      <c r="I466" s="1919">
        <f t="shared" si="0"/>
        <v>0</v>
      </c>
      <c r="J466" s="1917"/>
      <c r="K466" s="1918"/>
      <c r="L466" s="1843"/>
      <c r="M466" s="215"/>
    </row>
    <row r="467" spans="1:13" x14ac:dyDescent="0.25">
      <c r="A467" s="1849">
        <f t="shared" si="1"/>
        <v>63</v>
      </c>
      <c r="B467" s="316">
        <f t="shared" si="1"/>
        <v>58</v>
      </c>
      <c r="C467" s="2110">
        <f>SUMIF($C$116:$C$274,("="&amp;A467),$F$116:$F$274)*IF(OR(AND(A467&gt;='1. AgeData'!$I$30,'S. Setup'!J$84="remove"),'S. Setup'!$J$63="no"), 0,1)</f>
        <v>43081.072</v>
      </c>
      <c r="D467" s="2111">
        <f>SUMIF($H$116:$H$274,("="&amp;B467),$K$116:$K$274)*IF(OR(AND(B467&gt;='1. AgeData'!$I$31,'S. Setup'!J$84="remove"),'S. Setup'!$J$63="no"), 0,1)</f>
        <v>43081.072</v>
      </c>
      <c r="E467" s="1919">
        <f t="shared" si="2"/>
        <v>86162.144</v>
      </c>
      <c r="F467" s="1155"/>
      <c r="G467" s="1922">
        <f>SUMIF($C$293:$C$451,("="&amp;A467),$F$293:$F$451)*IF(OR(AND(A467&gt;='1. AgeData'!$I$30,'S. Setup'!J$84="remove"),'S. Setup'!$J$63="no"), 0,1)</f>
        <v>0</v>
      </c>
      <c r="H467" s="1919">
        <f>SUMIF($H$293:$H$451,("="&amp;B467),$K$293:$K$451)*IF(OR(AND(B467&gt;='1. AgeData'!$I$31,'S. Setup'!K$84="remove"),'S. Setup'!$J$63="no"), 0,1)</f>
        <v>0</v>
      </c>
      <c r="I467" s="1919">
        <f t="shared" si="0"/>
        <v>0</v>
      </c>
      <c r="J467" s="1917"/>
      <c r="K467" s="1918"/>
      <c r="L467" s="1843"/>
      <c r="M467" s="215"/>
    </row>
    <row r="468" spans="1:13" x14ac:dyDescent="0.25">
      <c r="A468" s="1487">
        <f t="shared" si="1"/>
        <v>64</v>
      </c>
      <c r="B468" s="316">
        <f t="shared" si="1"/>
        <v>59</v>
      </c>
      <c r="C468" s="2110">
        <f>SUMIF($C$116:$C$274,("="&amp;A468),$F$116:$F$274)*IF(OR(AND(A468&gt;='1. AgeData'!$I$30,'S. Setup'!J$84="remove"),'S. Setup'!$J$63="no"), 0,1)</f>
        <v>43802.693440000003</v>
      </c>
      <c r="D468" s="2111">
        <f>SUMIF($H$116:$H$274,("="&amp;B468),$K$116:$K$274)*IF(OR(AND(B468&gt;='1. AgeData'!$I$31,'S. Setup'!J$84="remove"),'S. Setup'!$J$63="no"), 0,1)</f>
        <v>45426.341679999998</v>
      </c>
      <c r="E468" s="1919">
        <f t="shared" si="2"/>
        <v>89229.03512</v>
      </c>
      <c r="F468" s="1155"/>
      <c r="G468" s="1922">
        <f>SUMIF($C$293:$C$451,("="&amp;A468),$F$293:$F$451)*IF(OR(AND(A468&gt;='1. AgeData'!$I$30,'S. Setup'!J$84="remove"),'S. Setup'!$J$63="no"), 0,1)</f>
        <v>0</v>
      </c>
      <c r="H468" s="1919">
        <f>SUMIF($H$293:$H$451,("="&amp;B468),$K$293:$K$451)*IF(OR(AND(B468&gt;='1. AgeData'!$I$31,'S. Setup'!K$84="remove"),'S. Setup'!$J$63="no"), 0,1)</f>
        <v>0</v>
      </c>
      <c r="I468" s="1919">
        <f t="shared" si="0"/>
        <v>0</v>
      </c>
      <c r="J468" s="1917"/>
      <c r="K468" s="1918"/>
      <c r="L468" s="1843"/>
      <c r="M468" s="215"/>
    </row>
    <row r="469" spans="1:13" x14ac:dyDescent="0.25">
      <c r="A469" s="1487">
        <f t="shared" si="1"/>
        <v>65</v>
      </c>
      <c r="B469" s="316">
        <f t="shared" si="1"/>
        <v>60</v>
      </c>
      <c r="C469" s="2110">
        <f>SUMIF($C$116:$C$274,("="&amp;A469),$F$116:$F$274)*IF(OR(AND(A469&gt;='1. AgeData'!$I$30,'S. Setup'!J$84="remove"),'S. Setup'!$J$63="no"), 0,1)</f>
        <v>25769.373654399998</v>
      </c>
      <c r="D469" s="2111">
        <f>SUMIF($H$116:$H$274,("="&amp;B469),$K$116:$K$274)*IF(OR(AND(B469&gt;='1. AgeData'!$I$31,'S. Setup'!J$84="remove"),'S. Setup'!$J$63="no"), 0,1)</f>
        <v>25769.373654399998</v>
      </c>
      <c r="E469" s="1919">
        <f t="shared" si="2"/>
        <v>51538.747308799997</v>
      </c>
      <c r="F469" s="1155"/>
      <c r="G469" s="1922">
        <f>SUMIF($C$293:$C$451,("="&amp;A469),$F$293:$F$451)*IF(OR(AND(A469&gt;='1. AgeData'!$I$30,'S. Setup'!J$84="remove"),'S. Setup'!$J$63="no"), 0,1)</f>
        <v>0</v>
      </c>
      <c r="H469" s="1919">
        <f>SUMIF($H$293:$H$451,("="&amp;B469),$K$293:$K$451)*IF(OR(AND(B469&gt;='1. AgeData'!$I$31,'S. Setup'!K$84="remove"),'S. Setup'!$J$63="no"), 0,1)</f>
        <v>0</v>
      </c>
      <c r="I469" s="1919">
        <f t="shared" si="0"/>
        <v>0</v>
      </c>
      <c r="J469" s="1917"/>
      <c r="K469" s="1918"/>
      <c r="L469" s="1843"/>
      <c r="M469" s="215"/>
    </row>
    <row r="470" spans="1:13" x14ac:dyDescent="0.25">
      <c r="A470" s="1487">
        <f t="shared" si="1"/>
        <v>66</v>
      </c>
      <c r="B470" s="316">
        <f t="shared" si="1"/>
        <v>61</v>
      </c>
      <c r="C470" s="2110">
        <f>SUMIF($C$116:$C$274,("="&amp;A470),$F$116:$F$274)*IF(OR(AND(A470&gt;='1. AgeData'!$I$30,'S. Setup'!J$84="remove"),'S. Setup'!$J$63="no"), 0,1)</f>
        <v>26144.761127488</v>
      </c>
      <c r="D470" s="2111">
        <f>SUMIF($H$116:$H$274,("="&amp;B470),$K$116:$K$274)*IF(OR(AND(B470&gt;='1. AgeData'!$I$31,'S. Setup'!J$84="remove"),'S. Setup'!$J$63="no"), 0,1)</f>
        <v>26144.761127488</v>
      </c>
      <c r="E470" s="1919">
        <f t="shared" si="2"/>
        <v>52289.522254976</v>
      </c>
      <c r="F470" s="1155"/>
      <c r="G470" s="1922">
        <f>SUMIF($C$293:$C$451,("="&amp;A470),$F$293:$F$451)*IF(OR(AND(A470&gt;='1. AgeData'!$I$30,'S. Setup'!J$84="remove"),'S. Setup'!$J$63="no"), 0,1)</f>
        <v>0</v>
      </c>
      <c r="H470" s="1919">
        <f>SUMIF($H$293:$H$451,("="&amp;B470),$K$293:$K$451)*IF(OR(AND(B470&gt;='1. AgeData'!$I$31,'S. Setup'!K$84="remove"),'S. Setup'!$J$63="no"), 0,1)</f>
        <v>0</v>
      </c>
      <c r="I470" s="1919">
        <f t="shared" si="0"/>
        <v>0</v>
      </c>
      <c r="J470" s="1917"/>
      <c r="K470" s="1918"/>
      <c r="L470" s="1843"/>
      <c r="M470" s="215"/>
    </row>
    <row r="471" spans="1:13" x14ac:dyDescent="0.25">
      <c r="A471" s="1487">
        <f t="shared" si="1"/>
        <v>67</v>
      </c>
      <c r="B471" s="316">
        <f t="shared" si="1"/>
        <v>62</v>
      </c>
      <c r="C471" s="2110">
        <f>SUMIF($C$116:$C$274,("="&amp;A471),$F$116:$F$274)*IF(OR(AND(A471&gt;='1. AgeData'!$I$30,'S. Setup'!J$84="remove"),'S. Setup'!$J$63="no"), 0,1)</f>
        <v>7000</v>
      </c>
      <c r="D471" s="2111">
        <f>SUMIF($H$116:$H$274,("="&amp;B471),$K$116:$K$274)*IF(OR(AND(B471&gt;='1. AgeData'!$I$31,'S. Setup'!J$84="remove"),'S. Setup'!$J$63="no"), 0,1)</f>
        <v>7000</v>
      </c>
      <c r="E471" s="1919">
        <f t="shared" si="2"/>
        <v>14000</v>
      </c>
      <c r="F471" s="1155"/>
      <c r="G471" s="1922">
        <f>SUMIF($C$293:$C$451,("="&amp;A471),$F$293:$F$451)*IF(OR(AND(A471&gt;='1. AgeData'!$I$30,'S. Setup'!J$84="remove"),'S. Setup'!$J$63="no"), 0,1)</f>
        <v>0</v>
      </c>
      <c r="H471" s="1919">
        <f>SUMIF($H$293:$H$451,("="&amp;B471),$K$293:$K$451)*IF(OR(AND(B471&gt;='1. AgeData'!$I$31,'S. Setup'!K$84="remove"),'S. Setup'!$J$63="no"), 0,1)</f>
        <v>0</v>
      </c>
      <c r="I471" s="1919">
        <f t="shared" si="0"/>
        <v>0</v>
      </c>
      <c r="J471" s="1917"/>
      <c r="K471" s="1918"/>
      <c r="L471" s="1843"/>
      <c r="M471" s="215"/>
    </row>
    <row r="472" spans="1:13" x14ac:dyDescent="0.25">
      <c r="A472" s="1487">
        <f t="shared" si="1"/>
        <v>68</v>
      </c>
      <c r="B472" s="316">
        <f t="shared" si="1"/>
        <v>63</v>
      </c>
      <c r="C472" s="2110">
        <f>SUMIF($C$116:$C$274,("="&amp;A472),$F$116:$F$274)*IF(OR(AND(A472&gt;='1. AgeData'!$I$30,'S. Setup'!J$84="remove"),'S. Setup'!$J$63="no"), 0,1)</f>
        <v>7000</v>
      </c>
      <c r="D472" s="2111">
        <f>SUMIF($H$116:$H$274,("="&amp;B472),$K$116:$K$274)*IF(OR(AND(B472&gt;='1. AgeData'!$I$31,'S. Setup'!J$84="remove"),'S. Setup'!$J$63="no"), 0,1)</f>
        <v>8757.489071503398</v>
      </c>
      <c r="E472" s="1919">
        <f t="shared" si="2"/>
        <v>15757.489071503398</v>
      </c>
      <c r="F472" s="1155"/>
      <c r="G472" s="1922">
        <f>SUMIF($C$293:$C$451,("="&amp;A472),$F$293:$F$451)*IF(OR(AND(A472&gt;='1. AgeData'!$I$30,'S. Setup'!J$84="remove"),'S. Setup'!$J$63="no"), 0,1)</f>
        <v>0</v>
      </c>
      <c r="H472" s="1919">
        <f>SUMIF($H$293:$H$451,("="&amp;B472),$K$293:$K$451)*IF(OR(AND(B472&gt;='1. AgeData'!$I$31,'S. Setup'!K$84="remove"),'S. Setup'!$J$63="no"), 0,1)</f>
        <v>0</v>
      </c>
      <c r="I472" s="1919">
        <f t="shared" si="0"/>
        <v>0</v>
      </c>
      <c r="J472" s="1917"/>
      <c r="K472" s="1918"/>
      <c r="L472" s="1843"/>
      <c r="M472" s="215"/>
    </row>
    <row r="473" spans="1:13" x14ac:dyDescent="0.25">
      <c r="A473" s="1487">
        <f t="shared" si="1"/>
        <v>69</v>
      </c>
      <c r="B473" s="316">
        <f t="shared" si="1"/>
        <v>64</v>
      </c>
      <c r="C473" s="2110">
        <f>SUMIF($C$116:$C$274,("="&amp;A473),$F$116:$F$274)*IF(OR(AND(A473&gt;='1. AgeData'!$I$30,'S. Setup'!J$84="remove"),'S. Setup'!$J$63="no"), 0,1)</f>
        <v>7000</v>
      </c>
      <c r="D473" s="2111">
        <f>SUMIF($H$116:$H$274,("="&amp;B473),$K$116:$K$274)*IF(OR(AND(B473&gt;='1. AgeData'!$I$31,'S. Setup'!J$84="remove"),'S. Setup'!$J$63="no"), 0,1)</f>
        <v>14170.555411733865</v>
      </c>
      <c r="E473" s="1919">
        <f t="shared" si="2"/>
        <v>21170.555411733865</v>
      </c>
      <c r="F473" s="1155"/>
      <c r="G473" s="1922">
        <f>SUMIF($C$293:$C$451,("="&amp;A473),$F$293:$F$451)*IF(OR(AND(A473&gt;='1. AgeData'!$I$30,'S. Setup'!J$84="remove"),'S. Setup'!$J$63="no"), 0,1)</f>
        <v>0</v>
      </c>
      <c r="H473" s="1919">
        <f>SUMIF($H$293:$H$451,("="&amp;B473),$K$293:$K$451)*IF(OR(AND(B473&gt;='1. AgeData'!$I$31,'S. Setup'!K$84="remove"),'S. Setup'!$J$63="no"), 0,1)</f>
        <v>0</v>
      </c>
      <c r="I473" s="1919">
        <f t="shared" si="0"/>
        <v>0</v>
      </c>
      <c r="J473" s="1917"/>
      <c r="K473" s="1918"/>
      <c r="L473" s="1843"/>
      <c r="M473" s="215"/>
    </row>
    <row r="474" spans="1:13" x14ac:dyDescent="0.25">
      <c r="A474" s="1850">
        <f t="shared" si="1"/>
        <v>70</v>
      </c>
      <c r="B474" s="318">
        <f t="shared" si="1"/>
        <v>65</v>
      </c>
      <c r="C474" s="2110">
        <f>SUMIF($C$116:$C$274,("="&amp;A474),$F$116:$F$274)*IF(OR(AND(A474&gt;='1. AgeData'!$I$30,'S. Setup'!J$84="remove"),'S. Setup'!$J$63="no"), 0,1)</f>
        <v>19189.944199947571</v>
      </c>
      <c r="D474" s="2111">
        <f>SUMIF($H$116:$H$274,("="&amp;B474),$K$116:$K$274)*IF(OR(AND(B474&gt;='1. AgeData'!$I$31,'S. Setup'!J$84="remove"),'S. Setup'!$J$63="no"), 0,1)</f>
        <v>19189.944199947571</v>
      </c>
      <c r="E474" s="1919">
        <f t="shared" si="2"/>
        <v>38379.888399895142</v>
      </c>
      <c r="F474" s="1155"/>
      <c r="G474" s="1922">
        <f>SUMIF($C$293:$C$451,("="&amp;A474),$F$293:$F$451)*IF(OR(AND(A474&gt;='1. AgeData'!$I$30,'S. Setup'!J$84="remove"),'S. Setup'!$J$63="no"), 0,1)</f>
        <v>0</v>
      </c>
      <c r="H474" s="1919">
        <f>SUMIF($H$293:$H$451,("="&amp;B474),$K$293:$K$451)*IF(OR(AND(B474&gt;='1. AgeData'!$I$31,'S. Setup'!K$84="remove"),'S. Setup'!$J$63="no"), 0,1)</f>
        <v>0</v>
      </c>
      <c r="I474" s="1919">
        <f t="shared" si="0"/>
        <v>0</v>
      </c>
      <c r="J474" s="1917"/>
      <c r="K474" s="1918"/>
      <c r="L474" s="1843"/>
      <c r="M474" s="215"/>
    </row>
    <row r="475" spans="1:13" x14ac:dyDescent="0.25">
      <c r="A475" s="1487">
        <f t="shared" si="1"/>
        <v>71</v>
      </c>
      <c r="B475" s="316">
        <f t="shared" si="1"/>
        <v>66</v>
      </c>
      <c r="C475" s="2110">
        <f>SUMIF($C$116:$C$274,("="&amp;A475),$F$116:$F$274)*IF(OR(AND(A475&gt;='1. AgeData'!$I$30,'S. Setup'!J$84="remove"),'S. Setup'!$J$63="no"), 0,1)</f>
        <v>49274.72648541817</v>
      </c>
      <c r="D475" s="2111">
        <f>SUMIF($H$116:$H$274,("="&amp;B475),$K$116:$K$274)*IF(OR(AND(B475&gt;='1. AgeData'!$I$31,'S. Setup'!J$84="remove"),'S. Setup'!$J$63="no"), 0,1)</f>
        <v>11351.810079381281</v>
      </c>
      <c r="E475" s="1919">
        <f t="shared" si="2"/>
        <v>60626.536564799448</v>
      </c>
      <c r="F475" s="1155"/>
      <c r="G475" s="1922">
        <f>SUMIF($C$293:$C$451,("="&amp;A475),$F$293:$F$451)*IF(OR(AND(A475&gt;='1. AgeData'!$I$30,'S. Setup'!J$84="remove"),'S. Setup'!$J$63="no"), 0,1)</f>
        <v>0</v>
      </c>
      <c r="H475" s="1919">
        <f>SUMIF($H$293:$H$451,("="&amp;B475),$K$293:$K$451)*IF(OR(AND(B475&gt;='1. AgeData'!$I$31,'S. Setup'!K$84="remove"),'S. Setup'!$J$63="no"), 0,1)</f>
        <v>0</v>
      </c>
      <c r="I475" s="1919">
        <f t="shared" si="0"/>
        <v>0</v>
      </c>
      <c r="J475" s="1917"/>
      <c r="K475" s="1918"/>
      <c r="L475" s="1843"/>
      <c r="M475" s="215"/>
    </row>
    <row r="476" spans="1:13" x14ac:dyDescent="0.25">
      <c r="A476" s="1850">
        <f t="shared" si="1"/>
        <v>72</v>
      </c>
      <c r="B476" s="321">
        <f t="shared" si="1"/>
        <v>67</v>
      </c>
      <c r="C476" s="2110">
        <f>SUMIF($C$116:$C$274,("="&amp;A476),$F$116:$F$274)*IF(OR(AND(A476&gt;='1. AgeData'!$I$30,'S. Setup'!J$84="remove"),'S. Setup'!$J$63="no"), 0,1)</f>
        <v>19682.417945625453</v>
      </c>
      <c r="D476" s="2111">
        <f>SUMIF($H$116:$H$274,("="&amp;B476),$K$116:$K$274)*IF(OR(AND(B476&gt;='1. AgeData'!$I$31,'S. Setup'!J$84="remove"),'S. Setup'!$J$63="no"), 0,1)</f>
        <v>13341.208972812727</v>
      </c>
      <c r="E476" s="1919">
        <f t="shared" si="2"/>
        <v>33023.626918438182</v>
      </c>
      <c r="F476" s="1155"/>
      <c r="G476" s="1922">
        <f>SUMIF($C$293:$C$451,("="&amp;A476),$F$293:$F$451)*IF(OR(AND(A476&gt;='1. AgeData'!$I$30,'S. Setup'!J$84="remove"),'S. Setup'!$J$63="no"), 0,1)</f>
        <v>0</v>
      </c>
      <c r="H476" s="1919">
        <f>SUMIF($H$293:$H$451,("="&amp;B476),$K$293:$K$451)*IF(OR(AND(B476&gt;='1. AgeData'!$I$31,'S. Setup'!K$84="remove"),'S. Setup'!$J$63="no"), 0,1)</f>
        <v>0</v>
      </c>
      <c r="I476" s="1919">
        <f t="shared" si="0"/>
        <v>0</v>
      </c>
      <c r="J476" s="1917"/>
      <c r="K476" s="1918"/>
      <c r="L476" s="1843"/>
      <c r="M476" s="215"/>
    </row>
    <row r="477" spans="1:13" x14ac:dyDescent="0.25">
      <c r="A477" s="1487">
        <f t="shared" si="1"/>
        <v>73</v>
      </c>
      <c r="B477" s="316">
        <f t="shared" si="1"/>
        <v>68</v>
      </c>
      <c r="C477" s="2110">
        <f>SUMIF($C$116:$C$274,("="&amp;A477),$F$116:$F$274)*IF(OR(AND(A477&gt;='1. AgeData'!$I$30,'S. Setup'!J$84="remove"),'S. Setup'!$J$63="no"), 0,1)</f>
        <v>7000</v>
      </c>
      <c r="D477" s="2111">
        <f>SUMIF($H$116:$H$274,("="&amp;B477),$K$116:$K$274)*IF(OR(AND(B477&gt;='1. AgeData'!$I$31,'S. Setup'!J$84="remove"),'S. Setup'!$J$63="no"), 0,1)</f>
        <v>7000</v>
      </c>
      <c r="E477" s="1919">
        <f t="shared" si="2"/>
        <v>14000</v>
      </c>
      <c r="F477" s="1155"/>
      <c r="G477" s="1922">
        <f>SUMIF($C$293:$C$451,("="&amp;A477),$F$293:$F$451)*IF(OR(AND(A477&gt;='1. AgeData'!$I$30,'S. Setup'!J$84="remove"),'S. Setup'!$J$63="no"), 0,1)</f>
        <v>0</v>
      </c>
      <c r="H477" s="1919">
        <f>SUMIF($H$293:$H$451,("="&amp;B477),$K$293:$K$451)*IF(OR(AND(B477&gt;='1. AgeData'!$I$31,'S. Setup'!K$84="remove"),'S. Setup'!$J$63="no"), 0,1)</f>
        <v>0</v>
      </c>
      <c r="I477" s="1919">
        <f t="shared" si="0"/>
        <v>0</v>
      </c>
      <c r="J477" s="1917"/>
      <c r="K477" s="1918"/>
      <c r="L477" s="1843"/>
      <c r="M477" s="215"/>
    </row>
    <row r="478" spans="1:13" x14ac:dyDescent="0.25">
      <c r="A478" s="1487">
        <f t="shared" si="1"/>
        <v>74</v>
      </c>
      <c r="B478" s="316">
        <f t="shared" si="1"/>
        <v>69</v>
      </c>
      <c r="C478" s="2110">
        <f>SUMIF($C$116:$C$274,("="&amp;A478),$F$116:$F$274)*IF(OR(AND(A478&gt;='1. AgeData'!$I$30,'S. Setup'!J$84="remove"),'S. Setup'!$J$63="no"), 0,1)</f>
        <v>8979.2181445943079</v>
      </c>
      <c r="D478" s="2111">
        <f>SUMIF($H$116:$H$274,("="&amp;B478),$K$116:$K$274)*IF(OR(AND(B478&gt;='1. AgeData'!$I$31,'S. Setup'!J$84="remove"),'S. Setup'!$J$63="no"), 0,1)</f>
        <v>7000</v>
      </c>
      <c r="E478" s="1919">
        <f t="shared" si="2"/>
        <v>15979.218144594308</v>
      </c>
      <c r="F478" s="1155"/>
      <c r="G478" s="1922">
        <f>SUMIF($C$293:$C$451,("="&amp;A478),$F$293:$F$451)*IF(OR(AND(A478&gt;='1. AgeData'!$I$30,'S. Setup'!J$84="remove"),'S. Setup'!$J$63="no"), 0,1)</f>
        <v>0</v>
      </c>
      <c r="H478" s="1919">
        <f>SUMIF($H$293:$H$451,("="&amp;B478),$K$293:$K$451)*IF(OR(AND(B478&gt;='1. AgeData'!$I$31,'S. Setup'!K$84="remove"),'S. Setup'!$J$63="no"), 0,1)</f>
        <v>0</v>
      </c>
      <c r="I478" s="1919">
        <f t="shared" si="0"/>
        <v>0</v>
      </c>
      <c r="J478" s="1917"/>
      <c r="K478" s="1918"/>
      <c r="L478" s="1843"/>
      <c r="M478" s="215"/>
    </row>
    <row r="479" spans="1:13" x14ac:dyDescent="0.25">
      <c r="A479" s="1487">
        <f t="shared" si="1"/>
        <v>75</v>
      </c>
      <c r="B479" s="316">
        <f t="shared" si="1"/>
        <v>70</v>
      </c>
      <c r="C479" s="2110">
        <f>SUMIF($C$116:$C$274,("="&amp;A479),$F$116:$F$274)*IF(OR(AND(A479&gt;='1. AgeData'!$I$30,'S. Setup'!J$84="remove"),'S. Setup'!$J$63="no"), 0,1)</f>
        <v>107940.12537430969</v>
      </c>
      <c r="D479" s="2111">
        <f>SUMIF($H$116:$H$274,("="&amp;B479),$K$116:$K$274)*IF(OR(AND(B479&gt;='1. AgeData'!$I$31,'S. Setup'!J$84="remove"),'S. Setup'!$J$63="no"), 0,1)</f>
        <v>107940.12537430969</v>
      </c>
      <c r="E479" s="1919">
        <f t="shared" si="2"/>
        <v>215880.25074861938</v>
      </c>
      <c r="F479" s="1155"/>
      <c r="G479" s="1922">
        <f>SUMIF($C$293:$C$451,("="&amp;A479),$F$293:$F$451)*IF(OR(AND(A479&gt;='1. AgeData'!$I$30,'S. Setup'!J$84="remove"),'S. Setup'!$J$63="no"), 0,1)</f>
        <v>0</v>
      </c>
      <c r="H479" s="1919">
        <f>SUMIF($H$293:$H$451,("="&amp;B479),$K$293:$K$451)*IF(OR(AND(B479&gt;='1. AgeData'!$I$31,'S. Setup'!K$84="remove"),'S. Setup'!$J$63="no"), 0,1)</f>
        <v>0</v>
      </c>
      <c r="I479" s="1919">
        <f t="shared" si="0"/>
        <v>0</v>
      </c>
      <c r="J479" s="1917"/>
      <c r="K479" s="1918"/>
      <c r="L479" s="1843"/>
      <c r="M479" s="215"/>
    </row>
    <row r="480" spans="1:13" x14ac:dyDescent="0.25">
      <c r="A480" s="1487">
        <f t="shared" si="1"/>
        <v>76</v>
      </c>
      <c r="B480" s="316">
        <f t="shared" si="1"/>
        <v>71</v>
      </c>
      <c r="C480" s="2110">
        <f>SUMIF($C$116:$C$274,("="&amp;A480),$F$116:$F$274)*IF(OR(AND(A480&gt;='1. AgeData'!$I$30,'S. Setup'!J$84="remove"),'S. Setup'!$J$63="no"), 0,1)</f>
        <v>2059.178557635918</v>
      </c>
      <c r="D480" s="2111">
        <f>SUMIF($H$116:$H$274,("="&amp;B480),$K$116:$K$274)*IF(OR(AND(B480&gt;='1. AgeData'!$I$31,'S. Setup'!J$84="remove"),'S. Setup'!$J$63="no"), 0,1)</f>
        <v>0</v>
      </c>
      <c r="E480" s="1919">
        <f t="shared" si="2"/>
        <v>2059.178557635918</v>
      </c>
      <c r="F480" s="1155"/>
      <c r="G480" s="1922">
        <f>SUMIF($C$293:$C$451,("="&amp;A480),$F$293:$F$451)*IF(OR(AND(A480&gt;='1. AgeData'!$I$30,'S. Setup'!J$84="remove"),'S. Setup'!$J$63="no"), 0,1)</f>
        <v>0</v>
      </c>
      <c r="H480" s="1919">
        <f>SUMIF($H$293:$H$451,("="&amp;B480),$K$293:$K$451)*IF(OR(AND(B480&gt;='1. AgeData'!$I$31,'S. Setup'!K$84="remove"),'S. Setup'!$J$63="no"), 0,1)</f>
        <v>0</v>
      </c>
      <c r="I480" s="1919">
        <f t="shared" si="0"/>
        <v>0</v>
      </c>
      <c r="J480" s="1917"/>
      <c r="K480" s="1918"/>
      <c r="L480" s="1843"/>
      <c r="M480" s="215"/>
    </row>
    <row r="481" spans="1:15" x14ac:dyDescent="0.25">
      <c r="A481" s="1487">
        <f t="shared" ref="A481:B496" si="3">A480+1</f>
        <v>77</v>
      </c>
      <c r="B481" s="316">
        <f t="shared" si="3"/>
        <v>72</v>
      </c>
      <c r="C481" s="2110">
        <f>SUMIF($C$116:$C$274,("="&amp;A481),$F$116:$F$274)*IF(OR(AND(A481&gt;='1. AgeData'!$I$30,'S. Setup'!J$84="remove"),'S. Setup'!$J$63="no"), 0,1)</f>
        <v>0</v>
      </c>
      <c r="D481" s="2111">
        <f>SUMIF($H$116:$H$274,("="&amp;B481),$K$116:$K$274)*IF(OR(AND(B481&gt;='1. AgeData'!$I$31,'S. Setup'!J$84="remove"),'S. Setup'!$J$63="no"), 0,1)</f>
        <v>0</v>
      </c>
      <c r="E481" s="1919">
        <f t="shared" si="2"/>
        <v>0</v>
      </c>
      <c r="F481" s="1155"/>
      <c r="G481" s="1922">
        <f>SUMIF($C$293:$C$451,("="&amp;A481),$F$293:$F$451)*IF(OR(AND(A481&gt;='1. AgeData'!$I$30,'S. Setup'!J$84="remove"),'S. Setup'!$J$63="no"), 0,1)</f>
        <v>0</v>
      </c>
      <c r="H481" s="1919">
        <f>SUMIF($H$293:$H$451,("="&amp;B481),$K$293:$K$451)*IF(OR(AND(B481&gt;='1. AgeData'!$I$31,'S. Setup'!K$84="remove"),'S. Setup'!$J$63="no"), 0,1)</f>
        <v>0</v>
      </c>
      <c r="I481" s="1919">
        <f t="shared" si="0"/>
        <v>0</v>
      </c>
      <c r="J481" s="1917"/>
      <c r="K481" s="1918"/>
      <c r="L481" s="1843"/>
      <c r="M481" s="215"/>
    </row>
    <row r="482" spans="1:15" x14ac:dyDescent="0.25">
      <c r="A482" s="1487">
        <f t="shared" si="3"/>
        <v>78</v>
      </c>
      <c r="B482" s="316">
        <f t="shared" si="3"/>
        <v>73</v>
      </c>
      <c r="C482" s="2110">
        <f>SUMIF($C$116:$C$274,("="&amp;A482),$F$116:$F$274)*IF(OR(AND(A482&gt;='1. AgeData'!$I$30,'S. Setup'!J$84="remove"),'S. Setup'!$J$63="no"), 0,1)</f>
        <v>0</v>
      </c>
      <c r="D482" s="2111">
        <f>SUMIF($H$116:$H$274,("="&amp;B482),$K$116:$K$274)*IF(OR(AND(B482&gt;='1. AgeData'!$I$31,'S. Setup'!J$84="remove"),'S. Setup'!$J$63="no"), 0,1)</f>
        <v>0</v>
      </c>
      <c r="E482" s="1919">
        <f t="shared" si="2"/>
        <v>0</v>
      </c>
      <c r="F482" s="1155"/>
      <c r="G482" s="1922">
        <f>SUMIF($C$293:$C$451,("="&amp;A482),$F$293:$F$451)*IF(OR(AND(A482&gt;='1. AgeData'!$I$30,'S. Setup'!J$84="remove"),'S. Setup'!$J$63="no"), 0,1)</f>
        <v>0</v>
      </c>
      <c r="H482" s="1919">
        <f>SUMIF($H$293:$H$451,("="&amp;B482),$K$293:$K$451)*IF(OR(AND(B482&gt;='1. AgeData'!$I$31,'S. Setup'!K$84="remove"),'S. Setup'!$J$63="no"), 0,1)</f>
        <v>0</v>
      </c>
      <c r="I482" s="1919">
        <f t="shared" si="0"/>
        <v>0</v>
      </c>
      <c r="J482" s="1917"/>
      <c r="K482" s="1918"/>
      <c r="L482" s="1843"/>
      <c r="M482" s="215"/>
    </row>
    <row r="483" spans="1:15" x14ac:dyDescent="0.25">
      <c r="A483" s="1487">
        <f t="shared" si="3"/>
        <v>79</v>
      </c>
      <c r="B483" s="316">
        <f t="shared" si="3"/>
        <v>74</v>
      </c>
      <c r="C483" s="2110">
        <f>SUMIF($C$116:$C$274,("="&amp;A483),$F$116:$F$274)*IF(OR(AND(A483&gt;='1. AgeData'!$I$30,'S. Setup'!J$84="remove"),'S. Setup'!$J$63="no"), 0,1)</f>
        <v>0</v>
      </c>
      <c r="D483" s="2111">
        <f>SUMIF($H$116:$H$274,("="&amp;B483),$K$116:$K$274)*IF(OR(AND(B483&gt;='1. AgeData'!$I$31,'S. Setup'!J$84="remove"),'S. Setup'!$J$63="no"), 0,1)</f>
        <v>45598.189700120078</v>
      </c>
      <c r="E483" s="1919">
        <f t="shared" si="2"/>
        <v>45598.189700120078</v>
      </c>
      <c r="F483" s="1155"/>
      <c r="G483" s="1922">
        <f>SUMIF($C$293:$C$451,("="&amp;A483),$F$293:$F$451)*IF(OR(AND(A483&gt;='1. AgeData'!$I$30,'S. Setup'!J$84="remove"),'S. Setup'!$J$63="no"), 0,1)</f>
        <v>0</v>
      </c>
      <c r="H483" s="1919">
        <f>SUMIF($H$293:$H$451,("="&amp;B483),$K$293:$K$451)*IF(OR(AND(B483&gt;='1. AgeData'!$I$31,'S. Setup'!K$84="remove"),'S. Setup'!$J$63="no"), 0,1)</f>
        <v>0</v>
      </c>
      <c r="I483" s="1919">
        <f t="shared" si="0"/>
        <v>0</v>
      </c>
      <c r="J483" s="1917"/>
      <c r="K483" s="1918"/>
      <c r="L483" s="1843"/>
      <c r="M483" s="215"/>
    </row>
    <row r="484" spans="1:15" x14ac:dyDescent="0.25">
      <c r="A484" s="1487">
        <f t="shared" si="3"/>
        <v>80</v>
      </c>
      <c r="B484" s="316">
        <f t="shared" si="3"/>
        <v>75</v>
      </c>
      <c r="C484" s="2110">
        <f>SUMIF($C$116:$C$274,("="&amp;A484),$F$116:$F$274)*IF(OR(AND(A484&gt;='1. AgeData'!$I$30,'S. Setup'!J$84="remove"),'S. Setup'!$J$63="no"), 0,1)</f>
        <v>0</v>
      </c>
      <c r="D484" s="2111">
        <f>SUMIF($H$116:$H$274,("="&amp;B484),$K$116:$K$274)*IF(OR(AND(B484&gt;='1. AgeData'!$I$31,'S. Setup'!J$84="remove"),'S. Setup'!$J$63="no"), 0,1)</f>
        <v>0</v>
      </c>
      <c r="E484" s="1919">
        <f t="shared" si="2"/>
        <v>0</v>
      </c>
      <c r="F484" s="1155"/>
      <c r="G484" s="1922">
        <f>SUMIF($C$293:$C$451,("="&amp;A484),$F$293:$F$451)*IF(OR(AND(A484&gt;='1. AgeData'!$I$30,'S. Setup'!J$84="remove"),'S. Setup'!$J$63="no"), 0,1)</f>
        <v>0</v>
      </c>
      <c r="H484" s="1919">
        <f>SUMIF($H$293:$H$451,("="&amp;B484),$K$293:$K$451)*IF(OR(AND(B484&gt;='1. AgeData'!$I$31,'S. Setup'!K$84="remove"),'S. Setup'!$J$63="no"), 0,1)</f>
        <v>0</v>
      </c>
      <c r="I484" s="1919">
        <f t="shared" si="0"/>
        <v>0</v>
      </c>
      <c r="J484" s="1917"/>
      <c r="K484" s="1918"/>
      <c r="L484" s="1843"/>
      <c r="M484" s="215"/>
    </row>
    <row r="485" spans="1:15" x14ac:dyDescent="0.25">
      <c r="A485" s="1487">
        <f t="shared" si="3"/>
        <v>81</v>
      </c>
      <c r="B485" s="316">
        <f t="shared" si="3"/>
        <v>76</v>
      </c>
      <c r="C485" s="2110">
        <f>SUMIF($C$116:$C$274,("="&amp;A485),$F$116:$F$274)*IF(OR(AND(A485&gt;='1. AgeData'!$I$30,'S. Setup'!J$84="remove"),'S. Setup'!$J$63="no"), 0,1)</f>
        <v>0</v>
      </c>
      <c r="D485" s="2111">
        <f>SUMIF($H$116:$H$274,("="&amp;B485),$K$116:$K$274)*IF(OR(AND(B485&gt;='1. AgeData'!$I$31,'S. Setup'!J$84="remove"),'S. Setup'!$J$63="no"), 0,1)</f>
        <v>0</v>
      </c>
      <c r="E485" s="1919">
        <f t="shared" si="2"/>
        <v>0</v>
      </c>
      <c r="F485" s="1155"/>
      <c r="G485" s="1922">
        <f>SUMIF($C$293:$C$451,("="&amp;A485),$F$293:$F$451)*IF(OR(AND(A485&gt;='1. AgeData'!$I$30,'S. Setup'!J$84="remove"),'S. Setup'!$J$63="no"), 0,1)</f>
        <v>0</v>
      </c>
      <c r="H485" s="1919">
        <f>SUMIF($H$293:$H$451,("="&amp;B485),$K$293:$K$451)*IF(OR(AND(B485&gt;='1. AgeData'!$I$31,'S. Setup'!K$84="remove"),'S. Setup'!$J$63="no"), 0,1)</f>
        <v>0</v>
      </c>
      <c r="I485" s="1919">
        <f t="shared" si="0"/>
        <v>0</v>
      </c>
      <c r="J485" s="1917"/>
      <c r="K485" s="1918"/>
      <c r="L485" s="1843"/>
      <c r="M485" s="215"/>
    </row>
    <row r="486" spans="1:15" x14ac:dyDescent="0.25">
      <c r="A486" s="1487">
        <f t="shared" si="3"/>
        <v>82</v>
      </c>
      <c r="B486" s="316">
        <f t="shared" si="3"/>
        <v>77</v>
      </c>
      <c r="C486" s="2110">
        <f>SUMIF($C$116:$C$274,("="&amp;A486),$F$116:$F$274)*IF(OR(AND(A486&gt;='1. AgeData'!$I$30,'S. Setup'!J$84="remove"),'S. Setup'!$J$63="no"), 0,1)</f>
        <v>0</v>
      </c>
      <c r="D486" s="2111">
        <f>SUMIF($H$116:$H$274,("="&amp;B486),$K$116:$K$274)*IF(OR(AND(B486&gt;='1. AgeData'!$I$31,'S. Setup'!J$84="remove"),'S. Setup'!$J$63="no"), 0,1)</f>
        <v>0</v>
      </c>
      <c r="E486" s="1919">
        <f t="shared" si="2"/>
        <v>0</v>
      </c>
      <c r="F486" s="1155"/>
      <c r="G486" s="1922">
        <f>SUMIF($C$293:$C$451,("="&amp;A486),$F$293:$F$451)*IF(OR(AND(A486&gt;='1. AgeData'!$I$30,'S. Setup'!J$84="remove"),'S. Setup'!$J$63="no"), 0,1)</f>
        <v>0</v>
      </c>
      <c r="H486" s="1919">
        <f>SUMIF($H$293:$H$451,("="&amp;B486),$K$293:$K$451)*IF(OR(AND(B486&gt;='1. AgeData'!$I$31,'S. Setup'!K$84="remove"),'S. Setup'!$J$63="no"), 0,1)</f>
        <v>0</v>
      </c>
      <c r="I486" s="1919">
        <f t="shared" si="0"/>
        <v>0</v>
      </c>
      <c r="J486" s="1917"/>
      <c r="K486" s="1918"/>
      <c r="L486" s="1843"/>
      <c r="M486" s="215"/>
    </row>
    <row r="487" spans="1:15" x14ac:dyDescent="0.25">
      <c r="A487" s="1487">
        <f t="shared" si="3"/>
        <v>83</v>
      </c>
      <c r="B487" s="316">
        <f t="shared" si="3"/>
        <v>78</v>
      </c>
      <c r="C487" s="2110">
        <f>SUMIF($C$116:$C$274,("="&amp;A487),$F$116:$F$274)*IF(OR(AND(A487&gt;='1. AgeData'!$I$30,'S. Setup'!J$84="remove"),'S. Setup'!$J$63="no"), 0,1)</f>
        <v>0</v>
      </c>
      <c r="D487" s="2111">
        <f>SUMIF($H$116:$H$274,("="&amp;B487),$K$116:$K$274)*IF(OR(AND(B487&gt;='1. AgeData'!$I$31,'S. Setup'!J$84="remove"),'S. Setup'!$J$63="no"), 0,1)</f>
        <v>0</v>
      </c>
      <c r="E487" s="1919">
        <f t="shared" si="2"/>
        <v>0</v>
      </c>
      <c r="F487" s="1155"/>
      <c r="G487" s="1922">
        <f>SUMIF($C$293:$C$451,("="&amp;A487),$F$293:$F$451)*IF(OR(AND(A487&gt;='1. AgeData'!$I$30,'S. Setup'!J$84="remove"),'S. Setup'!$J$63="no"), 0,1)</f>
        <v>0</v>
      </c>
      <c r="H487" s="1919">
        <f>SUMIF($H$293:$H$451,("="&amp;B487),$K$293:$K$451)*IF(OR(AND(B487&gt;='1. AgeData'!$I$31,'S. Setup'!K$84="remove"),'S. Setup'!$J$63="no"), 0,1)</f>
        <v>0</v>
      </c>
      <c r="I487" s="1919">
        <f t="shared" si="0"/>
        <v>0</v>
      </c>
      <c r="J487" s="1917"/>
      <c r="K487" s="1918"/>
      <c r="L487" s="1843"/>
      <c r="M487" s="215"/>
    </row>
    <row r="488" spans="1:15" x14ac:dyDescent="0.25">
      <c r="A488" s="1487">
        <f t="shared" si="3"/>
        <v>84</v>
      </c>
      <c r="B488" s="316">
        <f t="shared" si="3"/>
        <v>79</v>
      </c>
      <c r="C488" s="2110">
        <f>SUMIF($C$116:$C$274,("="&amp;A488),$F$116:$F$274)*IF(OR(AND(A488&gt;='1. AgeData'!$I$30,'S. Setup'!J$84="remove"),'S. Setup'!$J$63="no"), 0,1)</f>
        <v>0</v>
      </c>
      <c r="D488" s="2111">
        <f>SUMIF($H$116:$H$274,("="&amp;B488),$K$116:$K$274)*IF(OR(AND(B488&gt;='1. AgeData'!$I$31,'S. Setup'!J$84="remove"),'S. Setup'!$J$63="no"), 0,1)</f>
        <v>0</v>
      </c>
      <c r="E488" s="1919">
        <f t="shared" si="2"/>
        <v>0</v>
      </c>
      <c r="F488" s="1155"/>
      <c r="G488" s="1922">
        <f>SUMIF($C$293:$C$451,("="&amp;A488),$F$293:$F$451)*IF(OR(AND(A488&gt;='1. AgeData'!$I$30,'S. Setup'!J$84="remove"),'S. Setup'!$J$63="no"), 0,1)</f>
        <v>0</v>
      </c>
      <c r="H488" s="1919">
        <f>SUMIF($H$293:$H$451,("="&amp;B488),$K$293:$K$451)*IF(OR(AND(B488&gt;='1. AgeData'!$I$31,'S. Setup'!K$84="remove"),'S. Setup'!$J$63="no"), 0,1)</f>
        <v>0</v>
      </c>
      <c r="I488" s="1919">
        <f t="shared" si="0"/>
        <v>0</v>
      </c>
      <c r="J488" s="1917"/>
      <c r="K488" s="1918"/>
      <c r="L488" s="1843"/>
      <c r="M488" s="215"/>
    </row>
    <row r="489" spans="1:15" x14ac:dyDescent="0.25">
      <c r="A489" s="1850">
        <f t="shared" si="3"/>
        <v>85</v>
      </c>
      <c r="B489" s="321">
        <f t="shared" si="3"/>
        <v>80</v>
      </c>
      <c r="C489" s="2110">
        <f>SUMIF($C$116:$C$274,("="&amp;A489),$F$116:$F$274)*IF(OR(AND(A489&gt;='1. AgeData'!$I$30,'S. Setup'!J$84="remove"),'S. Setup'!$J$63="no"), 0,1)</f>
        <v>0</v>
      </c>
      <c r="D489" s="2111">
        <f>SUMIF($H$116:$H$274,("="&amp;B489),$K$116:$K$274)*IF(OR(AND(B489&gt;='1. AgeData'!$I$31,'S. Setup'!J$84="remove"),'S. Setup'!$J$63="no"), 0,1)</f>
        <v>0</v>
      </c>
      <c r="E489" s="1919">
        <f t="shared" si="2"/>
        <v>0</v>
      </c>
      <c r="F489" s="1155"/>
      <c r="G489" s="1922">
        <f>SUMIF($C$293:$C$451,("="&amp;A489),$F$293:$F$451)*IF(OR(AND(A489&gt;='1. AgeData'!$I$30,'S. Setup'!J$84="remove"),'S. Setup'!$J$63="no"), 0,1)</f>
        <v>0</v>
      </c>
      <c r="H489" s="1919">
        <f>SUMIF($H$293:$H$451,("="&amp;B489),$K$293:$K$451)*IF(OR(AND(B489&gt;='1. AgeData'!$I$31,'S. Setup'!K$84="remove"),'S. Setup'!$J$63="no"), 0,1)</f>
        <v>0</v>
      </c>
      <c r="I489" s="1919">
        <f t="shared" si="0"/>
        <v>0</v>
      </c>
      <c r="J489" s="1917"/>
      <c r="K489" s="1918"/>
      <c r="L489" s="1843"/>
      <c r="M489" s="215"/>
    </row>
    <row r="490" spans="1:15" x14ac:dyDescent="0.25">
      <c r="A490" s="1487">
        <f t="shared" si="3"/>
        <v>86</v>
      </c>
      <c r="B490" s="316">
        <f t="shared" si="3"/>
        <v>81</v>
      </c>
      <c r="C490" s="2110">
        <f>SUMIF($C$116:$C$274,("="&amp;A490),$F$116:$F$274)*IF(OR(AND(A490&gt;='1. AgeData'!$I$30,'S. Setup'!J$84="remove"),'S. Setup'!$J$63="no"), 0,1)</f>
        <v>0</v>
      </c>
      <c r="D490" s="2111">
        <f>SUMIF($H$116:$H$274,("="&amp;B490),$K$116:$K$274)*IF(OR(AND(B490&gt;='1. AgeData'!$I$31,'S. Setup'!J$84="remove"),'S. Setup'!$J$63="no"), 0,1)</f>
        <v>0</v>
      </c>
      <c r="E490" s="1919">
        <f t="shared" si="2"/>
        <v>0</v>
      </c>
      <c r="F490" s="1155"/>
      <c r="G490" s="1922">
        <f>SUMIF($C$293:$C$451,("="&amp;A490),$F$293:$F$451)*IF(OR(AND(A490&gt;='1. AgeData'!$I$30,'S. Setup'!J$84="remove"),'S. Setup'!$J$63="no"), 0,1)</f>
        <v>0</v>
      </c>
      <c r="H490" s="1919">
        <f>SUMIF($H$293:$H$451,("="&amp;B490),$K$293:$K$451)*IF(OR(AND(B490&gt;='1. AgeData'!$I$31,'S. Setup'!K$84="remove"),'S. Setup'!$J$63="no"), 0,1)</f>
        <v>0</v>
      </c>
      <c r="I490" s="1919">
        <f t="shared" si="0"/>
        <v>0</v>
      </c>
      <c r="J490" s="1917"/>
      <c r="K490" s="1918"/>
      <c r="L490" s="1843"/>
      <c r="M490" s="215"/>
    </row>
    <row r="491" spans="1:15" x14ac:dyDescent="0.25">
      <c r="A491" s="1851">
        <f t="shared" si="3"/>
        <v>87</v>
      </c>
      <c r="B491" s="1128">
        <f t="shared" si="3"/>
        <v>82</v>
      </c>
      <c r="C491" s="2110">
        <f>SUMIF($C$116:$C$274,("="&amp;A491),$F$116:$F$274)*IF(OR(AND(A491&gt;='1. AgeData'!$I$30,'S. Setup'!J$84="remove"),'S. Setup'!$J$63="no"), 0,1)</f>
        <v>0</v>
      </c>
      <c r="D491" s="2111">
        <f>SUMIF($H$116:$H$274,("="&amp;B491),$K$116:$K$274)*IF(OR(AND(B491&gt;='1. AgeData'!$I$31,'S. Setup'!J$84="remove"),'S. Setup'!$J$63="no"), 0,1)</f>
        <v>0</v>
      </c>
      <c r="E491" s="1919">
        <f t="shared" si="2"/>
        <v>0</v>
      </c>
      <c r="F491" s="1155"/>
      <c r="G491" s="1922">
        <f>SUMIF($C$293:$C$451,("="&amp;A491),$F$293:$F$451)*IF(OR(AND(A491&gt;='1. AgeData'!$I$30,'S. Setup'!J$84="remove"),'S. Setup'!$J$63="no"), 0,1)</f>
        <v>0</v>
      </c>
      <c r="H491" s="1919">
        <f>SUMIF($H$293:$H$451,("="&amp;B491),$K$293:$K$451)*IF(OR(AND(B491&gt;='1. AgeData'!$I$31,'S. Setup'!K$84="remove"),'S. Setup'!$J$63="no"), 0,1)</f>
        <v>0</v>
      </c>
      <c r="I491" s="1919">
        <f t="shared" si="0"/>
        <v>0</v>
      </c>
      <c r="J491" s="1917"/>
      <c r="K491" s="1918"/>
      <c r="L491" s="1843"/>
      <c r="M491" s="215"/>
    </row>
    <row r="492" spans="1:15" x14ac:dyDescent="0.25">
      <c r="A492" s="1487">
        <f t="shared" si="3"/>
        <v>88</v>
      </c>
      <c r="B492" s="316">
        <f t="shared" si="3"/>
        <v>83</v>
      </c>
      <c r="C492" s="2110">
        <f>SUMIF($C$116:$C$274,("="&amp;A492),$F$116:$F$274)*IF(OR(AND(A492&gt;='1. AgeData'!$I$30,'S. Setup'!J$84="remove"),'S. Setup'!$J$63="no"), 0,1)</f>
        <v>0</v>
      </c>
      <c r="D492" s="2111">
        <f>SUMIF($H$116:$H$274,("="&amp;B492),$K$116:$K$274)*IF(OR(AND(B492&gt;='1. AgeData'!$I$31,'S. Setup'!J$84="remove"),'S. Setup'!$J$63="no"), 0,1)</f>
        <v>0</v>
      </c>
      <c r="E492" s="1919">
        <f t="shared" si="2"/>
        <v>0</v>
      </c>
      <c r="F492" s="1155"/>
      <c r="G492" s="1922">
        <f>SUMIF($C$293:$C$451,("="&amp;A492),$F$293:$F$451)*IF(OR(AND(A492&gt;='1. AgeData'!$I$30,'S. Setup'!J$84="remove"),'S. Setup'!$J$63="no"), 0,1)</f>
        <v>0</v>
      </c>
      <c r="H492" s="1919">
        <f>SUMIF($H$293:$H$451,("="&amp;B492),$K$293:$K$451)*IF(OR(AND(B492&gt;='1. AgeData'!$I$31,'S. Setup'!K$84="remove"),'S. Setup'!$J$63="no"), 0,1)</f>
        <v>0</v>
      </c>
      <c r="I492" s="1919">
        <f t="shared" si="0"/>
        <v>0</v>
      </c>
      <c r="J492" s="1917"/>
      <c r="K492" s="1918"/>
      <c r="L492" s="1843"/>
      <c r="M492" s="215"/>
    </row>
    <row r="493" spans="1:15" x14ac:dyDescent="0.25">
      <c r="A493" s="1487">
        <f t="shared" si="3"/>
        <v>89</v>
      </c>
      <c r="B493" s="316">
        <f t="shared" si="3"/>
        <v>84</v>
      </c>
      <c r="C493" s="2110">
        <f>SUMIF($C$116:$C$274,("="&amp;A493),$F$116:$F$274)*IF(OR(AND(A493&gt;='1. AgeData'!$I$30,'S. Setup'!J$84="remove"),'S. Setup'!$J$63="no"), 0,1)</f>
        <v>0</v>
      </c>
      <c r="D493" s="2111">
        <f>SUMIF($H$116:$H$274,("="&amp;B493),$K$116:$K$274)*IF(OR(AND(B493&gt;='1. AgeData'!$I$31,'S. Setup'!J$84="remove"),'S. Setup'!$J$63="no"), 0,1)</f>
        <v>0</v>
      </c>
      <c r="E493" s="1919">
        <f t="shared" si="2"/>
        <v>0</v>
      </c>
      <c r="F493" s="1155"/>
      <c r="G493" s="1922">
        <f>SUMIF($C$293:$C$451,("="&amp;A493),$F$293:$F$451)*IF(OR(AND(A493&gt;='1. AgeData'!$I$30,'S. Setup'!J$84="remove"),'S. Setup'!$J$63="no"), 0,1)</f>
        <v>0</v>
      </c>
      <c r="H493" s="1919">
        <f>SUMIF($H$293:$H$451,("="&amp;B493),$K$293:$K$451)*IF(OR(AND(B493&gt;='1. AgeData'!$I$31,'S. Setup'!K$84="remove"),'S. Setup'!$J$63="no"), 0,1)</f>
        <v>0</v>
      </c>
      <c r="I493" s="1919">
        <f t="shared" si="0"/>
        <v>0</v>
      </c>
      <c r="J493" s="1917"/>
      <c r="K493" s="1918"/>
      <c r="L493" s="1843"/>
      <c r="M493" s="1927"/>
      <c r="N493" s="1928"/>
      <c r="O493" s="1928"/>
    </row>
    <row r="494" spans="1:15" x14ac:dyDescent="0.25">
      <c r="A494" s="1487">
        <f t="shared" si="3"/>
        <v>90</v>
      </c>
      <c r="B494" s="316">
        <f t="shared" si="3"/>
        <v>85</v>
      </c>
      <c r="C494" s="2110">
        <f>SUMIF($C$116:$C$274,("="&amp;A494),$F$116:$F$274)*IF(OR(AND(A494&gt;='1. AgeData'!$I$30,'S. Setup'!J$84="remove"),'S. Setup'!$J$63="no"), 0,1)</f>
        <v>0</v>
      </c>
      <c r="D494" s="2111">
        <f>SUMIF($H$116:$H$274,("="&amp;B494),$K$116:$K$274)*IF(OR(AND(B494&gt;='1. AgeData'!$I$31,'S. Setup'!J$84="remove"),'S. Setup'!$J$63="no"), 0,1)</f>
        <v>0</v>
      </c>
      <c r="E494" s="1919">
        <f t="shared" si="2"/>
        <v>0</v>
      </c>
      <c r="F494" s="1155"/>
      <c r="G494" s="1922">
        <f>SUMIF($C$293:$C$451,("="&amp;A494),$F$293:$F$451)*IF(OR(AND(A494&gt;='1. AgeData'!$I$30,'S. Setup'!J$84="remove"),'S. Setup'!$J$63="no"), 0,1)</f>
        <v>0</v>
      </c>
      <c r="H494" s="1919">
        <f>SUMIF($H$293:$H$451,("="&amp;B494),$K$293:$K$451)*IF(OR(AND(B494&gt;='1. AgeData'!$I$31,'S. Setup'!K$84="remove"),'S. Setup'!$J$63="no"), 0,1)</f>
        <v>0</v>
      </c>
      <c r="I494" s="1919">
        <f t="shared" si="0"/>
        <v>0</v>
      </c>
      <c r="J494" s="1917"/>
      <c r="K494" s="1918"/>
      <c r="L494" s="1843"/>
      <c r="M494" s="215"/>
    </row>
    <row r="495" spans="1:15" x14ac:dyDescent="0.25">
      <c r="A495" s="1487">
        <f t="shared" si="3"/>
        <v>91</v>
      </c>
      <c r="B495" s="316">
        <f t="shared" si="3"/>
        <v>86</v>
      </c>
      <c r="C495" s="2110">
        <f>SUMIF($C$116:$C$274,("="&amp;A495),$F$116:$F$274)*IF(OR(AND(A495&gt;='1. AgeData'!$I$30,'S. Setup'!J$84="remove"),'S. Setup'!$J$63="no"), 0,1)</f>
        <v>0</v>
      </c>
      <c r="D495" s="2111">
        <f>SUMIF($H$116:$H$274,("="&amp;B495),$K$116:$K$274)*IF(OR(AND(B495&gt;='1. AgeData'!$I$31,'S. Setup'!J$84="remove"),'S. Setup'!$J$63="no"), 0,1)</f>
        <v>0</v>
      </c>
      <c r="E495" s="1919">
        <f t="shared" si="2"/>
        <v>0</v>
      </c>
      <c r="F495" s="1155"/>
      <c r="G495" s="1922">
        <f>SUMIF($C$293:$C$451,("="&amp;A495),$F$293:$F$451)*IF(OR(AND(A495&gt;='1. AgeData'!$I$30,'S. Setup'!J$84="remove"),'S. Setup'!$J$63="no"), 0,1)</f>
        <v>0</v>
      </c>
      <c r="H495" s="1919">
        <f>SUMIF($H$293:$H$451,("="&amp;B495),$K$293:$K$451)*IF(OR(AND(B495&gt;='1. AgeData'!$I$31,'S. Setup'!K$84="remove"),'S. Setup'!$J$63="no"), 0,1)</f>
        <v>0</v>
      </c>
      <c r="I495" s="1919">
        <f t="shared" si="0"/>
        <v>0</v>
      </c>
      <c r="J495" s="1917"/>
      <c r="K495" s="1918"/>
      <c r="L495" s="1843"/>
      <c r="M495" s="215"/>
    </row>
    <row r="496" spans="1:15" x14ac:dyDescent="0.25">
      <c r="A496" s="1487">
        <f t="shared" si="3"/>
        <v>92</v>
      </c>
      <c r="B496" s="316">
        <f t="shared" si="3"/>
        <v>87</v>
      </c>
      <c r="C496" s="2110">
        <f>SUMIF($C$116:$C$274,("="&amp;A496),$F$116:$F$274)*IF(OR(AND(A496&gt;='1. AgeData'!$I$30,'S. Setup'!J$84="remove"),'S. Setup'!$J$63="no"), 0,1)</f>
        <v>0</v>
      </c>
      <c r="D496" s="2111">
        <f>SUMIF($H$116:$H$274,("="&amp;B496),$K$116:$K$274)*IF(OR(AND(B496&gt;='1. AgeData'!$I$31,'S. Setup'!J$84="remove"),'S. Setup'!$J$63="no"), 0,1)</f>
        <v>0</v>
      </c>
      <c r="E496" s="1919">
        <f t="shared" si="2"/>
        <v>0</v>
      </c>
      <c r="F496" s="1155"/>
      <c r="G496" s="1922">
        <f>SUMIF($C$293:$C$451,("="&amp;A496),$F$293:$F$451)*IF(OR(AND(A496&gt;='1. AgeData'!$I$30,'S. Setup'!J$84="remove"),'S. Setup'!$J$63="no"), 0,1)</f>
        <v>0</v>
      </c>
      <c r="H496" s="1919">
        <f>SUMIF($H$293:$H$451,("="&amp;B496),$K$293:$K$451)*IF(OR(AND(B496&gt;='1. AgeData'!$I$31,'S. Setup'!K$84="remove"),'S. Setup'!$J$63="no"), 0,1)</f>
        <v>0</v>
      </c>
      <c r="I496" s="1919">
        <f t="shared" si="0"/>
        <v>0</v>
      </c>
      <c r="J496" s="1917"/>
      <c r="K496" s="1918"/>
      <c r="L496" s="1843"/>
    </row>
    <row r="497" spans="1:15" x14ac:dyDescent="0.25">
      <c r="A497" s="1487">
        <f t="shared" ref="A497:B500" si="4">A496+1</f>
        <v>93</v>
      </c>
      <c r="B497" s="316">
        <f t="shared" si="4"/>
        <v>88</v>
      </c>
      <c r="C497" s="2110">
        <f>SUMIF($C$116:$C$274,("="&amp;A497),$F$116:$F$274)*IF(OR(AND(A497&gt;='1. AgeData'!$I$30,'S. Setup'!J$84="remove"),'S. Setup'!$J$63="no"), 0,1)</f>
        <v>0</v>
      </c>
      <c r="D497" s="2111">
        <f>SUMIF($H$116:$H$274,("="&amp;B497),$K$116:$K$274)*IF(OR(AND(B497&gt;='1. AgeData'!$I$31,'S. Setup'!J$84="remove"),'S. Setup'!$J$63="no"), 0,1)</f>
        <v>0</v>
      </c>
      <c r="E497" s="1919">
        <f t="shared" si="2"/>
        <v>0</v>
      </c>
      <c r="F497" s="1155"/>
      <c r="G497" s="1922">
        <f>SUMIF($C$293:$C$451,("="&amp;A497),$F$293:$F$451)*IF(OR(AND(A497&gt;='1. AgeData'!$I$30,'S. Setup'!J$84="remove"),'S. Setup'!$J$63="no"), 0,1)</f>
        <v>0</v>
      </c>
      <c r="H497" s="1919">
        <f>SUMIF($H$293:$H$451,("="&amp;B497),$K$293:$K$451)*IF(OR(AND(B497&gt;='1. AgeData'!$I$31,'S. Setup'!K$84="remove"),'S. Setup'!$J$63="no"), 0,1)</f>
        <v>0</v>
      </c>
      <c r="I497" s="1919">
        <f t="shared" si="0"/>
        <v>0</v>
      </c>
      <c r="J497" s="1917"/>
      <c r="K497" s="1918"/>
      <c r="L497" s="1843"/>
      <c r="M497" s="6"/>
      <c r="N497" s="6"/>
    </row>
    <row r="498" spans="1:15" x14ac:dyDescent="0.25">
      <c r="A498" s="1487">
        <f t="shared" si="4"/>
        <v>94</v>
      </c>
      <c r="B498" s="316">
        <f t="shared" si="4"/>
        <v>89</v>
      </c>
      <c r="C498" s="2110">
        <f>SUMIF($C$116:$C$274,("="&amp;A498),$F$116:$F$274)*IF(OR(AND(A498&gt;='1. AgeData'!$I$30,'S. Setup'!J$84="remove"),'S. Setup'!$J$63="no"), 0,1)</f>
        <v>0</v>
      </c>
      <c r="D498" s="2111">
        <f>SUMIF($H$116:$H$274,("="&amp;B498),$K$116:$K$274)*IF(OR(AND(B498&gt;='1. AgeData'!$I$31,'S. Setup'!J$84="remove"),'S. Setup'!$J$63="no"), 0,1)</f>
        <v>0</v>
      </c>
      <c r="E498" s="1919">
        <f t="shared" si="2"/>
        <v>0</v>
      </c>
      <c r="F498" s="1155"/>
      <c r="G498" s="1922">
        <f>SUMIF($C$293:$C$451,("="&amp;A498),$F$293:$F$451)*IF(OR(AND(A498&gt;='1. AgeData'!$I$30,'S. Setup'!J$84="remove"),'S. Setup'!$J$63="no"), 0,1)</f>
        <v>0</v>
      </c>
      <c r="H498" s="1919">
        <f>SUMIF($H$293:$H$451,("="&amp;B498),$K$293:$K$451)*IF(OR(AND(B498&gt;='1. AgeData'!$I$31,'S. Setup'!K$84="remove"),'S. Setup'!$J$63="no"), 0,1)</f>
        <v>0</v>
      </c>
      <c r="I498" s="1919">
        <f t="shared" si="0"/>
        <v>0</v>
      </c>
      <c r="J498" s="1917"/>
      <c r="K498" s="1918"/>
      <c r="L498" s="1843"/>
      <c r="M498" s="6"/>
      <c r="N498" s="6"/>
    </row>
    <row r="499" spans="1:15" x14ac:dyDescent="0.25">
      <c r="A499" s="1487">
        <f t="shared" si="4"/>
        <v>95</v>
      </c>
      <c r="B499" s="316">
        <f t="shared" si="4"/>
        <v>90</v>
      </c>
      <c r="C499" s="2110">
        <f>SUMIF($C$116:$C$274,("="&amp;A499),$F$116:$F$274)*IF(OR(AND(A499&gt;='1. AgeData'!$I$30,'S. Setup'!J$84="remove"),'S. Setup'!$J$63="no"), 0,1)</f>
        <v>0</v>
      </c>
      <c r="D499" s="2111">
        <f>SUMIF($H$116:$H$274,("="&amp;B499),$K$116:$K$274)*IF(OR(AND(B499&gt;='1. AgeData'!$I$31,'S. Setup'!J$84="remove"),'S. Setup'!$J$63="no"), 0,1)</f>
        <v>0</v>
      </c>
      <c r="E499" s="1919">
        <f t="shared" si="2"/>
        <v>0</v>
      </c>
      <c r="F499" s="1155"/>
      <c r="G499" s="1922">
        <f>SUMIF($C$293:$C$451,("="&amp;A499),$F$293:$F$451)*IF(OR(AND(A499&gt;='1. AgeData'!$I$30,'S. Setup'!J$84="remove"),'S. Setup'!$J$63="no"), 0,1)</f>
        <v>0</v>
      </c>
      <c r="H499" s="1919">
        <f>SUMIF($H$293:$H$451,("="&amp;B499),$K$293:$K$451)*IF(OR(AND(B499&gt;='1. AgeData'!$I$31,'S. Setup'!K$84="remove"),'S. Setup'!$J$63="no"), 0,1)</f>
        <v>0</v>
      </c>
      <c r="I499" s="1919">
        <f t="shared" si="0"/>
        <v>0</v>
      </c>
      <c r="J499" s="1917"/>
      <c r="K499" s="1918"/>
      <c r="L499" s="1843"/>
      <c r="M499" s="6"/>
      <c r="N499" s="6"/>
    </row>
    <row r="500" spans="1:15" ht="15.75" thickBot="1" x14ac:dyDescent="0.3">
      <c r="A500" s="1852">
        <f t="shared" si="4"/>
        <v>96</v>
      </c>
      <c r="B500" s="1853">
        <f t="shared" si="4"/>
        <v>91</v>
      </c>
      <c r="C500" s="2112">
        <f>SUMIF($C$116:$C$274,("="&amp;A500),$F$116:$F$274)*IF(OR(AND(A500&gt;='1. AgeData'!$I$30,'S. Setup'!J$84="remove"),'S. Setup'!$J$63="no"), 0,1)</f>
        <v>0</v>
      </c>
      <c r="D500" s="2113">
        <f>SUMIF($H$116:$H$274,("="&amp;B500),$K$116:$K$274)*IF(OR(AND(B500&gt;='1. AgeData'!$I$31,'S. Setup'!J$84="remove"),'S. Setup'!$J$63="no"), 0,1)</f>
        <v>0</v>
      </c>
      <c r="E500" s="1856">
        <f t="shared" si="2"/>
        <v>0</v>
      </c>
      <c r="G500" s="1923">
        <f>SUMIF($C$293:$C$451,("="&amp;A500),$F$293:$F$451)*IF(OR(AND(A500&gt;='1. AgeData'!$I$30,'S. Setup'!J$84="remove"),'S. Setup'!$J$63="no"), 0,1)</f>
        <v>0</v>
      </c>
      <c r="H500" s="1920">
        <f>SUMIF($H$293:$H$451,("="&amp;B500),$K$293:$K$451)*IF(OR(AND(B500&gt;='1. AgeData'!$I$31,'S. Setup'!K$84="remove"),'S. Setup'!$J$63="no"), 0,1)</f>
        <v>0</v>
      </c>
      <c r="I500" s="1920">
        <f>G500+H500</f>
        <v>0</v>
      </c>
      <c r="J500" s="1917"/>
      <c r="K500" s="1918"/>
      <c r="L500" s="1843"/>
      <c r="M500" s="6"/>
      <c r="N500" s="6"/>
    </row>
    <row r="501" spans="1:15" s="1928" customFormat="1" ht="66.75" thickTop="1" thickBot="1" x14ac:dyDescent="0.35">
      <c r="A501" s="1929"/>
      <c r="B501" s="1128"/>
      <c r="C501" s="2098" t="s">
        <v>1505</v>
      </c>
      <c r="D501" s="2098" t="s">
        <v>1506</v>
      </c>
      <c r="E501" s="1931" t="s">
        <v>2905</v>
      </c>
      <c r="F501" s="1947"/>
      <c r="G501" s="1930" t="s">
        <v>1514</v>
      </c>
      <c r="H501" s="1930" t="s">
        <v>1515</v>
      </c>
      <c r="I501" s="1935" t="s">
        <v>1516</v>
      </c>
      <c r="J501" s="1924"/>
      <c r="K501" s="1925"/>
      <c r="L501" s="1926"/>
      <c r="M501" s="6"/>
      <c r="N501" s="6"/>
      <c r="O501"/>
    </row>
    <row r="502" spans="1:15" ht="20.25" thickTop="1" thickBot="1" x14ac:dyDescent="0.35">
      <c r="A502" s="1852"/>
      <c r="B502" s="1853"/>
      <c r="C502" s="1932">
        <f>SUM(C464:C500)</f>
        <v>443165.55092941906</v>
      </c>
      <c r="D502" s="1933">
        <f>SUM(D464:D500)</f>
        <v>441337.67127169663</v>
      </c>
      <c r="E502" s="1934">
        <f>C502+D502</f>
        <v>884503.22220111568</v>
      </c>
      <c r="F502" s="1948"/>
      <c r="G502" s="1932">
        <f>SUM(G464:G500)</f>
        <v>0</v>
      </c>
      <c r="H502" s="1933">
        <f>SUM(H464:H500)</f>
        <v>0</v>
      </c>
      <c r="I502" s="1936">
        <f>G502+H502</f>
        <v>0</v>
      </c>
      <c r="J502" s="1854"/>
      <c r="K502" s="1855"/>
      <c r="L502" s="1843"/>
      <c r="M502" s="6"/>
      <c r="N502" s="6"/>
    </row>
    <row r="503" spans="1:15" ht="19.5" thickTop="1" x14ac:dyDescent="0.3">
      <c r="A503" s="1841"/>
      <c r="B503" s="1842"/>
      <c r="C503" s="1841"/>
      <c r="D503" s="1841"/>
      <c r="E503" s="1842"/>
      <c r="F503" s="1842"/>
      <c r="G503" s="1842"/>
      <c r="H503" s="1842"/>
      <c r="I503" s="1842"/>
      <c r="J503" s="1842"/>
      <c r="K503" s="33"/>
      <c r="L503" s="1843"/>
      <c r="M503" s="6"/>
      <c r="N503" s="6"/>
    </row>
    <row r="504" spans="1:15" ht="15.75" thickBot="1" x14ac:dyDescent="0.3">
      <c r="M504" s="6"/>
      <c r="N504" s="6"/>
    </row>
    <row r="505" spans="1:15" ht="19.5" thickTop="1" x14ac:dyDescent="0.3">
      <c r="A505" s="231" t="s">
        <v>1531</v>
      </c>
      <c r="B505" s="42"/>
      <c r="C505" s="42"/>
      <c r="D505" s="1260"/>
      <c r="E505" s="1261"/>
      <c r="F505" s="193"/>
      <c r="G505" s="1262"/>
      <c r="H505" s="99"/>
      <c r="I505" s="99"/>
      <c r="J505" s="926"/>
      <c r="K505" s="926"/>
      <c r="L505" s="14"/>
      <c r="M505" s="1336"/>
      <c r="N505" s="6"/>
    </row>
    <row r="506" spans="1:15" x14ac:dyDescent="0.25">
      <c r="A506" s="1252" t="s">
        <v>2481</v>
      </c>
      <c r="B506" s="64"/>
      <c r="C506" s="64"/>
      <c r="D506" s="296"/>
      <c r="E506" s="297"/>
      <c r="F506" s="100"/>
      <c r="G506" s="166"/>
      <c r="H506" s="23"/>
      <c r="I506" s="23"/>
      <c r="J506" s="147"/>
      <c r="K506" s="147"/>
      <c r="L506" s="6"/>
      <c r="M506" s="1336"/>
      <c r="N506" s="6"/>
    </row>
    <row r="507" spans="1:15" ht="15.75" thickBot="1" x14ac:dyDescent="0.3">
      <c r="A507" s="84"/>
      <c r="B507" s="64"/>
      <c r="C507" s="64"/>
      <c r="D507" s="296"/>
      <c r="E507" s="297"/>
      <c r="F507" s="100"/>
      <c r="G507" s="166"/>
      <c r="H507" s="23"/>
      <c r="I507" s="23"/>
      <c r="J507" s="147"/>
      <c r="K507" s="147"/>
      <c r="L507" s="6"/>
      <c r="M507" s="1336"/>
      <c r="N507" s="6"/>
    </row>
    <row r="508" spans="1:15" ht="66" thickTop="1" thickBot="1" x14ac:dyDescent="0.3">
      <c r="A508" s="1254" t="s">
        <v>142</v>
      </c>
      <c r="B508" s="1255" t="s">
        <v>143</v>
      </c>
      <c r="C508" s="1256" t="s">
        <v>2906</v>
      </c>
      <c r="D508" s="1256" t="s">
        <v>2907</v>
      </c>
      <c r="E508" s="1256" t="s">
        <v>2908</v>
      </c>
      <c r="F508" s="1257" t="s">
        <v>2909</v>
      </c>
      <c r="G508" s="1257" t="s">
        <v>2909</v>
      </c>
      <c r="H508" s="1257" t="s">
        <v>2910</v>
      </c>
      <c r="I508" s="1258" t="s">
        <v>1520</v>
      </c>
      <c r="J508" s="1258" t="s">
        <v>1521</v>
      </c>
      <c r="K508" s="1259" t="s">
        <v>1522</v>
      </c>
      <c r="L508" s="6"/>
      <c r="M508" s="1336"/>
      <c r="N508" s="6"/>
    </row>
    <row r="509" spans="1:15" ht="15.75" thickTop="1" x14ac:dyDescent="0.25">
      <c r="A509" s="52">
        <f>'R. Results'!A239</f>
        <v>60</v>
      </c>
      <c r="B509" s="3">
        <f>'R. Results'!B239</f>
        <v>55</v>
      </c>
      <c r="C509" s="1263">
        <f>IF(AND(A510&gt;'1. AgeData'!$I$30,'S. Setup'!I$84="remove"), 0,1)*IF(B510&gt;'1. AgeData'!$I$31,$L$70,$H$65)</f>
        <v>7000</v>
      </c>
      <c r="D509" s="1263">
        <f>IF(AND(B510&gt;'1. AgeData'!$I$31,'S. Setup'!J$84="remove"), 0,1)*IF(A510&gt;'1. AgeData'!$I$30,$L$70,$H$66)</f>
        <v>6500</v>
      </c>
      <c r="E509" s="1264">
        <f>C509+D509</f>
        <v>13500</v>
      </c>
      <c r="F509" s="1938">
        <f t="shared" ref="F509:G528" si="5">G464</f>
        <v>0</v>
      </c>
      <c r="G509" s="1939">
        <f t="shared" si="5"/>
        <v>0</v>
      </c>
      <c r="H509" s="1940">
        <f>F509+G509</f>
        <v>0</v>
      </c>
      <c r="I509" s="1253">
        <f>C509+F509+F509</f>
        <v>7000</v>
      </c>
      <c r="J509" s="1253">
        <f>D509+G509+G509</f>
        <v>6500</v>
      </c>
      <c r="K509" s="1550">
        <f>I509+J509</f>
        <v>13500</v>
      </c>
      <c r="L509" s="6"/>
      <c r="M509" s="1336"/>
      <c r="N509" s="6"/>
    </row>
    <row r="510" spans="1:15" x14ac:dyDescent="0.25">
      <c r="A510" s="52">
        <f>A509+1</f>
        <v>61</v>
      </c>
      <c r="B510" s="3">
        <f>B509+1</f>
        <v>56</v>
      </c>
      <c r="C510" s="1265">
        <f>IF(AND(A510&gt;'1. AgeData'!$I$30,'S. Setup'!J$84="remove"), 0,1)*IF(B510&gt;'1. AgeData'!$I$31,$L$70,$H$65)*(POWER((1+$H$74),(A510-$A$509)))</f>
        <v>7140</v>
      </c>
      <c r="D510" s="1253">
        <f>IF(AND(B510&gt;'1. AgeData'!$I$31,'S. Setup'!J$84="remove"), 0,1)*IF(A510&gt;'1. AgeData'!$I$30,$L$70,$H$66)*(POWER((1+$H$77),(B510-B$509)))</f>
        <v>6630</v>
      </c>
      <c r="E510" s="1266">
        <f>C510+D510</f>
        <v>13770</v>
      </c>
      <c r="F510" s="1941">
        <f t="shared" si="5"/>
        <v>0</v>
      </c>
      <c r="G510" s="1942">
        <f t="shared" si="5"/>
        <v>0</v>
      </c>
      <c r="H510" s="1552">
        <f t="shared" ref="H510:H544" si="6">F510+G510</f>
        <v>0</v>
      </c>
      <c r="I510" s="1253">
        <f t="shared" ref="I510:I544" si="7">C510+F510+F510</f>
        <v>7140</v>
      </c>
      <c r="J510" s="1253">
        <f t="shared" ref="J510:J544" si="8">D510+G510+G510</f>
        <v>6630</v>
      </c>
      <c r="K510" s="1550">
        <f t="shared" ref="K510:K544" si="9">I510+J510</f>
        <v>13770</v>
      </c>
      <c r="L510" s="6"/>
      <c r="M510" s="1336"/>
      <c r="N510" s="6"/>
    </row>
    <row r="511" spans="1:15" x14ac:dyDescent="0.25">
      <c r="A511" s="141">
        <f t="shared" ref="A511:A524" si="10">A510+1</f>
        <v>62</v>
      </c>
      <c r="B511" s="130">
        <f t="shared" ref="B511:B524" si="11">B510+1</f>
        <v>57</v>
      </c>
      <c r="C511" s="1265">
        <f>IF(AND(A511&gt;'1. AgeData'!$I$30,'S. Setup'!J$84="remove"), 0,1)*IF(B511&gt;'1. AgeData'!$I$31,$L$70,$H$65)*(POWER((1+$H$74),(A511-$A$509)))</f>
        <v>7282.8</v>
      </c>
      <c r="D511" s="1253">
        <f>IF(AND(B511&gt;'1. AgeData'!$I$31,'S. Setup'!J$84="remove"), 0,1)*IF(A511&gt;'1. AgeData'!$I$30,$L$70,$H$66)*(POWER((1+$H$77),(B511-B$509)))</f>
        <v>6762.6</v>
      </c>
      <c r="E511" s="1552">
        <f t="shared" ref="E511:E545" si="12">C511+D511</f>
        <v>14045.400000000001</v>
      </c>
      <c r="F511" s="1941">
        <f t="shared" si="5"/>
        <v>0</v>
      </c>
      <c r="G511" s="1942">
        <f t="shared" si="5"/>
        <v>0</v>
      </c>
      <c r="H511" s="1552">
        <f t="shared" si="6"/>
        <v>0</v>
      </c>
      <c r="I511" s="1253">
        <f t="shared" si="7"/>
        <v>7282.8</v>
      </c>
      <c r="J511" s="1253">
        <f t="shared" si="8"/>
        <v>6762.6</v>
      </c>
      <c r="K511" s="1553">
        <f t="shared" si="9"/>
        <v>14045.400000000001</v>
      </c>
      <c r="L511" s="6"/>
      <c r="M511" s="1336"/>
      <c r="N511" s="6"/>
    </row>
    <row r="512" spans="1:15" x14ac:dyDescent="0.25">
      <c r="A512" s="52">
        <f t="shared" si="10"/>
        <v>63</v>
      </c>
      <c r="B512" s="3">
        <f t="shared" si="11"/>
        <v>58</v>
      </c>
      <c r="C512" s="1265">
        <f>IF(AND(A512&gt;'1. AgeData'!$I$30,'S. Setup'!J$84="remove"), 0,1)*IF(B512&gt;'1. AgeData'!$I$31,$L$70,$H$65)*(POWER((1+$H$74),(A512-$A$509)))</f>
        <v>7428.4559999999992</v>
      </c>
      <c r="D512" s="1253">
        <f>IF(AND(B512&gt;'1. AgeData'!$I$31,'S. Setup'!J$84="remove"), 0,1)*IF(A512&gt;'1. AgeData'!$I$30,$L$70,$H$66)*(POWER((1+$H$77),(B512-B$509)))</f>
        <v>6897.8519999999999</v>
      </c>
      <c r="E512" s="1266">
        <f t="shared" si="12"/>
        <v>14326.307999999999</v>
      </c>
      <c r="F512" s="1941">
        <f t="shared" si="5"/>
        <v>0</v>
      </c>
      <c r="G512" s="1942">
        <f t="shared" si="5"/>
        <v>0</v>
      </c>
      <c r="H512" s="1552">
        <f t="shared" si="6"/>
        <v>0</v>
      </c>
      <c r="I512" s="1253">
        <f t="shared" si="7"/>
        <v>7428.4559999999992</v>
      </c>
      <c r="J512" s="1253">
        <f t="shared" si="8"/>
        <v>6897.8519999999999</v>
      </c>
      <c r="K512" s="1550">
        <f t="shared" si="9"/>
        <v>14326.307999999999</v>
      </c>
      <c r="L512" s="6"/>
      <c r="M512" s="1336"/>
      <c r="N512" s="6"/>
    </row>
    <row r="513" spans="1:14" x14ac:dyDescent="0.25">
      <c r="A513" s="52">
        <f t="shared" si="10"/>
        <v>64</v>
      </c>
      <c r="B513" s="3">
        <f t="shared" si="11"/>
        <v>59</v>
      </c>
      <c r="C513" s="1265">
        <f>IF(AND(A513&gt;'1. AgeData'!$I$30,'S. Setup'!J$84="remove"), 0,1)*IF(B513&gt;'1. AgeData'!$I$31,$L$70,$H$65)*(POWER((1+$H$74),(A513-$A$509)))</f>
        <v>7577.0251200000002</v>
      </c>
      <c r="D513" s="1253">
        <f>IF(AND(B513&gt;'1. AgeData'!$I$31,'S. Setup'!J$84="remove"), 0,1)*IF(A513&gt;'1. AgeData'!$I$30,$L$70,$H$66)*(POWER((1+$H$77),(B513-B$509)))</f>
        <v>7035.8090400000001</v>
      </c>
      <c r="E513" s="1266">
        <f t="shared" si="12"/>
        <v>14612.83416</v>
      </c>
      <c r="F513" s="1941">
        <f t="shared" si="5"/>
        <v>0</v>
      </c>
      <c r="G513" s="1942">
        <f t="shared" si="5"/>
        <v>0</v>
      </c>
      <c r="H513" s="1552">
        <f t="shared" si="6"/>
        <v>0</v>
      </c>
      <c r="I513" s="1253">
        <f t="shared" si="7"/>
        <v>7577.0251200000002</v>
      </c>
      <c r="J513" s="1253">
        <f t="shared" si="8"/>
        <v>7035.8090400000001</v>
      </c>
      <c r="K513" s="1550">
        <f t="shared" si="9"/>
        <v>14612.83416</v>
      </c>
      <c r="L513" s="6"/>
      <c r="M513" s="1336"/>
      <c r="N513" s="6"/>
    </row>
    <row r="514" spans="1:14" x14ac:dyDescent="0.25">
      <c r="A514" s="52">
        <f t="shared" si="10"/>
        <v>65</v>
      </c>
      <c r="B514" s="3">
        <f t="shared" si="11"/>
        <v>60</v>
      </c>
      <c r="C514" s="1265">
        <f>IF(AND(A514&gt;'1. AgeData'!$I$30,'S. Setup'!J$84="remove"), 0,1)*IF(B514&gt;'1. AgeData'!$I$31,$L$70,$H$65)*(POWER((1+$H$74),(A514-$A$509)))</f>
        <v>7728.5656224000004</v>
      </c>
      <c r="D514" s="1253">
        <f>IF(AND(B514&gt;'1. AgeData'!$I$31,'S. Setup'!J$84="remove"), 0,1)*IF(A514&gt;'1. AgeData'!$I$30,$L$70,$H$66)*(POWER((1+$H$77),(B514-B$509)))</f>
        <v>7176.5252208000002</v>
      </c>
      <c r="E514" s="1266">
        <f t="shared" si="12"/>
        <v>14905.0908432</v>
      </c>
      <c r="F514" s="1941">
        <f t="shared" si="5"/>
        <v>0</v>
      </c>
      <c r="G514" s="1942">
        <f t="shared" si="5"/>
        <v>0</v>
      </c>
      <c r="H514" s="1552">
        <f t="shared" si="6"/>
        <v>0</v>
      </c>
      <c r="I514" s="1253">
        <f t="shared" si="7"/>
        <v>7728.5656224000004</v>
      </c>
      <c r="J514" s="1253">
        <f t="shared" si="8"/>
        <v>7176.5252208000002</v>
      </c>
      <c r="K514" s="1550">
        <f t="shared" si="9"/>
        <v>14905.0908432</v>
      </c>
      <c r="L514" s="6"/>
      <c r="M514" s="1336"/>
      <c r="N514" s="6"/>
    </row>
    <row r="515" spans="1:14" x14ac:dyDescent="0.25">
      <c r="A515" s="52">
        <f t="shared" si="10"/>
        <v>66</v>
      </c>
      <c r="B515" s="3">
        <f t="shared" si="11"/>
        <v>61</v>
      </c>
      <c r="C515" s="1265">
        <f>IF(AND(A515&gt;'1. AgeData'!$I$30,'S. Setup'!J$84="remove"), 0,1)*IF(B515&gt;'1. AgeData'!$I$31,$L$70,$H$65)*(POWER((1+$H$74),(A515-$A$509)))</f>
        <v>7883.1369348480002</v>
      </c>
      <c r="D515" s="1253">
        <f>IF(AND(B515&gt;'1. AgeData'!$I$31,'S. Setup'!J$84="remove"), 0,1)*IF(A515&gt;'1. AgeData'!$I$30,$L$70,$H$66)*(POWER((1+$H$77),(B515-B$509)))</f>
        <v>7320.0557252160006</v>
      </c>
      <c r="E515" s="1266">
        <f t="shared" si="12"/>
        <v>15203.192660064</v>
      </c>
      <c r="F515" s="1941">
        <f t="shared" si="5"/>
        <v>0</v>
      </c>
      <c r="G515" s="1942">
        <f t="shared" si="5"/>
        <v>0</v>
      </c>
      <c r="H515" s="1552">
        <f t="shared" si="6"/>
        <v>0</v>
      </c>
      <c r="I515" s="1253">
        <f t="shared" si="7"/>
        <v>7883.1369348480002</v>
      </c>
      <c r="J515" s="1253">
        <f t="shared" si="8"/>
        <v>7320.0557252160006</v>
      </c>
      <c r="K515" s="1550">
        <f t="shared" si="9"/>
        <v>15203.192660064</v>
      </c>
      <c r="L515" s="6"/>
      <c r="M515" s="1336"/>
      <c r="N515" s="6"/>
    </row>
    <row r="516" spans="1:14" x14ac:dyDescent="0.25">
      <c r="A516" s="52">
        <f t="shared" si="10"/>
        <v>67</v>
      </c>
      <c r="B516" s="3">
        <f t="shared" si="11"/>
        <v>62</v>
      </c>
      <c r="C516" s="1265">
        <f>IF(AND(A516&gt;'1. AgeData'!$I$30,'S. Setup'!J$84="remove"), 0,1)*IF(B516&gt;'1. AgeData'!$I$31,$L$70,$H$65)*(POWER((1+$H$74),(A516-$A$509)))</f>
        <v>8040.7996735449588</v>
      </c>
      <c r="D516" s="1253">
        <f>IF(AND(B516&gt;'1. AgeData'!$I$31,'S. Setup'!J$84="remove"), 0,1)*IF(A516&gt;'1. AgeData'!$I$30,$L$70,$H$66)*(POWER((1+$H$77),(B516-B$509)))</f>
        <v>7466.4568397203184</v>
      </c>
      <c r="E516" s="1266">
        <f t="shared" si="12"/>
        <v>15507.256513265278</v>
      </c>
      <c r="F516" s="1941">
        <f t="shared" si="5"/>
        <v>0</v>
      </c>
      <c r="G516" s="1942">
        <f t="shared" si="5"/>
        <v>0</v>
      </c>
      <c r="H516" s="1552">
        <f t="shared" si="6"/>
        <v>0</v>
      </c>
      <c r="I516" s="1253">
        <f t="shared" si="7"/>
        <v>8040.7996735449588</v>
      </c>
      <c r="J516" s="1253">
        <f t="shared" si="8"/>
        <v>7466.4568397203184</v>
      </c>
      <c r="K516" s="1550">
        <f t="shared" si="9"/>
        <v>15507.256513265278</v>
      </c>
      <c r="L516" s="6"/>
      <c r="M516" s="1336"/>
      <c r="N516" s="6"/>
    </row>
    <row r="517" spans="1:14" x14ac:dyDescent="0.25">
      <c r="A517" s="52">
        <f t="shared" si="10"/>
        <v>68</v>
      </c>
      <c r="B517" s="3">
        <f t="shared" si="11"/>
        <v>63</v>
      </c>
      <c r="C517" s="1265">
        <f>IF(AND(A517&gt;'1. AgeData'!$I$30,'S. Setup'!J$84="remove"), 0,1)*IF(B517&gt;'1. AgeData'!$I$31,$L$70,$H$65)*(POWER((1+$H$74),(A517-$A$509)))</f>
        <v>8201.615667015858</v>
      </c>
      <c r="D517" s="1253">
        <f>IF(AND(B517&gt;'1. AgeData'!$I$31,'S. Setup'!J$84="remove"), 0,1)*IF(A517&gt;'1. AgeData'!$I$30,$L$70,$H$66)*(POWER((1+$H$77),(B517-B$509)))</f>
        <v>7615.7859765147259</v>
      </c>
      <c r="E517" s="1266">
        <f t="shared" si="12"/>
        <v>15817.401643530584</v>
      </c>
      <c r="F517" s="1941">
        <f t="shared" si="5"/>
        <v>0</v>
      </c>
      <c r="G517" s="1942">
        <f t="shared" si="5"/>
        <v>0</v>
      </c>
      <c r="H517" s="1552">
        <f t="shared" si="6"/>
        <v>0</v>
      </c>
      <c r="I517" s="1253">
        <f t="shared" si="7"/>
        <v>8201.615667015858</v>
      </c>
      <c r="J517" s="1253">
        <f t="shared" si="8"/>
        <v>7615.7859765147259</v>
      </c>
      <c r="K517" s="1550">
        <f t="shared" si="9"/>
        <v>15817.401643530584</v>
      </c>
      <c r="L517" s="6"/>
      <c r="M517" s="1336"/>
      <c r="N517" s="6"/>
    </row>
    <row r="518" spans="1:14" x14ac:dyDescent="0.25">
      <c r="A518" s="52">
        <f t="shared" si="10"/>
        <v>69</v>
      </c>
      <c r="B518" s="3">
        <f t="shared" si="11"/>
        <v>64</v>
      </c>
      <c r="C518" s="1265">
        <f>IF(AND(A518&gt;'1. AgeData'!$I$30,'S. Setup'!J$84="remove"), 0,1)*IF(B518&gt;'1. AgeData'!$I$31,$L$70,$H$65)*(POWER((1+$H$74),(A518-$A$509)))</f>
        <v>8365.647980356176</v>
      </c>
      <c r="D518" s="1253">
        <f>IF(AND(B518&gt;'1. AgeData'!$I$31,'S. Setup'!J$84="remove"), 0,1)*IF(A518&gt;'1. AgeData'!$I$30,$L$70,$H$66)*(POWER((1+$H$77),(B518-B$509)))</f>
        <v>7768.1016960450206</v>
      </c>
      <c r="E518" s="1266">
        <f t="shared" si="12"/>
        <v>16133.749676401196</v>
      </c>
      <c r="F518" s="1941">
        <f t="shared" si="5"/>
        <v>0</v>
      </c>
      <c r="G518" s="1942">
        <f t="shared" si="5"/>
        <v>0</v>
      </c>
      <c r="H518" s="1552">
        <f t="shared" si="6"/>
        <v>0</v>
      </c>
      <c r="I518" s="1253">
        <f t="shared" si="7"/>
        <v>8365.647980356176</v>
      </c>
      <c r="J518" s="1253">
        <f t="shared" si="8"/>
        <v>7768.1016960450206</v>
      </c>
      <c r="K518" s="1550">
        <f t="shared" si="9"/>
        <v>16133.749676401196</v>
      </c>
      <c r="L518" s="6"/>
      <c r="M518" s="1336"/>
      <c r="N518" s="6"/>
    </row>
    <row r="519" spans="1:14" x14ac:dyDescent="0.25">
      <c r="A519" s="52">
        <f t="shared" si="10"/>
        <v>70</v>
      </c>
      <c r="B519" s="3">
        <f t="shared" si="11"/>
        <v>65</v>
      </c>
      <c r="C519" s="1265">
        <f>IF(AND(A519&gt;'1. AgeData'!$I$30,'S. Setup'!J$84="remove"), 0,1)*IF(B519&gt;'1. AgeData'!$I$31,$L$70,$H$65)*(POWER((1+$H$74),(A519-$A$509)))</f>
        <v>8532.9609399632991</v>
      </c>
      <c r="D519" s="1253">
        <f>IF(AND(B519&gt;'1. AgeData'!$I$31,'S. Setup'!J$84="remove"), 0,1)*IF(A519&gt;'1. AgeData'!$I$30,$L$70,$H$66)*(POWER((1+$H$77),(B519-B$509)))</f>
        <v>7923.4637299659216</v>
      </c>
      <c r="E519" s="1266">
        <f t="shared" si="12"/>
        <v>16456.42466992922</v>
      </c>
      <c r="F519" s="1941">
        <f t="shared" si="5"/>
        <v>0</v>
      </c>
      <c r="G519" s="1942">
        <f t="shared" si="5"/>
        <v>0</v>
      </c>
      <c r="H519" s="1552">
        <f t="shared" si="6"/>
        <v>0</v>
      </c>
      <c r="I519" s="1253">
        <f t="shared" si="7"/>
        <v>8532.9609399632991</v>
      </c>
      <c r="J519" s="1253">
        <f t="shared" si="8"/>
        <v>7923.4637299659216</v>
      </c>
      <c r="K519" s="1550">
        <f t="shared" si="9"/>
        <v>16456.42466992922</v>
      </c>
      <c r="L519" s="6"/>
      <c r="M519" s="1336"/>
      <c r="N519" s="6"/>
    </row>
    <row r="520" spans="1:14" x14ac:dyDescent="0.25">
      <c r="A520" s="52">
        <f t="shared" si="10"/>
        <v>71</v>
      </c>
      <c r="B520" s="3">
        <f t="shared" si="11"/>
        <v>66</v>
      </c>
      <c r="C520" s="1265">
        <f>IF(AND(A520&gt;'1. AgeData'!$I$30,'S. Setup'!J$84="remove"), 0,1)*IF(B520&gt;'1. AgeData'!$I$31,$L$70,$H$65)*(POWER((1+$H$74),(A520-$A$509)))</f>
        <v>8703.6201587625637</v>
      </c>
      <c r="D520" s="1253">
        <f>IF(AND(B520&gt;'1. AgeData'!$I$31,'S. Setup'!J$84="remove"), 0,1)*IF(A520&gt;'1. AgeData'!$I$30,$L$70,$H$66)*(POWER((1+$H$77),(B520-B$509)))</f>
        <v>8081.9330045652378</v>
      </c>
      <c r="E520" s="1266">
        <f t="shared" si="12"/>
        <v>16785.553163327801</v>
      </c>
      <c r="F520" s="1941">
        <f t="shared" si="5"/>
        <v>0</v>
      </c>
      <c r="G520" s="1942">
        <f t="shared" si="5"/>
        <v>0</v>
      </c>
      <c r="H520" s="1552">
        <f t="shared" si="6"/>
        <v>0</v>
      </c>
      <c r="I520" s="1253">
        <f t="shared" si="7"/>
        <v>8703.6201587625637</v>
      </c>
      <c r="J520" s="1253">
        <f t="shared" si="8"/>
        <v>8081.9330045652378</v>
      </c>
      <c r="K520" s="1550">
        <f t="shared" si="9"/>
        <v>16785.553163327801</v>
      </c>
      <c r="L520" s="6"/>
      <c r="M520" s="1336"/>
      <c r="N520" s="6"/>
    </row>
    <row r="521" spans="1:14" x14ac:dyDescent="0.25">
      <c r="A521" s="52">
        <f t="shared" si="10"/>
        <v>72</v>
      </c>
      <c r="B521" s="3">
        <f t="shared" si="11"/>
        <v>67</v>
      </c>
      <c r="C521" s="1265">
        <f>IF(AND(A521&gt;'1. AgeData'!$I$30,'S. Setup'!J$84="remove"), 0,1)*IF(B521&gt;'1. AgeData'!$I$31,$L$70,$H$65)*(POWER((1+$H$74),(A521-$A$509)))</f>
        <v>8877.6925619378162</v>
      </c>
      <c r="D521" s="1253">
        <f>IF(AND(B521&gt;'1. AgeData'!$I$31,'S. Setup'!J$84="remove"), 0,1)*IF(A521&gt;'1. AgeData'!$I$30,$L$70,$H$66)*(POWER((1+$H$77),(B521-B$509)))</f>
        <v>8243.5716646565434</v>
      </c>
      <c r="E521" s="1266">
        <f t="shared" si="12"/>
        <v>17121.264226594358</v>
      </c>
      <c r="F521" s="1941">
        <f t="shared" si="5"/>
        <v>0</v>
      </c>
      <c r="G521" s="1942">
        <f t="shared" si="5"/>
        <v>0</v>
      </c>
      <c r="H521" s="1552">
        <f t="shared" si="6"/>
        <v>0</v>
      </c>
      <c r="I521" s="1253">
        <f t="shared" si="7"/>
        <v>8877.6925619378162</v>
      </c>
      <c r="J521" s="1253">
        <f t="shared" si="8"/>
        <v>8243.5716646565434</v>
      </c>
      <c r="K521" s="1550">
        <f t="shared" si="9"/>
        <v>17121.264226594358</v>
      </c>
      <c r="L521" s="6"/>
      <c r="M521" s="1336"/>
      <c r="N521" s="6"/>
    </row>
    <row r="522" spans="1:14" x14ac:dyDescent="0.25">
      <c r="A522" s="52">
        <f t="shared" si="10"/>
        <v>73</v>
      </c>
      <c r="B522" s="3">
        <f t="shared" si="11"/>
        <v>68</v>
      </c>
      <c r="C522" s="1265">
        <f>IF(AND(A522&gt;'1. AgeData'!$I$30,'S. Setup'!J$84="remove"), 0,1)*IF(B522&gt;'1. AgeData'!$I$31,$L$70,$H$65)*(POWER((1+$H$74),(A522-$A$509)))</f>
        <v>9055.2464131765719</v>
      </c>
      <c r="D522" s="1253">
        <f>IF(AND(B522&gt;'1. AgeData'!$I$31,'S. Setup'!J$84="remove"), 0,1)*IF(A522&gt;'1. AgeData'!$I$30,$L$70,$H$66)*(POWER((1+$H$77),(B522-B$509)))</f>
        <v>8408.4430979496738</v>
      </c>
      <c r="E522" s="1266">
        <f t="shared" si="12"/>
        <v>17463.689511126246</v>
      </c>
      <c r="F522" s="1941">
        <f t="shared" si="5"/>
        <v>0</v>
      </c>
      <c r="G522" s="1942">
        <f t="shared" si="5"/>
        <v>0</v>
      </c>
      <c r="H522" s="1552">
        <f t="shared" si="6"/>
        <v>0</v>
      </c>
      <c r="I522" s="1253">
        <f t="shared" si="7"/>
        <v>9055.2464131765719</v>
      </c>
      <c r="J522" s="1253">
        <f t="shared" si="8"/>
        <v>8408.4430979496738</v>
      </c>
      <c r="K522" s="1550">
        <f t="shared" si="9"/>
        <v>17463.689511126246</v>
      </c>
      <c r="L522" s="6"/>
      <c r="M522" s="1336"/>
      <c r="N522" s="6"/>
    </row>
    <row r="523" spans="1:14" x14ac:dyDescent="0.25">
      <c r="A523" s="52">
        <f t="shared" si="10"/>
        <v>74</v>
      </c>
      <c r="B523" s="3">
        <f t="shared" si="11"/>
        <v>69</v>
      </c>
      <c r="C523" s="1265">
        <f>IF(AND(A523&gt;'1. AgeData'!$I$30,'S. Setup'!J$84="remove"), 0,1)*IF(B523&gt;'1. AgeData'!$I$31,$L$70,$H$65)*(POWER((1+$H$74),(A523-$A$509)))</f>
        <v>9236.3513414401059</v>
      </c>
      <c r="D523" s="1253">
        <f>IF(AND(B523&gt;'1. AgeData'!$I$31,'S. Setup'!J$84="remove"), 0,1)*IF(A523&gt;'1. AgeData'!$I$30,$L$70,$H$66)*(POWER((1+$H$77),(B523-B$509)))</f>
        <v>8576.6119599086687</v>
      </c>
      <c r="E523" s="1266">
        <f t="shared" si="12"/>
        <v>17812.963301348776</v>
      </c>
      <c r="F523" s="1941">
        <f t="shared" si="5"/>
        <v>0</v>
      </c>
      <c r="G523" s="1942">
        <f t="shared" si="5"/>
        <v>0</v>
      </c>
      <c r="H523" s="1552">
        <f t="shared" si="6"/>
        <v>0</v>
      </c>
      <c r="I523" s="1253">
        <f t="shared" si="7"/>
        <v>9236.3513414401059</v>
      </c>
      <c r="J523" s="1253">
        <f t="shared" si="8"/>
        <v>8576.6119599086687</v>
      </c>
      <c r="K523" s="1550">
        <f t="shared" si="9"/>
        <v>17812.963301348776</v>
      </c>
      <c r="L523" s="6"/>
      <c r="M523" s="1336"/>
      <c r="N523" s="6"/>
    </row>
    <row r="524" spans="1:14" x14ac:dyDescent="0.25">
      <c r="A524" s="52">
        <f t="shared" si="10"/>
        <v>75</v>
      </c>
      <c r="B524" s="3">
        <f t="shared" si="11"/>
        <v>70</v>
      </c>
      <c r="C524" s="1265">
        <f>IF(AND(A524&gt;'1. AgeData'!$I$30,'S. Setup'!J$84="remove"), 0,1)*IF(B524&gt;'1. AgeData'!$I$31,$L$70,$H$65)*(POWER((1+$H$74),(A524-$A$509)))</f>
        <v>9421.0783682689053</v>
      </c>
      <c r="D524" s="1253">
        <f>IF(AND(B524&gt;'1. AgeData'!$I$31,'S. Setup'!J$84="remove"), 0,1)*IF(A524&gt;'1. AgeData'!$I$30,$L$70,$H$66)*(POWER((1+$H$77),(B524-B$509)))</f>
        <v>8748.1441991068405</v>
      </c>
      <c r="E524" s="1266">
        <f t="shared" si="12"/>
        <v>18169.222567375746</v>
      </c>
      <c r="F524" s="1941">
        <f t="shared" si="5"/>
        <v>0</v>
      </c>
      <c r="G524" s="1942">
        <f t="shared" si="5"/>
        <v>0</v>
      </c>
      <c r="H524" s="1552">
        <f t="shared" si="6"/>
        <v>0</v>
      </c>
      <c r="I524" s="1253">
        <f t="shared" si="7"/>
        <v>9421.0783682689053</v>
      </c>
      <c r="J524" s="1253">
        <f t="shared" si="8"/>
        <v>8748.1441991068405</v>
      </c>
      <c r="K524" s="1550">
        <f t="shared" si="9"/>
        <v>18169.222567375746</v>
      </c>
      <c r="L524" s="6"/>
      <c r="M524" s="1336"/>
      <c r="N524" s="6"/>
    </row>
    <row r="525" spans="1:14" x14ac:dyDescent="0.25">
      <c r="A525" s="52">
        <f t="shared" ref="A525:A541" si="13">A524+1</f>
        <v>76</v>
      </c>
      <c r="B525" s="3">
        <f t="shared" ref="B525:B541" si="14">B524+1</f>
        <v>71</v>
      </c>
      <c r="C525" s="1265">
        <f>IF(AND(A525&gt;'1. AgeData'!$I$30,'S. Setup'!J$84="remove"), 0,1)*IF(B525&gt;'1. AgeData'!$I$31,$L$70,$H$65)*(POWER((1+$H$74),(A525-$A$509)))</f>
        <v>9609.4999356342851</v>
      </c>
      <c r="D525" s="1253">
        <f>IF(AND(B525&gt;'1. AgeData'!$I$31,'S. Setup'!J$84="remove"), 0,1)*IF(A525&gt;'1. AgeData'!$I$30,$L$70,$H$66)*(POWER((1+$H$77),(B525-B$509)))</f>
        <v>8923.1070830889785</v>
      </c>
      <c r="E525" s="1266">
        <f t="shared" si="12"/>
        <v>18532.607018723262</v>
      </c>
      <c r="F525" s="1941">
        <f t="shared" si="5"/>
        <v>0</v>
      </c>
      <c r="G525" s="1942">
        <f t="shared" si="5"/>
        <v>0</v>
      </c>
      <c r="H525" s="1552">
        <f t="shared" si="6"/>
        <v>0</v>
      </c>
      <c r="I525" s="1253">
        <f t="shared" si="7"/>
        <v>9609.4999356342851</v>
      </c>
      <c r="J525" s="1253">
        <f t="shared" si="8"/>
        <v>8923.1070830889785</v>
      </c>
      <c r="K525" s="1550">
        <f t="shared" si="9"/>
        <v>18532.607018723262</v>
      </c>
      <c r="L525" s="6"/>
      <c r="M525" s="1336"/>
      <c r="N525" s="6"/>
    </row>
    <row r="526" spans="1:14" x14ac:dyDescent="0.25">
      <c r="A526" s="52">
        <f t="shared" si="13"/>
        <v>77</v>
      </c>
      <c r="B526" s="3">
        <f t="shared" si="14"/>
        <v>72</v>
      </c>
      <c r="C526" s="1265">
        <f>IF(AND(A526&gt;'1. AgeData'!$I$30,'S. Setup'!J$84="remove"), 0,1)*IF(B526&gt;'1. AgeData'!$I$31,$L$70,$H$65)*(POWER((1+$H$74),(A526-$A$509)))</f>
        <v>9801.6899343469704</v>
      </c>
      <c r="D526" s="1253">
        <f>IF(AND(B526&gt;'1. AgeData'!$I$31,'S. Setup'!J$84="remove"), 0,1)*IF(A526&gt;'1. AgeData'!$I$30,$L$70,$H$66)*(POWER((1+$H$77),(B526-B$509)))</f>
        <v>9101.5692247507577</v>
      </c>
      <c r="E526" s="1266">
        <f t="shared" si="12"/>
        <v>18903.259159097728</v>
      </c>
      <c r="F526" s="1941">
        <f t="shared" si="5"/>
        <v>0</v>
      </c>
      <c r="G526" s="1942">
        <f t="shared" si="5"/>
        <v>0</v>
      </c>
      <c r="H526" s="1552">
        <f t="shared" si="6"/>
        <v>0</v>
      </c>
      <c r="I526" s="1253">
        <f t="shared" si="7"/>
        <v>9801.6899343469704</v>
      </c>
      <c r="J526" s="1253">
        <f t="shared" si="8"/>
        <v>9101.5692247507577</v>
      </c>
      <c r="K526" s="1550">
        <f t="shared" si="9"/>
        <v>18903.259159097728</v>
      </c>
      <c r="L526" s="6"/>
      <c r="M526" s="1336"/>
      <c r="N526" s="6"/>
    </row>
    <row r="527" spans="1:14" x14ac:dyDescent="0.25">
      <c r="A527" s="52">
        <f t="shared" si="13"/>
        <v>78</v>
      </c>
      <c r="B527" s="3">
        <f t="shared" si="14"/>
        <v>73</v>
      </c>
      <c r="C527" s="1265">
        <f>IF(AND(A527&gt;'1. AgeData'!$I$30,'S. Setup'!J$84="remove"), 0,1)*IF(B527&gt;'1. AgeData'!$I$31,$L$70,$H$65)*(POWER((1+$H$74),(A527-$A$509)))</f>
        <v>9997.7237330339085</v>
      </c>
      <c r="D527" s="1253">
        <f>IF(AND(B527&gt;'1. AgeData'!$I$31,'S. Setup'!J$84="remove"), 0,1)*IF(A527&gt;'1. AgeData'!$I$30,$L$70,$H$66)*(POWER((1+$H$77),(B527-B$509)))</f>
        <v>9283.6006092457719</v>
      </c>
      <c r="E527" s="1266">
        <f t="shared" si="12"/>
        <v>19281.32434227968</v>
      </c>
      <c r="F527" s="1941">
        <f t="shared" si="5"/>
        <v>0</v>
      </c>
      <c r="G527" s="1942">
        <f t="shared" si="5"/>
        <v>0</v>
      </c>
      <c r="H527" s="1552">
        <f t="shared" si="6"/>
        <v>0</v>
      </c>
      <c r="I527" s="1253">
        <f t="shared" si="7"/>
        <v>9997.7237330339085</v>
      </c>
      <c r="J527" s="1253">
        <f t="shared" si="8"/>
        <v>9283.6006092457719</v>
      </c>
      <c r="K527" s="1550">
        <f t="shared" si="9"/>
        <v>19281.32434227968</v>
      </c>
      <c r="L527" s="6"/>
      <c r="M527" s="1336"/>
      <c r="N527" s="6"/>
    </row>
    <row r="528" spans="1:14" x14ac:dyDescent="0.25">
      <c r="A528" s="52">
        <f t="shared" si="13"/>
        <v>79</v>
      </c>
      <c r="B528" s="3">
        <f t="shared" si="14"/>
        <v>74</v>
      </c>
      <c r="C528" s="1265">
        <f>IF(AND(A528&gt;'1. AgeData'!$I$30,'S. Setup'!J$84="remove"), 0,1)*IF(B528&gt;'1. AgeData'!$I$31,$L$70,$H$65)*(POWER((1+$H$74),(A528-$A$509)))</f>
        <v>10197.678207694587</v>
      </c>
      <c r="D528" s="1253">
        <f>IF(AND(B528&gt;'1. AgeData'!$I$31,'S. Setup'!J$84="remove"), 0,1)*IF(A528&gt;'1. AgeData'!$I$30,$L$70,$H$66)*(POWER((1+$H$77),(B528-B$509)))</f>
        <v>9469.2726214306876</v>
      </c>
      <c r="E528" s="1266">
        <f t="shared" si="12"/>
        <v>19666.950829125275</v>
      </c>
      <c r="F528" s="1941">
        <f t="shared" si="5"/>
        <v>0</v>
      </c>
      <c r="G528" s="1942">
        <f t="shared" si="5"/>
        <v>0</v>
      </c>
      <c r="H528" s="1552">
        <f t="shared" si="6"/>
        <v>0</v>
      </c>
      <c r="I528" s="1253">
        <f t="shared" si="7"/>
        <v>10197.678207694587</v>
      </c>
      <c r="J528" s="1253">
        <f t="shared" si="8"/>
        <v>9469.2726214306876</v>
      </c>
      <c r="K528" s="1550">
        <f t="shared" si="9"/>
        <v>19666.950829125275</v>
      </c>
      <c r="L528" s="6"/>
      <c r="M528" s="1336"/>
      <c r="N528" s="6"/>
    </row>
    <row r="529" spans="1:15" x14ac:dyDescent="0.25">
      <c r="A529" s="52">
        <f t="shared" si="13"/>
        <v>80</v>
      </c>
      <c r="B529" s="3">
        <f t="shared" si="14"/>
        <v>75</v>
      </c>
      <c r="C529" s="1265">
        <f>IF(AND(A529&gt;'1. AgeData'!$I$30,'S. Setup'!J$84="remove"), 0,1)*IF(B529&gt;'1. AgeData'!$I$31,$L$70,$H$65)*(POWER((1+$H$74),(A529-$A$509)))</f>
        <v>10401.631771848479</v>
      </c>
      <c r="D529" s="1253">
        <f>IF(AND(B529&gt;'1. AgeData'!$I$31,'S. Setup'!J$84="remove"), 0,1)*IF(A529&gt;'1. AgeData'!$I$30,$L$70,$H$66)*(POWER((1+$H$77),(B529-B$509)))</f>
        <v>9658.658073859302</v>
      </c>
      <c r="E529" s="1266">
        <f t="shared" si="12"/>
        <v>20060.289845707783</v>
      </c>
      <c r="F529" s="1941">
        <f t="shared" ref="F529:G545" si="15">G484</f>
        <v>0</v>
      </c>
      <c r="G529" s="1942">
        <f t="shared" si="15"/>
        <v>0</v>
      </c>
      <c r="H529" s="1552">
        <f t="shared" si="6"/>
        <v>0</v>
      </c>
      <c r="I529" s="1253">
        <f t="shared" si="7"/>
        <v>10401.631771848479</v>
      </c>
      <c r="J529" s="1253">
        <f t="shared" si="8"/>
        <v>9658.658073859302</v>
      </c>
      <c r="K529" s="1550">
        <f t="shared" si="9"/>
        <v>20060.289845707783</v>
      </c>
      <c r="L529" s="6"/>
      <c r="M529" s="1336"/>
      <c r="N529" s="6"/>
    </row>
    <row r="530" spans="1:15" x14ac:dyDescent="0.25">
      <c r="A530" s="52">
        <f t="shared" si="13"/>
        <v>81</v>
      </c>
      <c r="B530" s="3">
        <f t="shared" si="14"/>
        <v>76</v>
      </c>
      <c r="C530" s="1265">
        <f>IF(AND(A530&gt;'1. AgeData'!$I$30,'S. Setup'!J$84="remove"), 0,1)*IF(B530&gt;'1. AgeData'!$I$31,$L$70,$H$65)*(POWER((1+$H$74),(A530-$A$509)))</f>
        <v>10609.664407285449</v>
      </c>
      <c r="D530" s="1253">
        <f>IF(AND(B530&gt;'1. AgeData'!$I$31,'S. Setup'!J$84="remove"), 0,1)*IF(A530&gt;'1. AgeData'!$I$30,$L$70,$H$66)*(POWER((1+$H$77),(B530-B$509)))</f>
        <v>9851.8312353364872</v>
      </c>
      <c r="E530" s="1266">
        <f t="shared" si="12"/>
        <v>20461.495642621936</v>
      </c>
      <c r="F530" s="1941">
        <f t="shared" si="15"/>
        <v>0</v>
      </c>
      <c r="G530" s="1942">
        <f t="shared" si="15"/>
        <v>0</v>
      </c>
      <c r="H530" s="1552">
        <f t="shared" si="6"/>
        <v>0</v>
      </c>
      <c r="I530" s="1253">
        <f t="shared" si="7"/>
        <v>10609.664407285449</v>
      </c>
      <c r="J530" s="1253">
        <f t="shared" si="8"/>
        <v>9851.8312353364872</v>
      </c>
      <c r="K530" s="1550">
        <f t="shared" si="9"/>
        <v>20461.495642621936</v>
      </c>
      <c r="L530" s="6"/>
      <c r="M530" s="1336"/>
      <c r="N530" s="6"/>
    </row>
    <row r="531" spans="1:15" x14ac:dyDescent="0.25">
      <c r="A531" s="52">
        <f t="shared" si="13"/>
        <v>82</v>
      </c>
      <c r="B531" s="3">
        <f t="shared" si="14"/>
        <v>77</v>
      </c>
      <c r="C531" s="1265">
        <f>IF(AND(A531&gt;'1. AgeData'!$I$30,'S. Setup'!J$84="remove"), 0,1)*IF(B531&gt;'1. AgeData'!$I$31,$L$70,$H$65)*(POWER((1+$H$74),(A531-$A$509)))</f>
        <v>10821.857695431157</v>
      </c>
      <c r="D531" s="1253">
        <f>IF(AND(B531&gt;'1. AgeData'!$I$31,'S. Setup'!J$84="remove"), 0,1)*IF(A531&gt;'1. AgeData'!$I$30,$L$70,$H$66)*(POWER((1+$H$77),(B531-B$509)))</f>
        <v>10048.867860043218</v>
      </c>
      <c r="E531" s="1266">
        <f t="shared" si="12"/>
        <v>20870.725555474375</v>
      </c>
      <c r="F531" s="1941">
        <f t="shared" si="15"/>
        <v>0</v>
      </c>
      <c r="G531" s="1942">
        <f t="shared" si="15"/>
        <v>0</v>
      </c>
      <c r="H531" s="1552">
        <f t="shared" si="6"/>
        <v>0</v>
      </c>
      <c r="I531" s="1253">
        <f t="shared" si="7"/>
        <v>10821.857695431157</v>
      </c>
      <c r="J531" s="1253">
        <f t="shared" si="8"/>
        <v>10048.867860043218</v>
      </c>
      <c r="K531" s="1550">
        <f t="shared" si="9"/>
        <v>20870.725555474375</v>
      </c>
      <c r="L531" s="6"/>
      <c r="M531" s="1336"/>
      <c r="N531" s="6"/>
    </row>
    <row r="532" spans="1:15" x14ac:dyDescent="0.25">
      <c r="A532" s="52">
        <f t="shared" si="13"/>
        <v>83</v>
      </c>
      <c r="B532" s="3">
        <f t="shared" si="14"/>
        <v>78</v>
      </c>
      <c r="C532" s="1265">
        <f>IF(AND(A532&gt;'1. AgeData'!$I$30,'S. Setup'!J$84="remove"), 0,1)*IF(B532&gt;'1. AgeData'!$I$31,$L$70,$H$65)*(POWER((1+$H$74),(A532-$A$509)))</f>
        <v>11038.29484933978</v>
      </c>
      <c r="D532" s="1253">
        <f>IF(AND(B532&gt;'1. AgeData'!$I$31,'S. Setup'!J$84="remove"), 0,1)*IF(A532&gt;'1. AgeData'!$I$30,$L$70,$H$66)*(POWER((1+$H$77),(B532-B$509)))</f>
        <v>10249.845217244081</v>
      </c>
      <c r="E532" s="1266">
        <f t="shared" si="12"/>
        <v>21288.140066583859</v>
      </c>
      <c r="F532" s="1941">
        <f t="shared" si="15"/>
        <v>0</v>
      </c>
      <c r="G532" s="1942">
        <f t="shared" si="15"/>
        <v>0</v>
      </c>
      <c r="H532" s="1552">
        <f t="shared" si="6"/>
        <v>0</v>
      </c>
      <c r="I532" s="1253">
        <f t="shared" si="7"/>
        <v>11038.29484933978</v>
      </c>
      <c r="J532" s="1253">
        <f t="shared" si="8"/>
        <v>10249.845217244081</v>
      </c>
      <c r="K532" s="1550">
        <f t="shared" si="9"/>
        <v>21288.140066583859</v>
      </c>
      <c r="L532" s="6"/>
      <c r="M532" s="1336"/>
      <c r="N532" s="6"/>
    </row>
    <row r="533" spans="1:15" x14ac:dyDescent="0.25">
      <c r="A533" s="52">
        <f t="shared" si="13"/>
        <v>84</v>
      </c>
      <c r="B533" s="3">
        <f t="shared" si="14"/>
        <v>79</v>
      </c>
      <c r="C533" s="1265">
        <f>IF(AND(A533&gt;'1. AgeData'!$I$30,'S. Setup'!J$84="remove"), 0,1)*IF(B533&gt;'1. AgeData'!$I$31,$L$70,$H$65)*(POWER((1+$H$74),(A533-$A$509)))</f>
        <v>11259.060746326575</v>
      </c>
      <c r="D533" s="1253">
        <f>IF(AND(B533&gt;'1. AgeData'!$I$31,'S. Setup'!J$84="remove"), 0,1)*IF(A533&gt;'1. AgeData'!$I$30,$L$70,$H$66)*(POWER((1+$H$77),(B533-B$509)))</f>
        <v>10454.842121588963</v>
      </c>
      <c r="E533" s="1266">
        <f t="shared" si="12"/>
        <v>21713.902867915538</v>
      </c>
      <c r="F533" s="1941">
        <f t="shared" si="15"/>
        <v>0</v>
      </c>
      <c r="G533" s="1942">
        <f t="shared" si="15"/>
        <v>0</v>
      </c>
      <c r="H533" s="1552">
        <f t="shared" si="6"/>
        <v>0</v>
      </c>
      <c r="I533" s="1253">
        <f t="shared" si="7"/>
        <v>11259.060746326575</v>
      </c>
      <c r="J533" s="1253">
        <f t="shared" si="8"/>
        <v>10454.842121588963</v>
      </c>
      <c r="K533" s="1550">
        <f t="shared" si="9"/>
        <v>21713.902867915538</v>
      </c>
      <c r="L533" s="6"/>
      <c r="M533" s="1336"/>
      <c r="N533" s="6"/>
    </row>
    <row r="534" spans="1:15" x14ac:dyDescent="0.25">
      <c r="A534" s="141">
        <f t="shared" si="13"/>
        <v>85</v>
      </c>
      <c r="B534" s="130">
        <f t="shared" si="14"/>
        <v>80</v>
      </c>
      <c r="C534" s="1265">
        <f>IF(AND(A534&gt;'1. AgeData'!$I$30,'S. Setup'!J$84="remove"), 0,1)*IF(B534&gt;'1. AgeData'!$I$31,$L$70,$H$65)*(POWER((1+$H$74),(A534-$A$509)))</f>
        <v>11484.241961253107</v>
      </c>
      <c r="D534" s="1253">
        <f>IF(AND(B534&gt;'1. AgeData'!$I$31,'S. Setup'!J$84="remove"), 0,1)*IF(A534&gt;'1. AgeData'!$I$30,$L$70,$H$66)*(POWER((1+$H$77),(B534-B$509)))</f>
        <v>10663.938964020743</v>
      </c>
      <c r="E534" s="1552">
        <f t="shared" si="12"/>
        <v>22148.180925273849</v>
      </c>
      <c r="F534" s="1941">
        <f t="shared" si="15"/>
        <v>0</v>
      </c>
      <c r="G534" s="1942">
        <f t="shared" si="15"/>
        <v>0</v>
      </c>
      <c r="H534" s="1552">
        <f t="shared" si="6"/>
        <v>0</v>
      </c>
      <c r="I534" s="1253">
        <f t="shared" si="7"/>
        <v>11484.241961253107</v>
      </c>
      <c r="J534" s="1253">
        <f t="shared" si="8"/>
        <v>10663.938964020743</v>
      </c>
      <c r="K534" s="1553">
        <f t="shared" si="9"/>
        <v>22148.180925273849</v>
      </c>
      <c r="L534" s="6"/>
      <c r="M534" s="1336"/>
      <c r="N534" s="6"/>
    </row>
    <row r="535" spans="1:15" x14ac:dyDescent="0.25">
      <c r="A535" s="52">
        <f t="shared" si="13"/>
        <v>86</v>
      </c>
      <c r="B535" s="3">
        <f t="shared" si="14"/>
        <v>81</v>
      </c>
      <c r="C535" s="1265">
        <f>IF(AND(A535&gt;'1. AgeData'!$I$30,'S. Setup'!J$84="remove"), 0,1)*IF(B535&gt;'1. AgeData'!$I$31,$L$70,$H$65)*(POWER((1+$H$74),(A535-$A$509)))</f>
        <v>11713.92680047817</v>
      </c>
      <c r="D535" s="1253">
        <f>IF(AND(B535&gt;'1. AgeData'!$I$31,'S. Setup'!J$84="remove"), 0,1)*IF(A535&gt;'1. AgeData'!$I$30,$L$70,$H$66)*(POWER((1+$H$77),(B535-B$509)))</f>
        <v>12425.129499078632</v>
      </c>
      <c r="E535" s="1266">
        <f t="shared" si="12"/>
        <v>24139.056299556803</v>
      </c>
      <c r="F535" s="1941">
        <f t="shared" si="15"/>
        <v>0</v>
      </c>
      <c r="G535" s="1942">
        <f t="shared" si="15"/>
        <v>0</v>
      </c>
      <c r="H535" s="1552">
        <f t="shared" si="6"/>
        <v>0</v>
      </c>
      <c r="I535" s="1253">
        <f t="shared" si="7"/>
        <v>11713.92680047817</v>
      </c>
      <c r="J535" s="1253">
        <f t="shared" si="8"/>
        <v>12425.129499078632</v>
      </c>
      <c r="K535" s="1550">
        <f t="shared" si="9"/>
        <v>24139.056299556803</v>
      </c>
      <c r="L535" s="6"/>
      <c r="M535" s="1336"/>
      <c r="N535" s="6"/>
    </row>
    <row r="536" spans="1:15" x14ac:dyDescent="0.25">
      <c r="A536" s="52">
        <f t="shared" si="13"/>
        <v>87</v>
      </c>
      <c r="B536" s="3">
        <f t="shared" si="14"/>
        <v>82</v>
      </c>
      <c r="C536" s="1265">
        <f>IF(AND(A536&gt;'1. AgeData'!$I$30,'S. Setup'!J$84="remove"), 0,1)*IF(B536&gt;'1. AgeData'!$I$31,$L$70,$H$65)*(POWER((1+$H$74),(A536-$A$509)))</f>
        <v>11948.205336487732</v>
      </c>
      <c r="D536" s="1253">
        <f>IF(AND(B536&gt;'1. AgeData'!$I$31,'S. Setup'!J$84="remove"), 0,1)*IF(A536&gt;'1. AgeData'!$I$30,$L$70,$H$66)*(POWER((1+$H$77),(B536-B$509)))</f>
        <v>12673.632089060202</v>
      </c>
      <c r="E536" s="1266">
        <f t="shared" si="12"/>
        <v>24621.837425547936</v>
      </c>
      <c r="F536" s="1941">
        <f t="shared" si="15"/>
        <v>0</v>
      </c>
      <c r="G536" s="1942">
        <f t="shared" si="15"/>
        <v>0</v>
      </c>
      <c r="H536" s="1552">
        <f t="shared" si="6"/>
        <v>0</v>
      </c>
      <c r="I536" s="1253">
        <f t="shared" si="7"/>
        <v>11948.205336487732</v>
      </c>
      <c r="J536" s="1253">
        <f t="shared" si="8"/>
        <v>12673.632089060202</v>
      </c>
      <c r="K536" s="1550">
        <f t="shared" si="9"/>
        <v>24621.837425547936</v>
      </c>
      <c r="L536" s="6"/>
      <c r="M536" s="1336"/>
      <c r="N536" s="6"/>
    </row>
    <row r="537" spans="1:15" x14ac:dyDescent="0.25">
      <c r="A537" s="52">
        <f t="shared" si="13"/>
        <v>88</v>
      </c>
      <c r="B537" s="3">
        <f t="shared" si="14"/>
        <v>83</v>
      </c>
      <c r="C537" s="1265">
        <f>IF(AND(A537&gt;'1. AgeData'!$I$30,'S. Setup'!J$84="remove"), 0,1)*IF(B537&gt;'1. AgeData'!$I$31,$L$70,$H$65)*(POWER((1+$H$74),(A537-$A$509)))</f>
        <v>12187.169443217488</v>
      </c>
      <c r="D537" s="1253">
        <f>IF(AND(B537&gt;'1. AgeData'!$I$31,'S. Setup'!J$84="remove"), 0,1)*IF(A537&gt;'1. AgeData'!$I$30,$L$70,$H$66)*(POWER((1+$H$77),(B537-B$509)))</f>
        <v>12927.104730841409</v>
      </c>
      <c r="E537" s="1266">
        <f t="shared" si="12"/>
        <v>25114.274174058897</v>
      </c>
      <c r="F537" s="1941">
        <f t="shared" si="15"/>
        <v>0</v>
      </c>
      <c r="G537" s="1942">
        <f t="shared" si="15"/>
        <v>0</v>
      </c>
      <c r="H537" s="1552">
        <f t="shared" si="6"/>
        <v>0</v>
      </c>
      <c r="I537" s="1253">
        <f t="shared" si="7"/>
        <v>12187.169443217488</v>
      </c>
      <c r="J537" s="1253">
        <f t="shared" si="8"/>
        <v>12927.104730841409</v>
      </c>
      <c r="K537" s="1550">
        <f t="shared" si="9"/>
        <v>25114.274174058897</v>
      </c>
      <c r="L537" s="6"/>
      <c r="M537" s="1336"/>
      <c r="N537" s="6"/>
    </row>
    <row r="538" spans="1:15" x14ac:dyDescent="0.25">
      <c r="A538" s="52">
        <f t="shared" si="13"/>
        <v>89</v>
      </c>
      <c r="B538" s="3">
        <f t="shared" si="14"/>
        <v>84</v>
      </c>
      <c r="C538" s="1265">
        <f>IF(AND(A538&gt;'1. AgeData'!$I$30,'S. Setup'!J$84="remove"), 0,1)*IF(B538&gt;'1. AgeData'!$I$31,$L$70,$H$65)*(POWER((1+$H$74),(A538-$A$509)))</f>
        <v>12430.912832081836</v>
      </c>
      <c r="D538" s="1253">
        <f>IF(AND(B538&gt;'1. AgeData'!$I$31,'S. Setup'!J$84="remove"), 0,1)*IF(A538&gt;'1. AgeData'!$I$30,$L$70,$H$66)*(POWER((1+$H$77),(B538-B$509)))</f>
        <v>13185.646825458236</v>
      </c>
      <c r="E538" s="1266">
        <f t="shared" si="12"/>
        <v>25616.55965754007</v>
      </c>
      <c r="F538" s="1941">
        <f t="shared" si="15"/>
        <v>0</v>
      </c>
      <c r="G538" s="1942">
        <f t="shared" si="15"/>
        <v>0</v>
      </c>
      <c r="H538" s="1552">
        <f t="shared" si="6"/>
        <v>0</v>
      </c>
      <c r="I538" s="1253">
        <f t="shared" si="7"/>
        <v>12430.912832081836</v>
      </c>
      <c r="J538" s="1253">
        <f t="shared" si="8"/>
        <v>13185.646825458236</v>
      </c>
      <c r="K538" s="1550">
        <f t="shared" si="9"/>
        <v>25616.55965754007</v>
      </c>
      <c r="L538" s="6"/>
      <c r="M538" s="1336"/>
    </row>
    <row r="539" spans="1:15" x14ac:dyDescent="0.25">
      <c r="A539" s="52">
        <f t="shared" si="13"/>
        <v>90</v>
      </c>
      <c r="B539" s="3">
        <f t="shared" si="14"/>
        <v>85</v>
      </c>
      <c r="C539" s="1265">
        <f>IF(AND(A539&gt;'1. AgeData'!$I$30,'S. Setup'!J$84="remove"), 0,1)*IF(B539&gt;'1. AgeData'!$I$31,$L$70,$H$65)*(POWER((1+$H$74),(A539-$A$509)))</f>
        <v>12679.531088723474</v>
      </c>
      <c r="D539" s="1253">
        <f>IF(AND(B539&gt;'1. AgeData'!$I$31,'S. Setup'!J$84="remove"), 0,1)*IF(A539&gt;'1. AgeData'!$I$30,$L$70,$H$66)*(POWER((1+$H$77),(B539-B$509)))</f>
        <v>13449.359761967402</v>
      </c>
      <c r="E539" s="1266">
        <f t="shared" si="12"/>
        <v>26128.890850690877</v>
      </c>
      <c r="F539" s="1941">
        <f t="shared" si="15"/>
        <v>0</v>
      </c>
      <c r="G539" s="1942">
        <f t="shared" si="15"/>
        <v>0</v>
      </c>
      <c r="H539" s="1552">
        <f t="shared" si="6"/>
        <v>0</v>
      </c>
      <c r="I539" s="1253">
        <f t="shared" si="7"/>
        <v>12679.531088723474</v>
      </c>
      <c r="J539" s="1253">
        <f t="shared" si="8"/>
        <v>13449.359761967402</v>
      </c>
      <c r="K539" s="1550">
        <f t="shared" si="9"/>
        <v>26128.890850690877</v>
      </c>
      <c r="L539" s="6"/>
      <c r="M539" s="1336"/>
    </row>
    <row r="540" spans="1:15" ht="15.75" x14ac:dyDescent="0.25">
      <c r="A540" s="52">
        <f t="shared" si="13"/>
        <v>91</v>
      </c>
      <c r="B540" s="3">
        <f t="shared" si="14"/>
        <v>86</v>
      </c>
      <c r="C540" s="1265">
        <f>IF(AND(A540&gt;'1. AgeData'!$I$30,'S. Setup'!J$84="remove"), 0,1)*IF(B540&gt;'1. AgeData'!$I$31,$L$70,$H$65)*(POWER((1+$H$74),(A540-$A$509)))</f>
        <v>12933.121710497941</v>
      </c>
      <c r="D540" s="1253">
        <f>IF(AND(B540&gt;'1. AgeData'!$I$31,'S. Setup'!J$84="remove"), 0,1)*IF(A540&gt;'1. AgeData'!$I$30,$L$70,$H$66)*(POWER((1+$H$77),(B540-B$509)))</f>
        <v>13718.346957206746</v>
      </c>
      <c r="E540" s="1266">
        <f t="shared" si="12"/>
        <v>26651.468667704685</v>
      </c>
      <c r="F540" s="1941">
        <f t="shared" si="15"/>
        <v>0</v>
      </c>
      <c r="G540" s="1942">
        <f t="shared" si="15"/>
        <v>0</v>
      </c>
      <c r="H540" s="1552">
        <f t="shared" si="6"/>
        <v>0</v>
      </c>
      <c r="I540" s="1253">
        <f t="shared" si="7"/>
        <v>12933.121710497941</v>
      </c>
      <c r="J540" s="1253">
        <f t="shared" si="8"/>
        <v>13718.346957206746</v>
      </c>
      <c r="K540" s="1550">
        <f t="shared" si="9"/>
        <v>26651.468667704685</v>
      </c>
      <c r="L540" s="6"/>
      <c r="M540" s="2100"/>
      <c r="N540" s="1382"/>
      <c r="O540" s="1382"/>
    </row>
    <row r="541" spans="1:15" ht="15.75" x14ac:dyDescent="0.25">
      <c r="A541" s="52">
        <f t="shared" si="13"/>
        <v>92</v>
      </c>
      <c r="B541" s="3">
        <f t="shared" si="14"/>
        <v>87</v>
      </c>
      <c r="C541" s="1265">
        <f>IF(AND(A541&gt;'1. AgeData'!$I$30,'S. Setup'!J$84="remove"), 0,1)*IF(B541&gt;'1. AgeData'!$I$31,$L$70,$H$65)*(POWER((1+$H$74),(A541-$A$509)))</f>
        <v>13191.784144707903</v>
      </c>
      <c r="D541" s="1253">
        <f>IF(AND(B541&gt;'1. AgeData'!$I$31,'S. Setup'!J$84="remove"), 0,1)*IF(A541&gt;'1. AgeData'!$I$30,$L$70,$H$66)*(POWER((1+$H$77),(B541-B$509)))</f>
        <v>13992.713896350884</v>
      </c>
      <c r="E541" s="1266">
        <f t="shared" si="12"/>
        <v>27184.498041058789</v>
      </c>
      <c r="F541" s="1941">
        <f t="shared" si="15"/>
        <v>0</v>
      </c>
      <c r="G541" s="1942">
        <f t="shared" si="15"/>
        <v>0</v>
      </c>
      <c r="H541" s="1552">
        <f t="shared" si="6"/>
        <v>0</v>
      </c>
      <c r="I541" s="1253">
        <f t="shared" si="7"/>
        <v>13191.784144707903</v>
      </c>
      <c r="J541" s="1253">
        <f t="shared" si="8"/>
        <v>13992.713896350884</v>
      </c>
      <c r="K541" s="1550">
        <f t="shared" si="9"/>
        <v>27184.498041058789</v>
      </c>
      <c r="L541" s="6"/>
      <c r="M541" s="2100"/>
      <c r="N541" s="1382"/>
      <c r="O541" s="1382"/>
    </row>
    <row r="542" spans="1:15" x14ac:dyDescent="0.25">
      <c r="A542" s="52">
        <f t="shared" ref="A542:B545" si="16">A541+1</f>
        <v>93</v>
      </c>
      <c r="B542" s="3">
        <f t="shared" si="16"/>
        <v>88</v>
      </c>
      <c r="C542" s="1265">
        <f>IF(AND(A542&gt;'1. AgeData'!$I$30,'S. Setup'!J$84="remove"), 0,1)*IF(B542&gt;'1. AgeData'!$I$31,$L$70,$H$65)*(POWER((1+$H$74),(A542-$A$509)))</f>
        <v>14272.568174277903</v>
      </c>
      <c r="D542" s="1253">
        <f>IF(AND(B542&gt;'1. AgeData'!$I$31,'S. Setup'!J$84="remove"), 0,1)*IF(A542&gt;'1. AgeData'!$I$30,$L$70,$H$66)*(POWER((1+$H$77),(B542-B$509)))</f>
        <v>14272.568174277903</v>
      </c>
      <c r="E542" s="1266">
        <f t="shared" si="12"/>
        <v>28545.136348555807</v>
      </c>
      <c r="F542" s="1941">
        <f t="shared" si="15"/>
        <v>0</v>
      </c>
      <c r="G542" s="1942">
        <f t="shared" si="15"/>
        <v>0</v>
      </c>
      <c r="H542" s="1552">
        <f t="shared" si="6"/>
        <v>0</v>
      </c>
      <c r="I542" s="1253">
        <f t="shared" si="7"/>
        <v>14272.568174277903</v>
      </c>
      <c r="J542" s="1253">
        <f t="shared" si="8"/>
        <v>14272.568174277903</v>
      </c>
      <c r="K542" s="1550">
        <f t="shared" si="9"/>
        <v>28545.136348555807</v>
      </c>
      <c r="L542" s="6"/>
      <c r="M542" s="1336"/>
    </row>
    <row r="543" spans="1:15" x14ac:dyDescent="0.25">
      <c r="A543" s="52">
        <f t="shared" si="16"/>
        <v>94</v>
      </c>
      <c r="B543" s="3">
        <f t="shared" si="16"/>
        <v>89</v>
      </c>
      <c r="C543" s="1265">
        <f>IF(AND(A543&gt;'1. AgeData'!$I$30,'S. Setup'!J$84="remove"), 0,1)*IF(B543&gt;'1. AgeData'!$I$31,$L$70,$H$65)*(POWER((1+$H$74),(A543-$A$509)))</f>
        <v>14558.019537763459</v>
      </c>
      <c r="D543" s="1253">
        <f>IF(AND(B543&gt;'1. AgeData'!$I$31,'S. Setup'!J$84="remove"), 0,1)*IF(A543&gt;'1. AgeData'!$I$30,$L$70,$H$66)*(POWER((1+$H$77),(B543-B$509)))</f>
        <v>14558.019537763459</v>
      </c>
      <c r="E543" s="1266">
        <f t="shared" si="12"/>
        <v>29116.039075526918</v>
      </c>
      <c r="F543" s="1941">
        <f t="shared" si="15"/>
        <v>0</v>
      </c>
      <c r="G543" s="1942">
        <f t="shared" si="15"/>
        <v>0</v>
      </c>
      <c r="H543" s="1552">
        <f t="shared" si="6"/>
        <v>0</v>
      </c>
      <c r="I543" s="1253">
        <f t="shared" si="7"/>
        <v>14558.019537763459</v>
      </c>
      <c r="J543" s="1253">
        <f t="shared" si="8"/>
        <v>14558.019537763459</v>
      </c>
      <c r="K543" s="1550">
        <f t="shared" si="9"/>
        <v>29116.039075526918</v>
      </c>
      <c r="L543" s="6"/>
      <c r="M543" s="1336"/>
    </row>
    <row r="544" spans="1:15" x14ac:dyDescent="0.25">
      <c r="A544" s="52">
        <f t="shared" si="16"/>
        <v>95</v>
      </c>
      <c r="B544" s="3">
        <f t="shared" si="16"/>
        <v>90</v>
      </c>
      <c r="C544" s="1265">
        <f>IF(AND(A544&gt;'1. AgeData'!$I$30,'S. Setup'!J$84="remove"), 0,1)*IF(B544&gt;'1. AgeData'!$I$31,$L$70,$H$65)*(POWER((1+$H$74),(A544-$A$509)))</f>
        <v>14849.179928518728</v>
      </c>
      <c r="D544" s="1253">
        <f>IF(AND(B544&gt;'1. AgeData'!$I$31,'S. Setup'!J$84="remove"), 0,1)*IF(A544&gt;'1. AgeData'!$I$30,$L$70,$H$66)*(POWER((1+$H$77),(B544-B$509)))</f>
        <v>14849.179928518728</v>
      </c>
      <c r="E544" s="1266">
        <f t="shared" si="12"/>
        <v>29698.359857037456</v>
      </c>
      <c r="F544" s="1941">
        <f t="shared" si="15"/>
        <v>0</v>
      </c>
      <c r="G544" s="1942">
        <f t="shared" si="15"/>
        <v>0</v>
      </c>
      <c r="H544" s="1552">
        <f t="shared" si="6"/>
        <v>0</v>
      </c>
      <c r="I544" s="1253">
        <f t="shared" si="7"/>
        <v>14849.179928518728</v>
      </c>
      <c r="J544" s="1253">
        <f t="shared" si="8"/>
        <v>14849.179928518728</v>
      </c>
      <c r="K544" s="1550">
        <f t="shared" si="9"/>
        <v>29698.359857037456</v>
      </c>
      <c r="L544" s="6"/>
      <c r="M544" s="1336"/>
    </row>
    <row r="545" spans="1:15" ht="15.75" thickBot="1" x14ac:dyDescent="0.3">
      <c r="A545" s="142">
        <f t="shared" si="16"/>
        <v>96</v>
      </c>
      <c r="B545" s="48">
        <f t="shared" si="16"/>
        <v>91</v>
      </c>
      <c r="C545" s="1610">
        <f>IF(AND(A545&gt;'1. AgeData'!$I$30,'S. Setup'!J$84="remove"), 0,1)*IF(B545&gt;'1. AgeData'!$I$31,$L$70,$H$65)*(POWER((1+$H$74),(A545-$A$509)))</f>
        <v>15146.163527089102</v>
      </c>
      <c r="D545" s="1554">
        <f>IF(AND(B545&gt;'1. AgeData'!$I$31,'S. Setup'!J$84="remove"), 0,1)*IF(A545&gt;'1. AgeData'!$I$30,$L$70,$H$66)*(POWER((1+$H$77),(B545-B$509)))</f>
        <v>15146.163527089102</v>
      </c>
      <c r="E545" s="1611">
        <f t="shared" si="12"/>
        <v>30292.327054178204</v>
      </c>
      <c r="F545" s="1943">
        <f t="shared" si="15"/>
        <v>0</v>
      </c>
      <c r="G545" s="1944">
        <f t="shared" si="15"/>
        <v>0</v>
      </c>
      <c r="H545" s="1945">
        <f>F545+G545</f>
        <v>0</v>
      </c>
      <c r="I545" s="1610">
        <f>C545+F545+F545</f>
        <v>15146.163527089102</v>
      </c>
      <c r="J545" s="1554">
        <f>D545+G545+G545</f>
        <v>15146.163527089102</v>
      </c>
      <c r="K545" s="1551">
        <f>I545+J545</f>
        <v>30292.327054178204</v>
      </c>
      <c r="L545" s="41"/>
      <c r="M545" s="1336"/>
    </row>
    <row r="546" spans="1:15" ht="15.75" thickTop="1" x14ac:dyDescent="0.25"/>
    <row r="548" spans="1:15" s="1382" customFormat="1" ht="15.75" x14ac:dyDescent="0.25">
      <c r="B548" s="1383" t="s">
        <v>1114</v>
      </c>
      <c r="G548" s="1383" t="s">
        <v>1115</v>
      </c>
      <c r="M548"/>
      <c r="N548"/>
      <c r="O548"/>
    </row>
    <row r="549" spans="1:15" s="1382" customFormat="1" ht="16.5" thickBot="1" x14ac:dyDescent="0.3">
      <c r="B549" s="1383"/>
      <c r="G549" s="1383"/>
      <c r="M549"/>
      <c r="N549"/>
      <c r="O549"/>
    </row>
    <row r="550" spans="1:15" ht="19.5" thickTop="1" x14ac:dyDescent="0.3">
      <c r="A550" s="960" t="s">
        <v>486</v>
      </c>
      <c r="B550" s="946"/>
      <c r="C550" s="946"/>
      <c r="D550" s="947"/>
      <c r="E550" s="947"/>
      <c r="F550" s="946"/>
      <c r="G550" s="946"/>
      <c r="H550" s="949"/>
    </row>
    <row r="551" spans="1:15" ht="15.75" x14ac:dyDescent="0.25">
      <c r="A551" s="964" t="s">
        <v>736</v>
      </c>
      <c r="B551" s="944"/>
      <c r="C551" s="944"/>
      <c r="D551" s="945"/>
      <c r="E551" s="945"/>
      <c r="F551" s="944"/>
      <c r="G551" s="944"/>
      <c r="H551" s="950"/>
    </row>
    <row r="552" spans="1:15" x14ac:dyDescent="0.25">
      <c r="A552" s="1054"/>
      <c r="B552" s="943" t="s">
        <v>326</v>
      </c>
      <c r="C552" s="945"/>
      <c r="D552" s="945"/>
      <c r="E552" s="945"/>
      <c r="F552" s="944"/>
      <c r="G552" s="944"/>
      <c r="H552" s="950"/>
    </row>
    <row r="553" spans="1:15" x14ac:dyDescent="0.25">
      <c r="A553" s="1054"/>
      <c r="B553" s="1356" t="s">
        <v>870</v>
      </c>
      <c r="C553" s="1357"/>
      <c r="D553" s="1357"/>
      <c r="E553" s="945"/>
      <c r="F553" s="944"/>
      <c r="G553" s="944"/>
      <c r="H553" s="950"/>
    </row>
    <row r="554" spans="1:15" x14ac:dyDescent="0.25">
      <c r="A554" s="1054"/>
      <c r="B554" s="942" t="s">
        <v>1103</v>
      </c>
      <c r="C554" s="945"/>
      <c r="D554" s="945"/>
      <c r="E554" s="945"/>
      <c r="F554" s="944"/>
      <c r="G554" s="944"/>
      <c r="H554" s="950"/>
    </row>
    <row r="555" spans="1:15" x14ac:dyDescent="0.25">
      <c r="A555" s="1054" t="s">
        <v>154</v>
      </c>
      <c r="B555" s="942" t="s">
        <v>1104</v>
      </c>
      <c r="C555" s="945"/>
      <c r="D555" s="945"/>
      <c r="E555" s="945"/>
      <c r="F555" s="944"/>
      <c r="G555" s="944"/>
      <c r="H555" s="950"/>
    </row>
    <row r="556" spans="1:15" x14ac:dyDescent="0.25">
      <c r="A556" s="1054"/>
      <c r="B556" s="942" t="s">
        <v>1105</v>
      </c>
      <c r="C556" s="945"/>
      <c r="D556" s="945"/>
      <c r="E556" s="945"/>
      <c r="F556" s="944"/>
      <c r="G556" s="944"/>
      <c r="H556" s="950"/>
    </row>
    <row r="557" spans="1:15" x14ac:dyDescent="0.25">
      <c r="A557" s="1890"/>
      <c r="B557" s="942" t="s">
        <v>1106</v>
      </c>
      <c r="C557" s="1019"/>
      <c r="D557" s="945"/>
      <c r="E557" s="945"/>
      <c r="F557" s="944"/>
      <c r="G557" s="944"/>
      <c r="H557" s="950"/>
    </row>
    <row r="558" spans="1:15" x14ac:dyDescent="0.25">
      <c r="A558" s="1890"/>
      <c r="B558" s="942" t="s">
        <v>1449</v>
      </c>
      <c r="C558" s="1019"/>
      <c r="D558" s="945"/>
      <c r="E558" s="945"/>
      <c r="F558" s="944"/>
      <c r="G558" s="944"/>
      <c r="H558" s="950"/>
    </row>
    <row r="559" spans="1:15" x14ac:dyDescent="0.25">
      <c r="A559" s="1890"/>
      <c r="B559" s="942" t="s">
        <v>1462</v>
      </c>
      <c r="C559" s="1019"/>
      <c r="D559" s="945"/>
      <c r="E559" s="945"/>
      <c r="F559" s="944"/>
      <c r="G559" s="944"/>
      <c r="H559" s="950"/>
    </row>
    <row r="560" spans="1:15" x14ac:dyDescent="0.25">
      <c r="A560" s="1890"/>
      <c r="B560" s="942" t="s">
        <v>1450</v>
      </c>
      <c r="C560" s="1019"/>
      <c r="D560" s="945"/>
      <c r="E560" s="945"/>
      <c r="F560" s="944"/>
      <c r="G560" s="944"/>
      <c r="H560" s="950"/>
    </row>
    <row r="561" spans="1:8" x14ac:dyDescent="0.25">
      <c r="A561" s="1890"/>
      <c r="B561" s="942" t="s">
        <v>1107</v>
      </c>
      <c r="C561" s="1019"/>
      <c r="D561" s="945"/>
      <c r="E561" s="945"/>
      <c r="F561" s="944"/>
      <c r="G561" s="944"/>
      <c r="H561" s="950"/>
    </row>
    <row r="562" spans="1:8" x14ac:dyDescent="0.25">
      <c r="A562" s="1890"/>
      <c r="B562" s="943" t="s">
        <v>1108</v>
      </c>
      <c r="C562" s="1019"/>
      <c r="D562" s="945"/>
      <c r="E562" s="945"/>
      <c r="F562" s="944"/>
      <c r="G562" s="944"/>
      <c r="H562" s="950"/>
    </row>
    <row r="563" spans="1:8" x14ac:dyDescent="0.25">
      <c r="A563" s="1890"/>
      <c r="B563" s="943" t="s">
        <v>1100</v>
      </c>
      <c r="C563" s="1019"/>
      <c r="D563" s="945"/>
      <c r="E563" s="945"/>
      <c r="F563" s="944"/>
      <c r="G563" s="944"/>
      <c r="H563" s="950"/>
    </row>
    <row r="564" spans="1:8" x14ac:dyDescent="0.25">
      <c r="A564" s="1054"/>
      <c r="B564" s="943" t="s">
        <v>1099</v>
      </c>
      <c r="C564" s="945"/>
      <c r="D564" s="945"/>
      <c r="E564" s="945"/>
      <c r="F564" s="944"/>
      <c r="G564" s="944"/>
      <c r="H564" s="950"/>
    </row>
    <row r="565" spans="1:8" x14ac:dyDescent="0.25">
      <c r="A565" s="1054"/>
      <c r="B565" s="943" t="s">
        <v>1098</v>
      </c>
      <c r="C565" s="945"/>
      <c r="D565" s="945"/>
      <c r="E565" s="945"/>
      <c r="F565" s="944"/>
      <c r="G565" s="944"/>
      <c r="H565" s="950"/>
    </row>
    <row r="566" spans="1:8" x14ac:dyDescent="0.25">
      <c r="A566" s="1054"/>
      <c r="B566" s="942" t="s">
        <v>1097</v>
      </c>
      <c r="C566" s="945"/>
      <c r="D566" s="945"/>
      <c r="E566" s="945"/>
      <c r="F566" s="944"/>
      <c r="G566" s="944"/>
      <c r="H566" s="950"/>
    </row>
    <row r="567" spans="1:8" x14ac:dyDescent="0.25">
      <c r="A567" s="1054"/>
      <c r="B567" s="943" t="s">
        <v>1101</v>
      </c>
      <c r="C567" s="945"/>
      <c r="D567" s="945"/>
      <c r="E567" s="945"/>
      <c r="F567" s="944"/>
      <c r="G567" s="944"/>
      <c r="H567" s="950"/>
    </row>
    <row r="568" spans="1:8" x14ac:dyDescent="0.25">
      <c r="A568" s="1054"/>
      <c r="B568" s="943" t="s">
        <v>1102</v>
      </c>
      <c r="C568" s="945"/>
      <c r="D568" s="1019" t="s">
        <v>1762</v>
      </c>
      <c r="E568" s="945"/>
      <c r="F568" s="944"/>
      <c r="G568" s="944"/>
      <c r="H568" s="950"/>
    </row>
    <row r="569" spans="1:8" x14ac:dyDescent="0.25">
      <c r="A569" s="1083"/>
      <c r="B569" s="1081" t="s">
        <v>719</v>
      </c>
      <c r="C569" s="945"/>
      <c r="D569" s="1019" t="s">
        <v>1764</v>
      </c>
      <c r="E569" s="945"/>
      <c r="F569" s="944"/>
      <c r="G569" s="944"/>
      <c r="H569" s="950"/>
    </row>
    <row r="570" spans="1:8" x14ac:dyDescent="0.25">
      <c r="A570" s="1083"/>
      <c r="B570" s="1081" t="s">
        <v>720</v>
      </c>
      <c r="C570" s="945"/>
      <c r="D570" s="1019" t="s">
        <v>1289</v>
      </c>
      <c r="E570" s="945"/>
      <c r="F570" s="945"/>
      <c r="G570" s="945"/>
      <c r="H570" s="950"/>
    </row>
    <row r="571" spans="1:8" x14ac:dyDescent="0.25">
      <c r="A571" s="1083"/>
      <c r="B571" s="1081" t="s">
        <v>721</v>
      </c>
      <c r="C571" s="945"/>
      <c r="D571" s="945" t="s">
        <v>722</v>
      </c>
      <c r="E571" s="945"/>
      <c r="F571" s="945"/>
      <c r="G571" s="945"/>
      <c r="H571" s="950"/>
    </row>
    <row r="572" spans="1:8" x14ac:dyDescent="0.25">
      <c r="A572" s="1083"/>
      <c r="B572" s="1081" t="s">
        <v>725</v>
      </c>
      <c r="C572" s="945"/>
      <c r="D572" s="1019" t="s">
        <v>1763</v>
      </c>
      <c r="E572" s="945"/>
      <c r="F572" s="945"/>
      <c r="G572" s="945"/>
      <c r="H572" s="950"/>
    </row>
    <row r="573" spans="1:8" ht="15.75" thickBot="1" x14ac:dyDescent="0.3">
      <c r="A573" s="1088"/>
      <c r="B573" s="1089" t="s">
        <v>577</v>
      </c>
      <c r="C573" s="948"/>
      <c r="D573" s="1087" t="s">
        <v>578</v>
      </c>
      <c r="E573" s="948"/>
      <c r="F573" s="948"/>
      <c r="G573" s="948"/>
      <c r="H573" s="951"/>
    </row>
    <row r="574" spans="1:8" ht="15.75" thickTop="1" x14ac:dyDescent="0.25"/>
  </sheetData>
  <sheetProtection sheet="1" objects="1" scenarios="1"/>
  <phoneticPr fontId="42" type="noConversion"/>
  <dataValidations count="3">
    <dataValidation type="list" allowBlank="1" showInputMessage="1" showErrorMessage="1" sqref="G452 B452 B116:B276 G116:G276">
      <formula1>"E,FE"</formula1>
    </dataValidation>
    <dataValidation type="list" allowBlank="1" showInputMessage="1" showErrorMessage="1" sqref="B293:B451 G293:G451">
      <formula1>"D,FD"</formula1>
    </dataValidation>
    <dataValidation type="list" allowBlank="1" showInputMessage="1" showErrorMessage="1" sqref="F282 F102">
      <formula1>"yes,no"</formula1>
    </dataValidation>
  </dataValidations>
  <hyperlinks>
    <hyperlink ref="B548" location="'9. SavingsData'!A1" display="Previous worksheet (9. SavingsData)"/>
    <hyperlink ref="G548" location="'11. CashData'!A1" display="Next worksheet (11. CashData)"/>
    <hyperlink ref="B1" location="'9. SavingsData'!A1" display="Previous worksheet (9. SavingsData)"/>
    <hyperlink ref="G1" location="'11. CashData'!A1" display="Next worksheet (11. CashData)"/>
    <hyperlink ref="I98" location="'9. SavingsData'!A1" display="Previous worksheet (9. SavingsData)"/>
    <hyperlink ref="B555" location="'S. Setup'!A1" display="Setup"/>
    <hyperlink ref="B556" location="'1. AgeData'!A1" display="AgeData"/>
    <hyperlink ref="B557" location="'2. TaxData'!A1" display="TaxData"/>
    <hyperlink ref="B559" location="'4. PensionData'!A1" display="4. PensionData"/>
    <hyperlink ref="B560" location="'5. SocSecData'!A1" display="5. SocSecData"/>
    <hyperlink ref="B558" location="'3. WorkData'!A1" display="3. WorkData"/>
    <hyperlink ref="B561" location="'6. AnnuityData'!A1" display="AnnuityData"/>
    <hyperlink ref="B562" location="'7. IRAdata'!A1" display="IRAdata"/>
    <hyperlink ref="B563" location="'8. RothData'!A1" display="RothData"/>
    <hyperlink ref="B564" location="'9. SavingsData'!A1" display="SavingsData"/>
    <hyperlink ref="B554" location="'R. Results'!A1" display="Results"/>
    <hyperlink ref="B566" location="'11. CashData'!A1" display="CashData"/>
    <hyperlink ref="B565" location="'10. ExpensesData'!A1" display="ExpensesData"/>
    <hyperlink ref="B567" location="'12. RMDtable'!A1" display="RMDtable"/>
    <hyperlink ref="B552" location="Introduction!A1" display="Introduction"/>
    <hyperlink ref="B572" location="'Appendix D'!A1" display="Appendix D"/>
    <hyperlink ref="B569" location="'Appendix A'!A1" display="Appendix A"/>
    <hyperlink ref="B570" location="'Appendix B'!A1" display="Appendix B"/>
    <hyperlink ref="B571" location="'Appendix C'!A1" display="Appendix C"/>
    <hyperlink ref="B573" location="FAQ!A1" display="FAQ"/>
    <hyperlink ref="B553" location="Assumptions!A1" display="Assumptions"/>
    <hyperlink ref="B568" location="'RS. Resources'!A1" display="Resources"/>
    <hyperlink ref="G36" location="'Appendix B'!A1" display="Appendix B.5."/>
  </hyperlinks>
  <printOptions headings="1" gridLines="1"/>
  <pageMargins left="0.7" right="0.7" top="0.75" bottom="0.75" header="0.3" footer="0.3"/>
  <pageSetup orientation="landscape" horizontalDpi="1200" verticalDpi="1200" r:id="rId1"/>
  <headerFooter>
    <oddHeader>&amp;L&amp;F&amp;C   &amp;D&amp;T&amp;R&amp;A &amp;P</oddHeader>
  </headerFooter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T161"/>
  <sheetViews>
    <sheetView zoomScaleNormal="100" workbookViewId="0">
      <selection activeCell="A95" sqref="A95"/>
    </sheetView>
  </sheetViews>
  <sheetFormatPr defaultRowHeight="15" x14ac:dyDescent="0.25"/>
  <cols>
    <col min="1" max="1" width="4.140625" customWidth="1"/>
    <col min="2" max="2" width="4.28515625" customWidth="1"/>
    <col min="3" max="3" width="9.5703125" customWidth="1"/>
    <col min="4" max="4" width="8.140625" customWidth="1"/>
    <col min="5" max="5" width="9.5703125" customWidth="1"/>
    <col min="6" max="6" width="9.28515625" customWidth="1"/>
    <col min="7" max="7" width="8.85546875" customWidth="1"/>
    <col min="8" max="8" width="7.5703125" customWidth="1"/>
    <col min="9" max="9" width="8.7109375" customWidth="1"/>
    <col min="10" max="10" width="8.140625" customWidth="1"/>
    <col min="11" max="11" width="8.5703125" customWidth="1"/>
    <col min="12" max="12" width="8.42578125" customWidth="1"/>
    <col min="13" max="13" width="8.28515625" customWidth="1"/>
    <col min="14" max="14" width="8.7109375" customWidth="1"/>
  </cols>
  <sheetData>
    <row r="1" spans="1:15" s="1382" customFormat="1" ht="15.75" x14ac:dyDescent="0.25">
      <c r="B1" s="1383" t="s">
        <v>1112</v>
      </c>
      <c r="G1" s="1383" t="s">
        <v>1113</v>
      </c>
    </row>
    <row r="2" spans="1:15" s="1382" customFormat="1" ht="15.75" x14ac:dyDescent="0.25">
      <c r="A2" s="1406"/>
      <c r="B2" s="1407"/>
      <c r="C2" s="1406"/>
      <c r="D2" s="1406"/>
      <c r="E2" s="1406"/>
      <c r="F2" s="1406"/>
      <c r="G2" s="1407"/>
      <c r="H2" s="1406"/>
      <c r="I2" s="1406"/>
      <c r="J2" s="1406"/>
      <c r="K2" s="1406"/>
      <c r="L2" s="1406"/>
      <c r="M2" s="1406"/>
      <c r="N2" s="1406"/>
    </row>
    <row r="4" spans="1:15" ht="18.75" x14ac:dyDescent="0.3">
      <c r="A4" s="230" t="s">
        <v>1190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</row>
    <row r="5" spans="1:15" ht="18.75" x14ac:dyDescent="0.3">
      <c r="A5" s="230"/>
      <c r="C5" s="6"/>
      <c r="D5" s="6"/>
      <c r="E5" s="6"/>
      <c r="F5" s="6"/>
      <c r="G5" s="6"/>
      <c r="H5" s="6"/>
      <c r="I5" s="6"/>
      <c r="J5" s="6"/>
      <c r="K5" s="6"/>
      <c r="L5" s="6"/>
      <c r="M5" s="6"/>
    </row>
    <row r="6" spans="1:15" ht="15.75" x14ac:dyDescent="0.25">
      <c r="A6" s="1582" t="s">
        <v>2989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</row>
    <row r="7" spans="1:15" x14ac:dyDescent="0.25">
      <c r="A7" s="1366" t="s">
        <v>2996</v>
      </c>
      <c r="B7" s="67"/>
      <c r="C7" s="66"/>
      <c r="D7" s="6"/>
      <c r="E7" s="6"/>
      <c r="F7" s="6"/>
      <c r="G7" s="6"/>
      <c r="H7" s="6"/>
      <c r="I7" s="6"/>
      <c r="J7" s="6"/>
      <c r="K7" s="6"/>
      <c r="L7" s="6"/>
      <c r="M7" s="6"/>
    </row>
    <row r="8" spans="1:15" x14ac:dyDescent="0.25">
      <c r="A8" s="1366" t="s">
        <v>3460</v>
      </c>
      <c r="B8" s="67"/>
      <c r="C8" s="66"/>
      <c r="D8" s="33"/>
      <c r="E8" s="33"/>
      <c r="F8" s="33"/>
      <c r="G8" s="6"/>
      <c r="H8" s="6"/>
      <c r="I8" s="6"/>
      <c r="J8" s="6"/>
      <c r="K8" s="6"/>
      <c r="L8" s="6"/>
      <c r="O8" s="92"/>
    </row>
    <row r="9" spans="1:15" x14ac:dyDescent="0.25">
      <c r="A9" s="1366"/>
      <c r="B9" s="6" t="s">
        <v>1554</v>
      </c>
      <c r="C9" s="66"/>
      <c r="D9" s="33"/>
      <c r="E9" s="33"/>
      <c r="F9" s="33"/>
      <c r="G9" s="6"/>
      <c r="H9" s="6"/>
      <c r="I9" s="6"/>
      <c r="J9" s="6"/>
      <c r="K9" s="6"/>
      <c r="L9" s="6"/>
      <c r="O9" s="92"/>
    </row>
    <row r="10" spans="1:15" x14ac:dyDescent="0.25">
      <c r="A10" s="1366"/>
      <c r="B10" s="6" t="s">
        <v>1143</v>
      </c>
      <c r="C10" s="66"/>
      <c r="D10" s="33"/>
      <c r="E10" s="33"/>
      <c r="F10" s="33"/>
      <c r="G10" s="6"/>
      <c r="H10" s="6"/>
      <c r="I10" s="6"/>
      <c r="J10" s="6"/>
      <c r="K10" s="6"/>
      <c r="L10" s="6"/>
      <c r="O10" s="92"/>
    </row>
    <row r="11" spans="1:15" x14ac:dyDescent="0.25">
      <c r="A11" s="1366" t="s">
        <v>3461</v>
      </c>
      <c r="B11" s="67"/>
      <c r="C11" s="66"/>
      <c r="D11" s="33"/>
      <c r="E11" s="33"/>
      <c r="F11" s="33"/>
      <c r="G11" s="6"/>
      <c r="H11" s="6"/>
      <c r="I11" s="6"/>
      <c r="J11" s="6"/>
      <c r="K11" s="6"/>
      <c r="L11" s="6"/>
      <c r="O11" s="92"/>
    </row>
    <row r="12" spans="1:15" ht="15.75" thickBot="1" x14ac:dyDescent="0.3">
      <c r="A12" s="1366"/>
      <c r="B12" s="67"/>
      <c r="C12" s="66"/>
      <c r="D12" s="33"/>
      <c r="E12" s="33"/>
      <c r="F12" s="33"/>
      <c r="G12" s="6"/>
      <c r="H12" s="6"/>
      <c r="I12" s="6"/>
      <c r="J12" s="6"/>
      <c r="K12" s="6"/>
      <c r="L12" s="6"/>
      <c r="O12" s="92"/>
    </row>
    <row r="13" spans="1:15" ht="18.75" x14ac:dyDescent="0.3">
      <c r="A13" s="699" t="s">
        <v>253</v>
      </c>
      <c r="B13" s="701"/>
      <c r="C13" s="701"/>
      <c r="D13" s="701"/>
      <c r="E13" s="701"/>
      <c r="F13" s="701"/>
      <c r="G13" s="701"/>
      <c r="H13" s="701"/>
      <c r="I13" s="701"/>
      <c r="J13" s="701"/>
      <c r="K13" s="745"/>
      <c r="L13" s="6"/>
      <c r="M13" s="6"/>
      <c r="O13" s="64"/>
    </row>
    <row r="14" spans="1:15" ht="15.75" x14ac:dyDescent="0.25">
      <c r="A14" s="739" t="s">
        <v>517</v>
      </c>
      <c r="B14" s="66"/>
      <c r="C14" s="66"/>
      <c r="D14" s="6"/>
      <c r="E14" s="6"/>
      <c r="F14" s="6"/>
      <c r="G14" s="6"/>
      <c r="H14" s="6"/>
      <c r="I14" s="6"/>
      <c r="J14" s="6"/>
      <c r="K14" s="746"/>
      <c r="L14" s="6"/>
      <c r="M14" s="796"/>
      <c r="O14" s="93"/>
    </row>
    <row r="15" spans="1:15" x14ac:dyDescent="0.25">
      <c r="A15" s="758" t="s">
        <v>279</v>
      </c>
      <c r="B15" s="66"/>
      <c r="C15" s="66"/>
      <c r="D15" s="6"/>
      <c r="E15" s="6"/>
      <c r="F15" s="6"/>
      <c r="G15" s="6"/>
      <c r="H15" s="6"/>
      <c r="I15" s="6"/>
      <c r="J15" s="6"/>
      <c r="K15" s="746"/>
      <c r="L15" s="6"/>
      <c r="M15" s="6"/>
    </row>
    <row r="16" spans="1:15" ht="15.75" thickBot="1" x14ac:dyDescent="0.3">
      <c r="A16" s="776" t="s">
        <v>125</v>
      </c>
      <c r="B16" s="777"/>
      <c r="C16" s="777"/>
      <c r="D16" s="707"/>
      <c r="E16" s="707"/>
      <c r="F16" s="707"/>
      <c r="G16" s="707"/>
      <c r="H16" s="707"/>
      <c r="I16" s="707"/>
      <c r="J16" s="707"/>
      <c r="K16" s="747"/>
      <c r="L16" s="6"/>
      <c r="M16" s="6"/>
    </row>
    <row r="17" spans="1:14" x14ac:dyDescent="0.25">
      <c r="A17" s="66"/>
      <c r="B17" s="67"/>
      <c r="C17" s="66"/>
      <c r="D17" s="6"/>
      <c r="E17" s="6"/>
      <c r="F17" s="6"/>
      <c r="G17" s="6"/>
      <c r="H17" s="6"/>
      <c r="I17" s="6"/>
      <c r="J17" s="6"/>
      <c r="K17" s="6"/>
      <c r="L17" s="6"/>
      <c r="M17" s="6"/>
    </row>
    <row r="18" spans="1:14" s="67" customFormat="1" x14ac:dyDescent="0.25">
      <c r="A18" s="1366" t="s">
        <v>1567</v>
      </c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</row>
    <row r="19" spans="1:14" s="67" customFormat="1" x14ac:dyDescent="0.25">
      <c r="A19" s="1366" t="s">
        <v>3749</v>
      </c>
      <c r="C19" s="66"/>
      <c r="D19" s="66"/>
      <c r="E19" s="66"/>
      <c r="F19" s="66"/>
      <c r="G19" s="66"/>
      <c r="H19" s="66"/>
      <c r="I19" s="66"/>
      <c r="J19" s="66"/>
      <c r="K19" s="66"/>
      <c r="L19" s="66"/>
      <c r="M19" s="66"/>
    </row>
    <row r="20" spans="1:14" x14ac:dyDescent="0.25">
      <c r="A20" s="183" t="s">
        <v>3462</v>
      </c>
      <c r="B20" s="394"/>
      <c r="C20" s="394"/>
      <c r="D20" s="394"/>
      <c r="E20" s="394"/>
      <c r="F20" s="394"/>
      <c r="G20" s="394"/>
      <c r="H20" s="394"/>
      <c r="I20" s="394"/>
      <c r="J20" s="394"/>
      <c r="K20" s="227"/>
      <c r="L20" s="227"/>
      <c r="M20" s="227"/>
      <c r="N20" s="291"/>
    </row>
    <row r="21" spans="1:14" x14ac:dyDescent="0.25">
      <c r="A21" s="412" t="s">
        <v>3747</v>
      </c>
      <c r="B21" s="394"/>
      <c r="C21" s="394"/>
      <c r="D21" s="394"/>
      <c r="E21" s="394"/>
      <c r="F21" s="394"/>
      <c r="G21" s="394"/>
      <c r="H21" s="394"/>
      <c r="I21" s="394"/>
      <c r="J21" s="394"/>
      <c r="K21" s="227"/>
      <c r="L21" s="227"/>
      <c r="M21" s="227"/>
      <c r="N21" s="291"/>
    </row>
    <row r="22" spans="1:14" ht="15.75" x14ac:dyDescent="0.25">
      <c r="A22" s="412" t="s">
        <v>3463</v>
      </c>
      <c r="B22" s="394"/>
      <c r="C22" s="394"/>
      <c r="D22" s="394"/>
      <c r="E22" s="394"/>
      <c r="F22" s="394"/>
      <c r="G22" s="394"/>
      <c r="H22" s="394"/>
      <c r="I22" s="394"/>
      <c r="J22" s="394"/>
      <c r="K22" s="227"/>
      <c r="L22" s="227"/>
      <c r="M22" s="227"/>
      <c r="N22" s="767"/>
    </row>
    <row r="23" spans="1:14" x14ac:dyDescent="0.25">
      <c r="A23" s="412" t="s">
        <v>3748</v>
      </c>
      <c r="B23" s="394"/>
      <c r="C23" s="394"/>
      <c r="D23" s="394"/>
      <c r="E23" s="394"/>
      <c r="F23" s="394"/>
      <c r="G23" s="394"/>
      <c r="H23" s="394"/>
      <c r="I23" s="394"/>
      <c r="J23" s="394"/>
      <c r="K23" s="227"/>
      <c r="L23" s="227"/>
      <c r="M23" s="227"/>
      <c r="N23" s="291"/>
    </row>
    <row r="24" spans="1:14" x14ac:dyDescent="0.25">
      <c r="A24" s="412"/>
      <c r="B24" s="394"/>
      <c r="C24" s="394"/>
      <c r="D24" s="394"/>
      <c r="E24" s="394"/>
      <c r="F24" s="394"/>
      <c r="G24" s="394"/>
      <c r="H24" s="394"/>
      <c r="I24" s="394"/>
      <c r="J24" s="394"/>
      <c r="K24" s="227"/>
      <c r="L24" s="227"/>
      <c r="M24" s="227"/>
      <c r="N24" s="291"/>
    </row>
    <row r="25" spans="1:14" x14ac:dyDescent="0.25">
      <c r="A25" s="412" t="s">
        <v>1568</v>
      </c>
      <c r="B25" s="394"/>
      <c r="C25" s="394"/>
      <c r="D25" s="394"/>
      <c r="E25" s="394"/>
      <c r="F25" s="394"/>
      <c r="G25" s="394"/>
      <c r="H25" s="394"/>
      <c r="I25" s="394"/>
      <c r="J25" s="394"/>
      <c r="K25" s="227"/>
      <c r="L25" s="227"/>
      <c r="M25" s="227"/>
      <c r="N25" s="291"/>
    </row>
    <row r="26" spans="1:14" x14ac:dyDescent="0.25">
      <c r="A26" s="412" t="s">
        <v>1569</v>
      </c>
      <c r="B26" s="394"/>
      <c r="C26" s="394"/>
      <c r="D26" s="394"/>
      <c r="E26" s="394"/>
      <c r="F26" s="394"/>
      <c r="G26" s="394"/>
      <c r="H26" s="394"/>
      <c r="I26" s="394"/>
      <c r="J26" s="394"/>
      <c r="K26" s="227"/>
      <c r="L26" s="227"/>
      <c r="M26" s="227"/>
      <c r="N26" s="291"/>
    </row>
    <row r="27" spans="1:14" x14ac:dyDescent="0.25">
      <c r="A27" s="412"/>
      <c r="B27" s="394"/>
      <c r="C27" s="394"/>
      <c r="D27" s="394"/>
      <c r="E27" s="394"/>
      <c r="F27" s="394"/>
      <c r="G27" s="394"/>
      <c r="H27" s="394"/>
      <c r="I27" s="394"/>
      <c r="J27" s="394"/>
      <c r="K27" s="227"/>
      <c r="L27" s="227"/>
      <c r="M27" s="227"/>
      <c r="N27" s="291"/>
    </row>
    <row r="28" spans="1:14" x14ac:dyDescent="0.25">
      <c r="A28" s="412" t="s">
        <v>1570</v>
      </c>
      <c r="B28" s="394"/>
      <c r="C28" s="394"/>
      <c r="D28" s="394"/>
      <c r="E28" s="394"/>
      <c r="F28" s="394"/>
      <c r="G28" s="394"/>
      <c r="H28" s="394"/>
      <c r="I28" s="394"/>
      <c r="J28" s="394"/>
      <c r="K28" s="227"/>
      <c r="L28" s="227"/>
      <c r="M28" s="227"/>
      <c r="N28" s="291"/>
    </row>
    <row r="29" spans="1:14" x14ac:dyDescent="0.25">
      <c r="A29" s="412"/>
      <c r="B29" s="394"/>
      <c r="C29" s="394"/>
      <c r="D29" s="394"/>
      <c r="E29" s="394"/>
      <c r="F29" s="394"/>
      <c r="G29" s="394"/>
      <c r="H29" s="394"/>
      <c r="I29" s="394"/>
      <c r="J29" s="394"/>
      <c r="K29" s="227"/>
      <c r="L29" s="227"/>
      <c r="M29" s="227"/>
      <c r="N29" s="291"/>
    </row>
    <row r="30" spans="1:14" x14ac:dyDescent="0.25">
      <c r="A30" s="412"/>
      <c r="B30" s="152" t="s">
        <v>1554</v>
      </c>
      <c r="C30" s="449"/>
      <c r="D30" s="451"/>
      <c r="E30" s="451"/>
      <c r="F30" s="452"/>
      <c r="G30" s="452"/>
      <c r="H30" s="449"/>
      <c r="I30" s="961"/>
      <c r="J30" s="449"/>
      <c r="K30" s="449"/>
      <c r="L30" s="449"/>
      <c r="M30" s="227"/>
      <c r="N30" s="291"/>
    </row>
    <row r="31" spans="1:14" x14ac:dyDescent="0.25">
      <c r="A31" s="412"/>
      <c r="B31" s="449"/>
      <c r="C31" s="449"/>
      <c r="D31" s="451"/>
      <c r="E31" s="451"/>
      <c r="F31" s="452"/>
      <c r="G31" s="452"/>
      <c r="H31" s="449"/>
      <c r="I31" s="961"/>
      <c r="J31" s="449"/>
      <c r="K31" s="449"/>
      <c r="L31" s="449"/>
      <c r="M31" s="227"/>
      <c r="N31" s="291"/>
    </row>
    <row r="32" spans="1:14" x14ac:dyDescent="0.25">
      <c r="A32" s="412"/>
      <c r="B32" s="1403" t="s">
        <v>983</v>
      </c>
      <c r="C32" s="449"/>
      <c r="D32" s="451"/>
      <c r="E32" s="451"/>
      <c r="F32" s="452"/>
      <c r="G32" s="452"/>
      <c r="H32" s="449"/>
      <c r="I32" s="961"/>
      <c r="J32" s="449"/>
      <c r="K32" s="449"/>
      <c r="L32" s="449"/>
      <c r="M32" s="227"/>
      <c r="N32" s="291"/>
    </row>
    <row r="33" spans="1:14" x14ac:dyDescent="0.25">
      <c r="A33" s="412"/>
      <c r="B33" s="1403" t="s">
        <v>984</v>
      </c>
      <c r="C33" s="449"/>
      <c r="D33" s="451"/>
      <c r="E33" s="451"/>
      <c r="F33" s="452"/>
      <c r="G33" s="452"/>
      <c r="H33" s="449"/>
      <c r="I33" s="961"/>
      <c r="J33" s="449"/>
      <c r="K33" s="449"/>
      <c r="L33" s="449"/>
      <c r="M33" s="227"/>
      <c r="N33" s="291"/>
    </row>
    <row r="34" spans="1:14" x14ac:dyDescent="0.25">
      <c r="A34" s="412"/>
      <c r="B34" s="1403"/>
      <c r="C34" s="449"/>
      <c r="D34" s="451"/>
      <c r="E34" s="451"/>
      <c r="F34" s="452"/>
      <c r="G34" s="452"/>
      <c r="H34" s="449"/>
      <c r="I34" s="961"/>
      <c r="J34" s="449"/>
      <c r="K34" s="449"/>
      <c r="L34" s="449"/>
      <c r="M34" s="227"/>
      <c r="N34" s="291"/>
    </row>
    <row r="35" spans="1:14" x14ac:dyDescent="0.25">
      <c r="A35" s="412"/>
      <c r="B35" s="1155" t="s">
        <v>1143</v>
      </c>
      <c r="C35" s="449"/>
      <c r="D35" s="451"/>
      <c r="E35" s="451"/>
      <c r="F35" s="452"/>
      <c r="G35" s="452"/>
      <c r="H35" s="449"/>
      <c r="I35" s="961"/>
      <c r="J35" s="449"/>
      <c r="K35" s="449"/>
      <c r="L35" s="449"/>
      <c r="M35" s="227"/>
      <c r="N35" s="291"/>
    </row>
    <row r="36" spans="1:14" x14ac:dyDescent="0.25">
      <c r="A36" s="64"/>
      <c r="B36" s="394"/>
      <c r="C36" s="394"/>
      <c r="D36" s="394"/>
      <c r="E36" s="394"/>
      <c r="F36" s="394"/>
      <c r="G36" s="394"/>
      <c r="H36" s="394"/>
      <c r="I36" s="394"/>
      <c r="J36" s="394"/>
      <c r="K36" s="227"/>
      <c r="L36" s="227"/>
      <c r="M36" s="227"/>
      <c r="N36" s="291"/>
    </row>
    <row r="37" spans="1:14" x14ac:dyDescent="0.25">
      <c r="A37" s="412" t="s">
        <v>3745</v>
      </c>
      <c r="B37" s="394"/>
      <c r="C37" s="394"/>
      <c r="D37" s="394"/>
      <c r="E37" s="394"/>
      <c r="F37" s="394"/>
      <c r="G37" s="394"/>
      <c r="H37" s="394"/>
      <c r="I37" s="394"/>
      <c r="J37" s="394"/>
      <c r="K37" s="227"/>
      <c r="L37" s="227"/>
      <c r="M37" s="227"/>
      <c r="N37" s="291"/>
    </row>
    <row r="38" spans="1:14" ht="15.75" thickBot="1" x14ac:dyDescent="0.3">
      <c r="A38" s="412" t="s">
        <v>3746</v>
      </c>
      <c r="B38" s="394"/>
      <c r="C38" s="394"/>
      <c r="D38" s="394"/>
      <c r="E38" s="394"/>
      <c r="F38" s="394"/>
      <c r="G38" s="394"/>
      <c r="H38" s="394"/>
      <c r="I38" s="394"/>
      <c r="J38" s="394"/>
      <c r="K38" s="227"/>
      <c r="L38" s="227"/>
      <c r="M38" s="227"/>
      <c r="N38" s="291"/>
    </row>
    <row r="39" spans="1:14" ht="19.5" thickBot="1" x14ac:dyDescent="0.35">
      <c r="A39" s="413"/>
      <c r="B39" s="64"/>
      <c r="C39" s="821" t="str">
        <f>IF('S. Setup'!$J$65="no","IGNORING Re-balancing +/- Cash between S1 &amp; S2","USING Rebalancing +/- Cash between S1 &amp; S2")</f>
        <v>USING Rebalancing +/- Cash between S1 &amp; S2</v>
      </c>
      <c r="D39" s="816"/>
      <c r="E39" s="816"/>
      <c r="F39" s="816"/>
      <c r="G39" s="816"/>
      <c r="H39" s="816"/>
      <c r="I39" s="816"/>
      <c r="J39" s="817"/>
      <c r="K39" s="227"/>
      <c r="N39" s="291"/>
    </row>
    <row r="40" spans="1:14" x14ac:dyDescent="0.25">
      <c r="A40" s="413"/>
      <c r="C40" s="896" t="s">
        <v>274</v>
      </c>
      <c r="E40" s="109"/>
      <c r="F40" s="109"/>
      <c r="G40" s="109"/>
      <c r="H40" s="109"/>
      <c r="I40" s="109"/>
      <c r="J40" s="1025" t="s">
        <v>611</v>
      </c>
      <c r="K40" s="227"/>
      <c r="M40" s="227"/>
      <c r="N40" s="291"/>
    </row>
    <row r="41" spans="1:14" ht="15.75" thickBot="1" x14ac:dyDescent="0.3">
      <c r="A41" s="413"/>
      <c r="C41" s="165"/>
      <c r="E41" s="109"/>
      <c r="F41" s="109"/>
      <c r="G41" s="109"/>
      <c r="H41" s="109"/>
      <c r="I41" s="109"/>
      <c r="J41" s="1025"/>
      <c r="K41" s="227"/>
      <c r="M41" s="227"/>
      <c r="N41" s="291"/>
    </row>
    <row r="42" spans="1:14" ht="19.5" thickBot="1" x14ac:dyDescent="0.35">
      <c r="A42" s="1571" t="s">
        <v>1263</v>
      </c>
      <c r="B42" s="1572"/>
      <c r="C42" s="1573"/>
      <c r="D42" s="1573"/>
      <c r="E42" s="1572"/>
      <c r="F42" s="1572"/>
      <c r="G42" s="1572"/>
      <c r="H42" s="1572"/>
      <c r="I42" s="1572"/>
      <c r="J42" s="1572"/>
      <c r="K42" s="1575"/>
      <c r="L42" s="1577"/>
      <c r="M42" s="1578"/>
      <c r="N42" s="1579"/>
    </row>
    <row r="43" spans="1:14" ht="19.5" thickBot="1" x14ac:dyDescent="0.35">
      <c r="A43" s="230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</row>
    <row r="44" spans="1:14" ht="19.5" thickTop="1" x14ac:dyDescent="0.3">
      <c r="A44" s="1340" t="s">
        <v>278</v>
      </c>
      <c r="B44" s="1341"/>
      <c r="C44" s="1341"/>
      <c r="D44" s="1341"/>
      <c r="E44" s="1341"/>
      <c r="F44" s="1341"/>
      <c r="G44" s="1341"/>
      <c r="H44" s="1341"/>
      <c r="I44" s="1341"/>
      <c r="J44" s="1341"/>
      <c r="K44" s="1341"/>
      <c r="L44" s="1341"/>
      <c r="M44" s="1341"/>
      <c r="N44" s="1342"/>
    </row>
    <row r="45" spans="1:14" x14ac:dyDescent="0.25">
      <c r="A45" s="1296" t="s">
        <v>2791</v>
      </c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1311"/>
    </row>
    <row r="46" spans="1:14" x14ac:dyDescent="0.25">
      <c r="A46" s="1296"/>
      <c r="B46" s="6" t="s">
        <v>1554</v>
      </c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1311"/>
    </row>
    <row r="47" spans="1:14" x14ac:dyDescent="0.25">
      <c r="A47" s="1296"/>
      <c r="B47" s="6" t="s">
        <v>1143</v>
      </c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1311"/>
    </row>
    <row r="48" spans="1:14" x14ac:dyDescent="0.25">
      <c r="A48" s="67"/>
      <c r="N48" s="1311"/>
    </row>
    <row r="49" spans="1:20" x14ac:dyDescent="0.25">
      <c r="A49" s="1416" t="s">
        <v>3750</v>
      </c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1311"/>
    </row>
    <row r="50" spans="1:20" ht="15.75" thickBot="1" x14ac:dyDescent="0.3">
      <c r="A50" s="324"/>
      <c r="B50" s="1314"/>
      <c r="C50" s="1314"/>
      <c r="D50" s="1314"/>
      <c r="E50" s="1314"/>
      <c r="F50" s="1314"/>
      <c r="G50" s="1314"/>
      <c r="H50" s="1314"/>
      <c r="I50" s="1314"/>
      <c r="J50" s="1314"/>
      <c r="K50" s="1314"/>
      <c r="L50" s="1314"/>
      <c r="M50" s="1314"/>
      <c r="N50" s="1315"/>
    </row>
    <row r="51" spans="1:20" s="442" customFormat="1" ht="78.75" thickTop="1" thickBot="1" x14ac:dyDescent="0.3">
      <c r="A51" s="768" t="s">
        <v>142</v>
      </c>
      <c r="B51" s="769" t="s">
        <v>143</v>
      </c>
      <c r="C51" s="770" t="s">
        <v>701</v>
      </c>
      <c r="D51" s="770" t="s">
        <v>702</v>
      </c>
      <c r="E51" s="771" t="s">
        <v>560</v>
      </c>
      <c r="F51" s="771" t="s">
        <v>561</v>
      </c>
      <c r="G51" s="772" t="s">
        <v>645</v>
      </c>
      <c r="H51" s="772" t="s">
        <v>703</v>
      </c>
      <c r="I51" s="773" t="s">
        <v>564</v>
      </c>
      <c r="J51" s="773" t="s">
        <v>565</v>
      </c>
      <c r="K51" s="773" t="s">
        <v>562</v>
      </c>
      <c r="L51" s="773" t="s">
        <v>563</v>
      </c>
      <c r="M51" s="774" t="str">
        <f>"Adjusted Cash S1 is " &amp;IF('S. Setup'!$J$65="yes","rebalanced","unrebalanced")&amp;" (I+W-E-T)"</f>
        <v>Adjusted Cash S1 is rebalanced (I+W-E-T)</v>
      </c>
      <c r="N51" s="775" t="str">
        <f>"Adjusted Cash S2 is " &amp;IF('S. Setup'!$J$65="yes","rebalanced","unrebalanced")&amp;" (I+W-E-T)"</f>
        <v>Adjusted Cash S2 is rebalanced (I+W-E-T)</v>
      </c>
    </row>
    <row r="52" spans="1:20" s="306" customFormat="1" ht="12.75" thickTop="1" x14ac:dyDescent="0.2">
      <c r="A52" s="307">
        <f>'1. AgeData'!$D$30</f>
        <v>60</v>
      </c>
      <c r="B52" s="316">
        <f>'1. AgeData'!$D$31</f>
        <v>55</v>
      </c>
      <c r="C52" s="437">
        <f>'R. Results'!$I848</f>
        <v>55500</v>
      </c>
      <c r="D52" s="438">
        <f>'R. Results'!$J848</f>
        <v>45500</v>
      </c>
      <c r="E52" s="361">
        <f>-'R. Results'!$G848</f>
        <v>7477</v>
      </c>
      <c r="F52" s="422">
        <f>-'R. Results'!$H848</f>
        <v>-1000</v>
      </c>
      <c r="G52" s="437">
        <f>'R. Results'!$G930</f>
        <v>48500</v>
      </c>
      <c r="H52" s="439">
        <f>'R. Results'!$H930</f>
        <v>37500</v>
      </c>
      <c r="I52" s="520">
        <f t="shared" ref="I52:I88" si="0">C52+E52-G52</f>
        <v>14477</v>
      </c>
      <c r="J52" s="803">
        <f t="shared" ref="J52:J88" si="1">D52+F52-H52</f>
        <v>7000</v>
      </c>
      <c r="K52" s="516">
        <f>I52- ('2. TaxData'!$K226/2)</f>
        <v>4753.75</v>
      </c>
      <c r="L52" s="517">
        <f>J52- ('2. TaxData'!$K226/2)</f>
        <v>-2723.25</v>
      </c>
      <c r="M52" s="520">
        <f>IF('S. Setup'!$J$65="yes",IF(OR(K52&lt;0,L52&lt;0),(K52+L52)/2,K52),K52)</f>
        <v>1015.25</v>
      </c>
      <c r="N52" s="521">
        <f>IF('S. Setup'!$J$65="yes",IF(OR(K52&lt;0,L52&lt;0),(K52+L52)/2,L52),L52)</f>
        <v>1015.25</v>
      </c>
      <c r="P52" s="1130"/>
      <c r="Q52" s="557"/>
      <c r="R52" s="557"/>
      <c r="S52" s="557"/>
      <c r="T52" s="557"/>
    </row>
    <row r="53" spans="1:20" s="306" customFormat="1" ht="12" x14ac:dyDescent="0.2">
      <c r="A53" s="307">
        <f t="shared" ref="A53:A88" si="2">A52+1</f>
        <v>61</v>
      </c>
      <c r="B53" s="316">
        <f t="shared" ref="B53:B88" si="3">B52+1</f>
        <v>56</v>
      </c>
      <c r="C53" s="437">
        <f>'R. Results'!$I849</f>
        <v>56610</v>
      </c>
      <c r="D53" s="438">
        <f>'R. Results'!$J849</f>
        <v>46209.999999999993</v>
      </c>
      <c r="E53" s="361">
        <f>-'R. Results'!$G849</f>
        <v>17463.834999999999</v>
      </c>
      <c r="F53" s="422">
        <f>-'R. Results'!$H849</f>
        <v>12740.25</v>
      </c>
      <c r="G53" s="437">
        <f>'R. Results'!$G931</f>
        <v>57218.68</v>
      </c>
      <c r="H53" s="439">
        <f>'R. Results'!$H931</f>
        <v>55960</v>
      </c>
      <c r="I53" s="520">
        <f t="shared" si="0"/>
        <v>16855.154999999992</v>
      </c>
      <c r="J53" s="803">
        <f t="shared" ref="J53:J70" si="4">D53+F53-H53</f>
        <v>2990.2499999999927</v>
      </c>
      <c r="K53" s="516">
        <f>I53- ('2. TaxData'!$K227/2)</f>
        <v>7182.6944411764634</v>
      </c>
      <c r="L53" s="517">
        <f>J53- ('2. TaxData'!$K227/2)</f>
        <v>-6682.2105588235354</v>
      </c>
      <c r="M53" s="520">
        <f>IF('S. Setup'!$J$65="yes",IF(OR(K53&lt;0,L53&lt;0),(K53+L53)/2,K53),K53)</f>
        <v>250.24194117646402</v>
      </c>
      <c r="N53" s="521">
        <f>IF('S. Setup'!$J$65="yes",IF(OR(K53&lt;0,L53&lt;0),(K53+L53)/2,L53),L53)</f>
        <v>250.24194117646402</v>
      </c>
      <c r="P53" s="1130"/>
      <c r="Q53" s="557"/>
      <c r="R53" s="1130"/>
      <c r="S53" s="557"/>
      <c r="T53" s="557"/>
    </row>
    <row r="54" spans="1:20" s="306" customFormat="1" ht="12" x14ac:dyDescent="0.2">
      <c r="A54" s="307">
        <f t="shared" si="2"/>
        <v>62</v>
      </c>
      <c r="B54" s="318">
        <f t="shared" si="3"/>
        <v>57</v>
      </c>
      <c r="C54" s="437">
        <f>'R. Results'!$I850</f>
        <v>57742.2</v>
      </c>
      <c r="D54" s="438">
        <f>'R. Results'!$J850</f>
        <v>46931.199999999983</v>
      </c>
      <c r="E54" s="361">
        <f>-'R. Results'!$G850</f>
        <v>13979.482324999999</v>
      </c>
      <c r="F54" s="422">
        <f>-'R. Results'!$H850</f>
        <v>11943.627974999999</v>
      </c>
      <c r="G54" s="437">
        <f>'R. Results'!$G932</f>
        <v>58395.76</v>
      </c>
      <c r="H54" s="439">
        <f>'R. Results'!$H932</f>
        <v>54858.399999999994</v>
      </c>
      <c r="I54" s="520">
        <f t="shared" si="0"/>
        <v>13325.922325</v>
      </c>
      <c r="J54" s="803">
        <f t="shared" si="4"/>
        <v>4016.4279749999841</v>
      </c>
      <c r="K54" s="516">
        <f>I54- ('2. TaxData'!$K228/2)</f>
        <v>3711.4408422234519</v>
      </c>
      <c r="L54" s="517">
        <f>J54- ('2. TaxData'!$K228/2)</f>
        <v>-5598.0535077765635</v>
      </c>
      <c r="M54" s="520">
        <f>IF('S. Setup'!$J$65="yes",IF(OR(K54&lt;0,L54&lt;0),(K54+L54)/2,K54),K54)</f>
        <v>-943.30633277655579</v>
      </c>
      <c r="N54" s="521">
        <f>IF('S. Setup'!$J$65="yes",IF(OR(K54&lt;0,L54&lt;0),(K54+L54)/2,L54),L54)</f>
        <v>-943.30633277655579</v>
      </c>
      <c r="P54" s="1130"/>
      <c r="Q54" s="557"/>
      <c r="R54" s="557"/>
      <c r="S54" s="557"/>
      <c r="T54" s="557"/>
    </row>
    <row r="55" spans="1:20" s="306" customFormat="1" ht="12" x14ac:dyDescent="0.2">
      <c r="A55" s="319">
        <f t="shared" si="2"/>
        <v>63</v>
      </c>
      <c r="B55" s="316">
        <f t="shared" si="3"/>
        <v>58</v>
      </c>
      <c r="C55" s="437">
        <f>'R. Results'!$I851</f>
        <v>46439.648999999983</v>
      </c>
      <c r="D55" s="438">
        <f>'R. Results'!$J851</f>
        <v>21521.819624999993</v>
      </c>
      <c r="E55" s="361">
        <f>-'R. Results'!$G851</f>
        <v>33224.522759874999</v>
      </c>
      <c r="F55" s="422">
        <f>-'R. Results'!$H851</f>
        <v>30398.440404302499</v>
      </c>
      <c r="G55" s="437">
        <f>'R. Results'!$G933</f>
        <v>75978.51999999999</v>
      </c>
      <c r="H55" s="439">
        <f>'R. Results'!$H933</f>
        <v>73856.103999999992</v>
      </c>
      <c r="I55" s="520">
        <f t="shared" si="0"/>
        <v>3685.6517598749924</v>
      </c>
      <c r="J55" s="803">
        <f t="shared" si="4"/>
        <v>-21935.843970697504</v>
      </c>
      <c r="K55" s="516">
        <f>I55- ('2. TaxData'!$K229/2)</f>
        <v>-1448.3488610913755</v>
      </c>
      <c r="L55" s="517">
        <f>J55- ('2. TaxData'!$K229/2)</f>
        <v>-27069.844591663874</v>
      </c>
      <c r="M55" s="520">
        <f>IF('S. Setup'!$J$65="yes",IF(OR(K55&lt;0,L55&lt;0),(K55+L55)/2,K55),K55)</f>
        <v>-14259.096726377626</v>
      </c>
      <c r="N55" s="521">
        <f>IF('S. Setup'!$J$65="yes",IF(OR(K55&lt;0,L55&lt;0),(K55+L55)/2,L55),L55)</f>
        <v>-14259.096726377626</v>
      </c>
      <c r="P55" s="1130"/>
      <c r="Q55" s="557"/>
      <c r="R55" s="557"/>
      <c r="S55" s="557"/>
      <c r="T55" s="557"/>
    </row>
    <row r="56" spans="1:20" s="306" customFormat="1" ht="12" x14ac:dyDescent="0.2">
      <c r="A56" s="307">
        <f t="shared" si="2"/>
        <v>64</v>
      </c>
      <c r="B56" s="316">
        <f t="shared" si="3"/>
        <v>59</v>
      </c>
      <c r="C56" s="437">
        <f>'R. Results'!$I852</f>
        <v>46759.396904999972</v>
      </c>
      <c r="D56" s="438">
        <f>'R. Results'!$J852</f>
        <v>21873.830139374993</v>
      </c>
      <c r="E56" s="361">
        <f>-'R. Results'!$G852</f>
        <v>36131.541713273131</v>
      </c>
      <c r="F56" s="422">
        <f>-'R. Results'!$H852</f>
        <v>33413.983902631961</v>
      </c>
      <c r="G56" s="437">
        <f>'R. Results'!$G934</f>
        <v>77358.090400000001</v>
      </c>
      <c r="H56" s="439">
        <f>'R. Results'!$H934</f>
        <v>76816.874320000003</v>
      </c>
      <c r="I56" s="520">
        <f t="shared" si="0"/>
        <v>5532.848218273095</v>
      </c>
      <c r="J56" s="803">
        <f t="shared" si="4"/>
        <v>-21529.060277993049</v>
      </c>
      <c r="K56" s="516">
        <f>I56- ('2. TaxData'!$K230/2)</f>
        <v>564.41636619895144</v>
      </c>
      <c r="L56" s="517">
        <f>J56- ('2. TaxData'!$K230/2)</f>
        <v>-26497.492130067192</v>
      </c>
      <c r="M56" s="520">
        <f>IF('S. Setup'!$J$65="yes",IF(OR(K56&lt;0,L56&lt;0),(K56+L56)/2,K56),K56)</f>
        <v>-12966.53788193412</v>
      </c>
      <c r="N56" s="521">
        <f>IF('S. Setup'!$J$65="yes",IF(OR(K56&lt;0,L56&lt;0),(K56+L56)/2,L56),L56)</f>
        <v>-12966.53788193412</v>
      </c>
      <c r="P56" s="1130"/>
      <c r="Q56" s="557"/>
      <c r="R56" s="557"/>
      <c r="S56" s="557"/>
      <c r="T56" s="557"/>
    </row>
    <row r="57" spans="1:20" s="306" customFormat="1" ht="12" x14ac:dyDescent="0.2">
      <c r="A57" s="307">
        <f t="shared" si="2"/>
        <v>65</v>
      </c>
      <c r="B57" s="316">
        <f t="shared" si="3"/>
        <v>60</v>
      </c>
      <c r="C57" s="437">
        <f>'R. Results'!$I853</f>
        <v>47082.494542724962</v>
      </c>
      <c r="D57" s="438">
        <f>'R. Results'!$J853</f>
        <v>22231.704475865612</v>
      </c>
      <c r="E57" s="361">
        <f>-'R. Results'!$G853</f>
        <v>21126.373654399998</v>
      </c>
      <c r="F57" s="422">
        <f>-'R. Results'!$H853</f>
        <v>19518.52962765058</v>
      </c>
      <c r="G57" s="437">
        <f>'R. Results'!$G935</f>
        <v>59995.8785536</v>
      </c>
      <c r="H57" s="439">
        <f>'R. Results'!$H935</f>
        <v>57787.716947199995</v>
      </c>
      <c r="I57" s="520">
        <f t="shared" si="0"/>
        <v>8212.9896435249611</v>
      </c>
      <c r="J57" s="803">
        <f t="shared" si="4"/>
        <v>-16037.4828436838</v>
      </c>
      <c r="K57" s="516">
        <f>I57- ('2. TaxData'!$K231/2)</f>
        <v>3404.4358468443206</v>
      </c>
      <c r="L57" s="517">
        <f>J57- ('2. TaxData'!$K231/2)</f>
        <v>-20846.03664036444</v>
      </c>
      <c r="M57" s="520">
        <f>IF('S. Setup'!$J$65="yes",IF(OR(K57&lt;0,L57&lt;0),(K57+L57)/2,K57),K57)</f>
        <v>-8720.8003967600598</v>
      </c>
      <c r="N57" s="521">
        <f>IF('S. Setup'!$J$65="yes",IF(OR(K57&lt;0,L57&lt;0),(K57+L57)/2,L57),L57)</f>
        <v>-8720.8003967600598</v>
      </c>
      <c r="P57" s="1130"/>
      <c r="Q57" s="557"/>
      <c r="R57" s="557"/>
      <c r="S57" s="557"/>
      <c r="T57" s="557"/>
    </row>
    <row r="58" spans="1:20" s="306" customFormat="1" ht="12" x14ac:dyDescent="0.2">
      <c r="A58" s="307">
        <f t="shared" si="2"/>
        <v>66</v>
      </c>
      <c r="B58" s="316">
        <f t="shared" si="3"/>
        <v>61</v>
      </c>
      <c r="C58" s="437">
        <f>'R. Results'!$I854</f>
        <v>78199.191085638391</v>
      </c>
      <c r="D58" s="438">
        <f>'R. Results'!$J854</f>
        <v>50385.739669027404</v>
      </c>
      <c r="E58" s="361">
        <f>-'R. Results'!$G854</f>
        <v>27006.410804544001</v>
      </c>
      <c r="F58" s="422">
        <f>-'R. Results'!$H854</f>
        <v>24825.819537596708</v>
      </c>
      <c r="G58" s="437">
        <f>'R. Results'!$G936</f>
        <v>61055.796124672008</v>
      </c>
      <c r="H58" s="439">
        <f>'R. Results'!$H936</f>
        <v>58803.471286144006</v>
      </c>
      <c r="I58" s="520">
        <f t="shared" si="0"/>
        <v>44149.805765510377</v>
      </c>
      <c r="J58" s="803">
        <f t="shared" si="4"/>
        <v>16408.087920480102</v>
      </c>
      <c r="K58" s="516">
        <f>I58- ('2. TaxData'!$K232/2)</f>
        <v>32929.659013036828</v>
      </c>
      <c r="L58" s="517">
        <f>J58- ('2. TaxData'!$K232/2)</f>
        <v>5187.9411680065514</v>
      </c>
      <c r="M58" s="520">
        <f>IF('S. Setup'!$J$65="yes",IF(OR(K58&lt;0,L58&lt;0),(K58+L58)/2,K58),K58)</f>
        <v>32929.659013036828</v>
      </c>
      <c r="N58" s="521">
        <f>IF('S. Setup'!$J$65="yes",IF(OR(K58&lt;0,L58&lt;0),(K58+L58)/2,L58),L58)</f>
        <v>5187.9411680065514</v>
      </c>
      <c r="P58" s="1130"/>
      <c r="Q58" s="557"/>
      <c r="R58" s="557"/>
      <c r="S58" s="1130"/>
      <c r="T58" s="557"/>
    </row>
    <row r="59" spans="1:20" s="306" customFormat="1" ht="12" x14ac:dyDescent="0.2">
      <c r="A59" s="307">
        <f t="shared" si="2"/>
        <v>67</v>
      </c>
      <c r="B59" s="316">
        <f t="shared" si="3"/>
        <v>62</v>
      </c>
      <c r="C59" s="437">
        <f>'R. Results'!$I855</f>
        <v>79144.948401714893</v>
      </c>
      <c r="D59" s="438">
        <f>'R. Results'!$J855</f>
        <v>51311.446217612247</v>
      </c>
      <c r="E59" s="361">
        <f>-'R. Results'!$G855</f>
        <v>11642.257714739118</v>
      </c>
      <c r="F59" s="422">
        <f>-'R. Results'!$H855</f>
        <v>2997.3723668159564</v>
      </c>
      <c r="G59" s="437">
        <f>'R. Results'!$G937</f>
        <v>42609.255697127672</v>
      </c>
      <c r="H59" s="439">
        <f>'R. Results'!$H937</f>
        <v>40311.884361829114</v>
      </c>
      <c r="I59" s="520">
        <f t="shared" si="0"/>
        <v>48177.950419326335</v>
      </c>
      <c r="J59" s="803">
        <f t="shared" si="4"/>
        <v>13996.934222599091</v>
      </c>
      <c r="K59" s="516">
        <f>I59- ('2. TaxData'!$K233/2)</f>
        <v>36947.833010506234</v>
      </c>
      <c r="L59" s="517">
        <f>J59- ('2. TaxData'!$K233/2)</f>
        <v>2766.8168137789908</v>
      </c>
      <c r="M59" s="520">
        <f>IF('S. Setup'!$J$65="yes",IF(OR(K59&lt;0,L59&lt;0),(K59+L59)/2,K59),K59)</f>
        <v>36947.833010506234</v>
      </c>
      <c r="N59" s="521">
        <f>IF('S. Setup'!$J$65="yes",IF(OR(K59&lt;0,L59&lt;0),(K59+L59)/2,L59),L59)</f>
        <v>2766.8168137789908</v>
      </c>
      <c r="P59" s="321"/>
      <c r="Q59" s="321"/>
      <c r="R59" s="321"/>
      <c r="S59" s="321"/>
      <c r="T59" s="321"/>
    </row>
    <row r="60" spans="1:20" s="306" customFormat="1" x14ac:dyDescent="0.25">
      <c r="A60" s="307">
        <f t="shared" si="2"/>
        <v>68</v>
      </c>
      <c r="B60" s="316">
        <f t="shared" si="3"/>
        <v>63</v>
      </c>
      <c r="C60" s="437">
        <f>'R. Results'!$I856</f>
        <v>80106.529731584742</v>
      </c>
      <c r="D60" s="438">
        <f>'R. Results'!$J856</f>
        <v>52254.436773496869</v>
      </c>
      <c r="E60" s="361">
        <f>-'R. Results'!$G856</f>
        <v>8534.4317793242735</v>
      </c>
      <c r="F60" s="422">
        <f>-'R. Results'!$H856</f>
        <v>1413.2692196370385</v>
      </c>
      <c r="G60" s="437">
        <f>'R. Results'!$G938</f>
        <v>43321.440811070228</v>
      </c>
      <c r="H60" s="439">
        <f>'R. Results'!$H938</f>
        <v>42735.611120569098</v>
      </c>
      <c r="I60" s="520">
        <f t="shared" si="0"/>
        <v>45319.520699838795</v>
      </c>
      <c r="J60" s="803">
        <f t="shared" si="4"/>
        <v>10932.094872564812</v>
      </c>
      <c r="K60" s="516">
        <f>I60- ('2. TaxData'!$K234/2)</f>
        <v>34081.368374374404</v>
      </c>
      <c r="L60" s="517">
        <f>J60- ('2. TaxData'!$K234/2)</f>
        <v>-306.05745289957667</v>
      </c>
      <c r="M60" s="520">
        <f>IF('S. Setup'!$J$65="yes",IF(OR(K60&lt;0,L60&lt;0),(K60+L60)/2,K60),K60)</f>
        <v>16887.655460737413</v>
      </c>
      <c r="N60" s="521">
        <f>IF('S. Setup'!$J$65="yes",IF(OR(K60&lt;0,L60&lt;0),(K60+L60)/2,L60),L60)</f>
        <v>16887.655460737413</v>
      </c>
      <c r="P60" s="31"/>
      <c r="Q60" s="6"/>
      <c r="R60" s="316"/>
      <c r="S60" s="316"/>
      <c r="T60" s="316"/>
    </row>
    <row r="61" spans="1:20" s="306" customFormat="1" ht="12" x14ac:dyDescent="0.2">
      <c r="A61" s="307">
        <f t="shared" si="2"/>
        <v>69</v>
      </c>
      <c r="B61" s="316">
        <f t="shared" si="3"/>
        <v>64</v>
      </c>
      <c r="C61" s="437">
        <f>'R. Results'!$I857</f>
        <v>91495.882557698758</v>
      </c>
      <c r="D61" s="438">
        <f>'R. Results'!$J857</f>
        <v>63626.685022809717</v>
      </c>
      <c r="E61" s="361">
        <f>-'R. Results'!$G857</f>
        <v>5207.4484077425022</v>
      </c>
      <c r="F61" s="422">
        <f>-'R. Results'!$H857</f>
        <v>4621.8703816345169</v>
      </c>
      <c r="G61" s="437">
        <f>'R. Results'!$G939</f>
        <v>44047.869627291635</v>
      </c>
      <c r="H61" s="439">
        <f>'R. Results'!$H939</f>
        <v>48828.239901780878</v>
      </c>
      <c r="I61" s="520">
        <f t="shared" si="0"/>
        <v>52655.461338149624</v>
      </c>
      <c r="J61" s="803">
        <f t="shared" si="4"/>
        <v>19420.315502663361</v>
      </c>
      <c r="K61" s="516">
        <f>I61- ('2. TaxData'!$K235/2)</f>
        <v>38807.954695237131</v>
      </c>
      <c r="L61" s="517">
        <f>J61- ('2. TaxData'!$K235/2)</f>
        <v>5572.8088597508649</v>
      </c>
      <c r="M61" s="520">
        <f>IF('S. Setup'!$J$65="yes",IF(OR(K61&lt;0,L61&lt;0),(K61+L61)/2,K61),K61)</f>
        <v>38807.954695237131</v>
      </c>
      <c r="N61" s="521">
        <f>IF('S. Setup'!$J$65="yes",IF(OR(K61&lt;0,L61&lt;0),(K61+L61)/2,L61),L61)</f>
        <v>5572.8088597508649</v>
      </c>
      <c r="P61" s="31"/>
      <c r="Q61" s="316"/>
      <c r="R61" s="316"/>
      <c r="S61" s="316"/>
      <c r="T61" s="316"/>
    </row>
    <row r="62" spans="1:20" s="306" customFormat="1" ht="12" x14ac:dyDescent="0.2">
      <c r="A62" s="320">
        <f t="shared" si="2"/>
        <v>70</v>
      </c>
      <c r="B62" s="318">
        <f t="shared" si="3"/>
        <v>65</v>
      </c>
      <c r="C62" s="437">
        <f>'R. Results'!$I858</f>
        <v>92698.25386136568</v>
      </c>
      <c r="D62" s="438">
        <f>'R. Results'!$J858</f>
        <v>68313.464475111352</v>
      </c>
      <c r="E62" s="361">
        <f>-'R. Results'!$G858</f>
        <v>26300.729236543801</v>
      </c>
      <c r="F62" s="422">
        <f>-'R. Results'!$H858</f>
        <v>6911.7199568564884</v>
      </c>
      <c r="G62" s="437">
        <f>'R. Results'!$G940</f>
        <v>49421.005815817553</v>
      </c>
      <c r="H62" s="439">
        <f>'R. Results'!$H940</f>
        <v>54540.782379795521</v>
      </c>
      <c r="I62" s="520">
        <f t="shared" si="0"/>
        <v>69577.977282091932</v>
      </c>
      <c r="J62" s="803">
        <f t="shared" si="4"/>
        <v>20684.402052172314</v>
      </c>
      <c r="K62" s="516">
        <f>I62- ('2. TaxData'!$K236/2)</f>
        <v>55278.320600512903</v>
      </c>
      <c r="L62" s="517">
        <f>J62- ('2. TaxData'!$K236/2)</f>
        <v>6384.7453705932821</v>
      </c>
      <c r="M62" s="520">
        <f>IF('S. Setup'!$J$65="yes",IF(OR(K62&lt;0,L62&lt;0),(K62+L62)/2,K62),K62)</f>
        <v>55278.320600512903</v>
      </c>
      <c r="N62" s="521">
        <f>IF('S. Setup'!$J$65="yes",IF(OR(K62&lt;0,L62&lt;0),(K62+L62)/2,L62),L62)</f>
        <v>6384.7453705932821</v>
      </c>
      <c r="P62" s="316"/>
      <c r="Q62" s="31"/>
      <c r="R62" s="316"/>
      <c r="S62" s="316"/>
      <c r="T62" s="316"/>
    </row>
    <row r="63" spans="1:20" s="306" customFormat="1" ht="12" x14ac:dyDescent="0.2">
      <c r="A63" s="307">
        <f t="shared" si="2"/>
        <v>71</v>
      </c>
      <c r="B63" s="316">
        <f t="shared" si="3"/>
        <v>66</v>
      </c>
      <c r="C63" s="437">
        <f>'R. Results'!$I859</f>
        <v>93921.534859368519</v>
      </c>
      <c r="D63" s="438">
        <f>'R. Results'!$J859</f>
        <v>69522.693202736671</v>
      </c>
      <c r="E63" s="361">
        <f>-'R. Results'!$G859</f>
        <v>61737.669422212515</v>
      </c>
      <c r="F63" s="422">
        <f>-'R. Results'!$H859</f>
        <v>7571.438516374028</v>
      </c>
      <c r="G63" s="437">
        <f>'R. Results'!$G941</f>
        <v>80110.409333605538</v>
      </c>
      <c r="H63" s="439">
        <f>'R. Results'!$H941</f>
        <v>47409.665022826186</v>
      </c>
      <c r="I63" s="520">
        <f t="shared" si="0"/>
        <v>75548.794947975504</v>
      </c>
      <c r="J63" s="803">
        <f t="shared" si="4"/>
        <v>29684.466696284508</v>
      </c>
      <c r="K63" s="516">
        <f>I63- ('2. TaxData'!$K237/2)</f>
        <v>61180.395681853865</v>
      </c>
      <c r="L63" s="517">
        <f>J63- ('2. TaxData'!$K237/2)</f>
        <v>15316.067430162868</v>
      </c>
      <c r="M63" s="520">
        <f>IF('S. Setup'!$J$65="yes",IF(OR(K63&lt;0,L63&lt;0),(K63+L63)/2,K63),K63)</f>
        <v>61180.395681853865</v>
      </c>
      <c r="N63" s="521">
        <f>IF('S. Setup'!$J$65="yes",IF(OR(K63&lt;0,L63&lt;0),(K63+L63)/2,L63),L63)</f>
        <v>15316.067430162868</v>
      </c>
    </row>
    <row r="64" spans="1:20" s="306" customFormat="1" ht="12" x14ac:dyDescent="0.2">
      <c r="A64" s="320">
        <f t="shared" si="2"/>
        <v>72</v>
      </c>
      <c r="B64" s="321">
        <f t="shared" si="3"/>
        <v>67</v>
      </c>
      <c r="C64" s="437">
        <f>'R. Results'!$I860</f>
        <v>95166.128056935282</v>
      </c>
      <c r="D64" s="438">
        <f>'R. Results'!$J860</f>
        <v>52820.528324563376</v>
      </c>
      <c r="E64" s="361">
        <f>-'R. Results'!$G860</f>
        <v>30047.023454974016</v>
      </c>
      <c r="F64" s="422">
        <f>-'R. Results'!$H860</f>
        <v>6513.8251985316538</v>
      </c>
      <c r="G64" s="437">
        <f>'R. Results'!$G942</f>
        <v>51134.814450776576</v>
      </c>
      <c r="H64" s="439">
        <f>'R. Results'!$H942</f>
        <v>50120.221015126539</v>
      </c>
      <c r="I64" s="520">
        <f t="shared" si="0"/>
        <v>74078.337061132712</v>
      </c>
      <c r="J64" s="803">
        <f t="shared" si="4"/>
        <v>9214.1325079684902</v>
      </c>
      <c r="K64" s="516">
        <f>I64- ('2. TaxData'!$K238/2)</f>
        <v>61710.717301711818</v>
      </c>
      <c r="L64" s="517">
        <f>J64- ('2. TaxData'!$K238/2)</f>
        <v>-3153.4872514524068</v>
      </c>
      <c r="M64" s="520">
        <f>IF('S. Setup'!$J$65="yes",IF(OR(K64&lt;0,L64&lt;0),(K64+L64)/2,K64),K64)</f>
        <v>29278.615025129708</v>
      </c>
      <c r="N64" s="521">
        <f>IF('S. Setup'!$J$65="yes",IF(OR(K64&lt;0,L64&lt;0),(K64+L64)/2,L64),L64)</f>
        <v>29278.615025129708</v>
      </c>
    </row>
    <row r="65" spans="1:14" s="306" customFormat="1" ht="12" x14ac:dyDescent="0.2">
      <c r="A65" s="307">
        <f t="shared" si="2"/>
        <v>73</v>
      </c>
      <c r="B65" s="316">
        <f t="shared" si="3"/>
        <v>68</v>
      </c>
      <c r="C65" s="437">
        <f>'R. Results'!$I861</f>
        <v>96432.443930955284</v>
      </c>
      <c r="D65" s="438">
        <f>'R. Results'!$J861</f>
        <v>53806.93889105464</v>
      </c>
      <c r="E65" s="361">
        <f>-'R. Results'!$G861</f>
        <v>18155.184987989913</v>
      </c>
      <c r="F65" s="422">
        <f>-'R. Results'!$H861</f>
        <v>413.77573768704133</v>
      </c>
      <c r="G65" s="437">
        <f>'R. Results'!$G943</f>
        <v>39081.444435254147</v>
      </c>
      <c r="H65" s="439">
        <f>'R. Results'!$H943</f>
        <v>44514.592283160084</v>
      </c>
      <c r="I65" s="520">
        <f t="shared" si="0"/>
        <v>75506.184483691046</v>
      </c>
      <c r="J65" s="803">
        <f t="shared" si="4"/>
        <v>9706.1223455815998</v>
      </c>
      <c r="K65" s="516">
        <f>I65- ('2. TaxData'!$K239/2)</f>
        <v>63060.623794968997</v>
      </c>
      <c r="L65" s="517">
        <f>J65- ('2. TaxData'!$K239/2)</f>
        <v>-2739.4383431404494</v>
      </c>
      <c r="M65" s="520">
        <f>IF('S. Setup'!$J$65="yes",IF(OR(K65&lt;0,L65&lt;0),(K65+L65)/2,K65),K65)</f>
        <v>30160.592725914274</v>
      </c>
      <c r="N65" s="521">
        <f>IF('S. Setup'!$J$65="yes",IF(OR(K65&lt;0,L65&lt;0),(K65+L65)/2,L65),L65)</f>
        <v>30160.592725914274</v>
      </c>
    </row>
    <row r="66" spans="1:14" s="306" customFormat="1" ht="12" x14ac:dyDescent="0.2">
      <c r="A66" s="307">
        <f t="shared" si="2"/>
        <v>74</v>
      </c>
      <c r="B66" s="316">
        <f t="shared" si="3"/>
        <v>69</v>
      </c>
      <c r="C66" s="437">
        <f>'R. Results'!$I862</f>
        <v>97720.901089020088</v>
      </c>
      <c r="D66" s="438">
        <f>'R. Results'!$J862</f>
        <v>54813.077668875732</v>
      </c>
      <c r="E66" s="361">
        <f>-'R. Results'!$G862</f>
        <v>18670.297114547724</v>
      </c>
      <c r="F66" s="422">
        <f>-'R. Results'!$H862</f>
        <v>1955.622740355707</v>
      </c>
      <c r="G66" s="437">
        <f>'R. Results'!$G944</f>
        <v>41702.291468553536</v>
      </c>
      <c r="H66" s="439">
        <f>'R. Results'!$H944</f>
        <v>45264.884128823294</v>
      </c>
      <c r="I66" s="520">
        <f t="shared" si="0"/>
        <v>74688.906735014272</v>
      </c>
      <c r="J66" s="803">
        <f t="shared" si="4"/>
        <v>11503.816280408144</v>
      </c>
      <c r="K66" s="516">
        <f>I66- ('2. TaxData'!$K240/2)</f>
        <v>62162.353777832759</v>
      </c>
      <c r="L66" s="517">
        <f>J66- ('2. TaxData'!$K240/2)</f>
        <v>-1022.7366767733729</v>
      </c>
      <c r="M66" s="520">
        <f>IF('S. Setup'!$J$65="yes",IF(OR(K66&lt;0,L66&lt;0),(K66+L66)/2,K66),K66)</f>
        <v>30569.808550529691</v>
      </c>
      <c r="N66" s="521">
        <f>IF('S. Setup'!$J$65="yes",IF(OR(K66&lt;0,L66&lt;0),(K66+L66)/2,L66),L66)</f>
        <v>30569.808550529691</v>
      </c>
    </row>
    <row r="67" spans="1:14" s="558" customFormat="1" ht="12" x14ac:dyDescent="0.2">
      <c r="A67" s="320">
        <f t="shared" si="2"/>
        <v>75</v>
      </c>
      <c r="B67" s="321">
        <f t="shared" si="3"/>
        <v>70</v>
      </c>
      <c r="C67" s="554">
        <f>'R. Results'!$I863</f>
        <v>55924.616928120173</v>
      </c>
      <c r="D67" s="555">
        <f>'R. Results'!$J863</f>
        <v>55839.339222253242</v>
      </c>
      <c r="E67" s="361">
        <f>-'R. Results'!$G863</f>
        <v>36993.436456554991</v>
      </c>
      <c r="F67" s="422">
        <f>-'R. Results'!$H863</f>
        <v>21811.217955786004</v>
      </c>
      <c r="G67" s="554">
        <f>'R. Results'!$G945</f>
        <v>141317.66016474809</v>
      </c>
      <c r="H67" s="556">
        <f>'R. Results'!$H945</f>
        <v>146970.30718570945</v>
      </c>
      <c r="I67" s="520">
        <f t="shared" si="0"/>
        <v>-48399.606780072922</v>
      </c>
      <c r="J67" s="803">
        <f t="shared" si="4"/>
        <v>-69319.750007670198</v>
      </c>
      <c r="K67" s="520">
        <f>I67- ('2. TaxData'!$K241/2)</f>
        <v>-56197.789697899752</v>
      </c>
      <c r="L67" s="557">
        <f>J67- ('2. TaxData'!$K241/2)</f>
        <v>-77117.932925497036</v>
      </c>
      <c r="M67" s="520">
        <f>IF('S. Setup'!$J$65="yes",IF(OR(K67&lt;0,L67&lt;0),(K67+L67)/2,K67),K67)</f>
        <v>-66657.861311698391</v>
      </c>
      <c r="N67" s="521">
        <f>IF('S. Setup'!$J$65="yes",IF(OR(K67&lt;0,L67&lt;0),(K67+L67)/2,L67),L67)</f>
        <v>-66657.861311698391</v>
      </c>
    </row>
    <row r="68" spans="1:14" s="306" customFormat="1" ht="12" x14ac:dyDescent="0.2">
      <c r="A68" s="307">
        <f t="shared" si="2"/>
        <v>76</v>
      </c>
      <c r="B68" s="316">
        <f t="shared" si="3"/>
        <v>71</v>
      </c>
      <c r="C68" s="437">
        <f>'R. Results'!$I864</f>
        <v>57043.109266682579</v>
      </c>
      <c r="D68" s="438">
        <f>'R. Results'!$J864</f>
        <v>56886.126006698309</v>
      </c>
      <c r="E68" s="361">
        <f>-'R. Results'!$G864</f>
        <v>12969.043238530909</v>
      </c>
      <c r="F68" s="422">
        <f>-'R. Results'!$H864</f>
        <v>7058.4187965957944</v>
      </c>
      <c r="G68" s="437">
        <f>'R. Results'!$G946</f>
        <v>36104.264043883093</v>
      </c>
      <c r="H68" s="439">
        <f>'R. Results'!$H946</f>
        <v>39810.78544762775</v>
      </c>
      <c r="I68" s="520">
        <f t="shared" si="0"/>
        <v>33907.888461330389</v>
      </c>
      <c r="J68" s="803">
        <f t="shared" si="4"/>
        <v>24133.759355666356</v>
      </c>
      <c r="K68" s="516">
        <f>I68- ('2. TaxData'!$K242/2)</f>
        <v>26563.0100768103</v>
      </c>
      <c r="L68" s="517">
        <f>J68- ('2. TaxData'!$K242/2)</f>
        <v>16788.880971146267</v>
      </c>
      <c r="M68" s="520">
        <f>IF('S. Setup'!$J$65="yes",IF(OR(K68&lt;0,L68&lt;0),(K68+L68)/2,K68),K68)</f>
        <v>26563.0100768103</v>
      </c>
      <c r="N68" s="521">
        <f>IF('S. Setup'!$J$65="yes",IF(OR(K68&lt;0,L68&lt;0),(K68+L68)/2,L68),L68)</f>
        <v>16788.880971146267</v>
      </c>
    </row>
    <row r="69" spans="1:14" s="306" customFormat="1" ht="12" x14ac:dyDescent="0.2">
      <c r="A69" s="307">
        <f t="shared" si="2"/>
        <v>77</v>
      </c>
      <c r="B69" s="316">
        <f t="shared" si="3"/>
        <v>72</v>
      </c>
      <c r="C69" s="437">
        <f>'R. Results'!$I865</f>
        <v>58183.971452016238</v>
      </c>
      <c r="D69" s="438">
        <f>'R. Results'!$J865</f>
        <v>57953.848526832284</v>
      </c>
      <c r="E69" s="361">
        <f>-'R. Results'!$G865</f>
        <v>13269.290518540356</v>
      </c>
      <c r="F69" s="422">
        <f>-'R. Results'!$H865</f>
        <v>8466.3308121171976</v>
      </c>
      <c r="G69" s="437">
        <f>'R. Results'!$G947</f>
        <v>34725.987195972128</v>
      </c>
      <c r="H69" s="439">
        <f>'R. Results'!$H947</f>
        <v>40607.001156580307</v>
      </c>
      <c r="I69" s="520">
        <f t="shared" si="0"/>
        <v>36727.274774584461</v>
      </c>
      <c r="J69" s="803">
        <f t="shared" si="4"/>
        <v>25813.178182369178</v>
      </c>
      <c r="K69" s="516">
        <f>I69- ('2. TaxData'!$K243/2)</f>
        <v>29318.543348040937</v>
      </c>
      <c r="L69" s="517">
        <f>J69- ('2. TaxData'!$K243/2)</f>
        <v>18404.446755825655</v>
      </c>
      <c r="M69" s="520">
        <f>IF('S. Setup'!$J$65="yes",IF(OR(K69&lt;0,L69&lt;0),(K69+L69)/2,K69),K69)</f>
        <v>29318.543348040937</v>
      </c>
      <c r="N69" s="521">
        <f>IF('S. Setup'!$J$65="yes",IF(OR(K69&lt;0,L69&lt;0),(K69+L69)/2,L69),L69)</f>
        <v>18404.446755825655</v>
      </c>
    </row>
    <row r="70" spans="1:14" s="306" customFormat="1" ht="12" x14ac:dyDescent="0.2">
      <c r="A70" s="307">
        <f t="shared" si="2"/>
        <v>78</v>
      </c>
      <c r="B70" s="316">
        <f t="shared" si="3"/>
        <v>73</v>
      </c>
      <c r="C70" s="437">
        <f>'R. Results'!$I866</f>
        <v>59347.650881056557</v>
      </c>
      <c r="D70" s="438">
        <f>'R. Results'!$J866</f>
        <v>59042.925497368924</v>
      </c>
      <c r="E70" s="361">
        <f>-'R. Results'!$G866</f>
        <v>13642.80940596871</v>
      </c>
      <c r="F70" s="422">
        <f>-'R. Results'!$H866</f>
        <v>8753.2583719552185</v>
      </c>
      <c r="G70" s="437">
        <f>'R. Results'!$G948</f>
        <v>35420.506939891566</v>
      </c>
      <c r="H70" s="439">
        <f>'R. Results'!$H948</f>
        <v>41419.141179711907</v>
      </c>
      <c r="I70" s="520">
        <f t="shared" si="0"/>
        <v>37569.953347133705</v>
      </c>
      <c r="J70" s="803">
        <f t="shared" si="4"/>
        <v>26377.042689612237</v>
      </c>
      <c r="K70" s="516">
        <f>I70- ('2. TaxData'!$K244/2)</f>
        <v>30088.771177706611</v>
      </c>
      <c r="L70" s="517">
        <f>J70- ('2. TaxData'!$K244/2)</f>
        <v>18895.860520185142</v>
      </c>
      <c r="M70" s="520">
        <f>IF('S. Setup'!$J$65="yes",IF(OR(K70&lt;0,L70&lt;0),(K70+L70)/2,K70),K70)</f>
        <v>30088.771177706611</v>
      </c>
      <c r="N70" s="521">
        <f>IF('S. Setup'!$J$65="yes",IF(OR(K70&lt;0,L70&lt;0),(K70+L70)/2,L70),L70)</f>
        <v>18895.860520185142</v>
      </c>
    </row>
    <row r="71" spans="1:14" s="306" customFormat="1" ht="12" x14ac:dyDescent="0.2">
      <c r="A71" s="307">
        <f t="shared" si="2"/>
        <v>79</v>
      </c>
      <c r="B71" s="316">
        <f t="shared" si="3"/>
        <v>74</v>
      </c>
      <c r="C71" s="437">
        <f>'R. Results'!$I867</f>
        <v>53838.12514306551</v>
      </c>
      <c r="D71" s="438">
        <f>'R. Results'!$J867</f>
        <v>53457.305251704121</v>
      </c>
      <c r="E71" s="361">
        <f>-'R. Results'!$G867</f>
        <v>13987.301473603977</v>
      </c>
      <c r="F71" s="422">
        <f>-'R. Results'!$H867</f>
        <v>52756.350845732231</v>
      </c>
      <c r="G71" s="437">
        <f>'R. Results'!$G949</f>
        <v>36128.917078689396</v>
      </c>
      <c r="H71" s="439">
        <f>'R. Results'!$H949</f>
        <v>87845.713703426227</v>
      </c>
      <c r="I71" s="520">
        <f t="shared" si="0"/>
        <v>31696.509537980091</v>
      </c>
      <c r="J71" s="803">
        <f t="shared" si="1"/>
        <v>18367.942394010126</v>
      </c>
      <c r="K71" s="516">
        <f>I71- ('2. TaxData'!$K245/2)</f>
        <v>25061.248565478552</v>
      </c>
      <c r="L71" s="517">
        <f>J71- ('2. TaxData'!$K245/2)</f>
        <v>11732.681421508587</v>
      </c>
      <c r="M71" s="520">
        <f>IF('S. Setup'!$J$65="yes",IF(OR(K71&lt;0,L71&lt;0),(K71+L71)/2,K71),K71)</f>
        <v>25061.248565478552</v>
      </c>
      <c r="N71" s="521">
        <f>IF('S. Setup'!$J$65="yes",IF(OR(K71&lt;0,L71&lt;0),(K71+L71)/2,L71),L71)</f>
        <v>11732.681421508587</v>
      </c>
    </row>
    <row r="72" spans="1:14" s="306" customFormat="1" ht="12" x14ac:dyDescent="0.2">
      <c r="A72" s="307">
        <f t="shared" si="2"/>
        <v>80</v>
      </c>
      <c r="B72" s="316">
        <f t="shared" si="3"/>
        <v>75</v>
      </c>
      <c r="C72" s="437">
        <f>'R. Results'!$I868</f>
        <v>54914.887645926821</v>
      </c>
      <c r="D72" s="438">
        <f>'R. Results'!$J868</f>
        <v>54456.451356738202</v>
      </c>
      <c r="E72" s="361">
        <f>-'R. Results'!$G868</f>
        <v>14286.925034827909</v>
      </c>
      <c r="F72" s="422">
        <f>-'R. Results'!$H868</f>
        <v>9286.3649329375185</v>
      </c>
      <c r="G72" s="437">
        <f>'R. Results'!$G950</f>
        <v>36851.495420263185</v>
      </c>
      <c r="H72" s="439">
        <f>'R. Results'!$H950</f>
        <v>43092.474483372273</v>
      </c>
      <c r="I72" s="520">
        <f t="shared" si="0"/>
        <v>32350.317260491538</v>
      </c>
      <c r="J72" s="803">
        <f t="shared" si="1"/>
        <v>20650.341806303448</v>
      </c>
      <c r="K72" s="516">
        <f>I72- ('2. TaxData'!$K246/2)</f>
        <v>25673.371758530306</v>
      </c>
      <c r="L72" s="517">
        <f>J72- ('2. TaxData'!$K246/2)</f>
        <v>13973.396304342215</v>
      </c>
      <c r="M72" s="520">
        <f>IF('S. Setup'!$J$65="yes",IF(OR(K72&lt;0,L72&lt;0),(K72+L72)/2,K72),K72)</f>
        <v>25673.371758530306</v>
      </c>
      <c r="N72" s="521">
        <f>IF('S. Setup'!$J$65="yes",IF(OR(K72&lt;0,L72&lt;0),(K72+L72)/2,L72),L72)</f>
        <v>13973.396304342215</v>
      </c>
    </row>
    <row r="73" spans="1:14" s="306" customFormat="1" ht="12" x14ac:dyDescent="0.2">
      <c r="A73" s="307">
        <f t="shared" si="2"/>
        <v>81</v>
      </c>
      <c r="B73" s="316">
        <f t="shared" si="3"/>
        <v>76</v>
      </c>
      <c r="C73" s="437">
        <f>'R. Results'!$I869</f>
        <v>56013.185398845351</v>
      </c>
      <c r="D73" s="438">
        <f>'R. Results'!$J869</f>
        <v>55475.580383872963</v>
      </c>
      <c r="E73" s="361">
        <f>-'R. Results'!$G869</f>
        <v>14597.501510099442</v>
      </c>
      <c r="F73" s="422">
        <f>-'R. Results'!$H869</f>
        <v>8184.2530036075368</v>
      </c>
      <c r="G73" s="437">
        <f>'R. Results'!$G951</f>
        <v>37588.525328668446</v>
      </c>
      <c r="H73" s="439">
        <f>'R. Results'!$H951</f>
        <v>43954.323973039718</v>
      </c>
      <c r="I73" s="520">
        <f t="shared" si="0"/>
        <v>33022.161580276355</v>
      </c>
      <c r="J73" s="803">
        <f t="shared" si="1"/>
        <v>19705.509414440778</v>
      </c>
      <c r="K73" s="516">
        <f>I73- ('2. TaxData'!$K247/2)</f>
        <v>26298.119830844396</v>
      </c>
      <c r="L73" s="517">
        <f>J73- ('2. TaxData'!$K247/2)</f>
        <v>12981.467665008819</v>
      </c>
      <c r="M73" s="520">
        <f>IF('S. Setup'!$J$65="yes",IF(OR(K73&lt;0,L73&lt;0),(K73+L73)/2,K73),K73)</f>
        <v>26298.119830844396</v>
      </c>
      <c r="N73" s="521">
        <f>IF('S. Setup'!$J$65="yes",IF(OR(K73&lt;0,L73&lt;0),(K73+L73)/2,L73),L73)</f>
        <v>12981.467665008819</v>
      </c>
    </row>
    <row r="74" spans="1:14" s="306" customFormat="1" ht="12" x14ac:dyDescent="0.2">
      <c r="A74" s="307">
        <f t="shared" si="2"/>
        <v>82</v>
      </c>
      <c r="B74" s="316">
        <f t="shared" si="3"/>
        <v>77</v>
      </c>
      <c r="C74" s="437">
        <f>'R. Results'!$I870</f>
        <v>57133.449106822256</v>
      </c>
      <c r="D74" s="438">
        <f>'R. Results'!$J870</f>
        <v>56515.09199155042</v>
      </c>
      <c r="E74" s="361">
        <f>-'R. Results'!$G870</f>
        <v>14919.46703469589</v>
      </c>
      <c r="F74" s="422">
        <f>-'R. Results'!$H870</f>
        <v>8368.573014427333</v>
      </c>
      <c r="G74" s="437">
        <f>'R. Results'!$G952</f>
        <v>38340.295835241814</v>
      </c>
      <c r="H74" s="439">
        <f>'R. Results'!$H952</f>
        <v>44833.41045250051</v>
      </c>
      <c r="I74" s="520">
        <f t="shared" si="0"/>
        <v>33712.620306276331</v>
      </c>
      <c r="J74" s="803">
        <f t="shared" si="1"/>
        <v>20050.254553477243</v>
      </c>
      <c r="K74" s="516">
        <f>I74- ('2. TaxData'!$K248/2)</f>
        <v>26944.373688531825</v>
      </c>
      <c r="L74" s="517">
        <f>J74- ('2. TaxData'!$K248/2)</f>
        <v>13282.007935732738</v>
      </c>
      <c r="M74" s="520">
        <f>IF('S. Setup'!$J$65="yes",IF(OR(K74&lt;0,L74&lt;0),(K74+L74)/2,K74),K74)</f>
        <v>26944.373688531825</v>
      </c>
      <c r="N74" s="521">
        <f>IF('S. Setup'!$J$65="yes",IF(OR(K74&lt;0,L74&lt;0),(K74+L74)/2,L74),L74)</f>
        <v>13282.007935732738</v>
      </c>
    </row>
    <row r="75" spans="1:14" s="306" customFormat="1" ht="12" x14ac:dyDescent="0.2">
      <c r="A75" s="307">
        <f t="shared" si="2"/>
        <v>83</v>
      </c>
      <c r="B75" s="316">
        <f t="shared" si="3"/>
        <v>78</v>
      </c>
      <c r="C75" s="437">
        <f>'R. Results'!$I871</f>
        <v>58276.118088958705</v>
      </c>
      <c r="D75" s="438">
        <f>'R. Results'!$J871</f>
        <v>57575.393831381429</v>
      </c>
      <c r="E75" s="361">
        <f>-'R. Results'!$G871</f>
        <v>15253.379672800564</v>
      </c>
      <c r="F75" s="422">
        <f>-'R. Results'!$H871</f>
        <v>8587.4019749820327</v>
      </c>
      <c r="G75" s="437">
        <f>'R. Results'!$G953</f>
        <v>39107.101751946648</v>
      </c>
      <c r="H75" s="439">
        <f>'R. Results'!$H953</f>
        <v>45730.078661550513</v>
      </c>
      <c r="I75" s="520">
        <f t="shared" si="0"/>
        <v>34422.396009812619</v>
      </c>
      <c r="J75" s="803">
        <f t="shared" si="1"/>
        <v>20432.717144812945</v>
      </c>
      <c r="K75" s="516">
        <f>I75- ('2. TaxData'!$K249/2)</f>
        <v>27609.519876509672</v>
      </c>
      <c r="L75" s="517">
        <f>J75- ('2. TaxData'!$K249/2)</f>
        <v>13619.841011509998</v>
      </c>
      <c r="M75" s="520">
        <f>IF('S. Setup'!$J$65="yes",IF(OR(K75&lt;0,L75&lt;0),(K75+L75)/2,K75),K75)</f>
        <v>27609.519876509672</v>
      </c>
      <c r="N75" s="521">
        <f>IF('S. Setup'!$J$65="yes",IF(OR(K75&lt;0,L75&lt;0),(K75+L75)/2,L75),L75)</f>
        <v>13619.841011509998</v>
      </c>
    </row>
    <row r="76" spans="1:14" s="306" customFormat="1" ht="12" x14ac:dyDescent="0.2">
      <c r="A76" s="307">
        <f t="shared" si="2"/>
        <v>84</v>
      </c>
      <c r="B76" s="316">
        <f t="shared" si="3"/>
        <v>79</v>
      </c>
      <c r="C76" s="437">
        <f>'R. Results'!$I872</f>
        <v>59441.640450737876</v>
      </c>
      <c r="D76" s="438">
        <f>'R. Results'!$J872</f>
        <v>58656.901708009056</v>
      </c>
      <c r="E76" s="361">
        <f>-'R. Results'!$G872</f>
        <v>15599.828547006957</v>
      </c>
      <c r="F76" s="422">
        <f>-'R. Results'!$H872</f>
        <v>8786.2495175546028</v>
      </c>
      <c r="G76" s="437">
        <f>'R. Results'!$G954</f>
        <v>39889.243786985578</v>
      </c>
      <c r="H76" s="439">
        <f>'R. Results'!$H954</f>
        <v>46644.680234781525</v>
      </c>
      <c r="I76" s="520">
        <f t="shared" si="0"/>
        <v>35152.22521075925</v>
      </c>
      <c r="J76" s="803">
        <f t="shared" si="1"/>
        <v>20798.470990782138</v>
      </c>
      <c r="K76" s="516">
        <f>I76- ('2. TaxData'!$K250/2)</f>
        <v>28294.196560263161</v>
      </c>
      <c r="L76" s="517">
        <f>J76- ('2. TaxData'!$K250/2)</f>
        <v>13940.442340286048</v>
      </c>
      <c r="M76" s="520">
        <f>IF('S. Setup'!$J$65="yes",IF(OR(K76&lt;0,L76&lt;0),(K76+L76)/2,K76),K76)</f>
        <v>28294.196560263161</v>
      </c>
      <c r="N76" s="521">
        <f>IF('S. Setup'!$J$65="yes",IF(OR(K76&lt;0,L76&lt;0),(K76+L76)/2,L76),L76)</f>
        <v>13940.442340286048</v>
      </c>
    </row>
    <row r="77" spans="1:14" s="306" customFormat="1" ht="12" x14ac:dyDescent="0.2">
      <c r="A77" s="320">
        <f t="shared" si="2"/>
        <v>85</v>
      </c>
      <c r="B77" s="321">
        <f t="shared" si="3"/>
        <v>80</v>
      </c>
      <c r="C77" s="437">
        <f>'R. Results'!$I873</f>
        <v>15661.871462367011</v>
      </c>
      <c r="D77" s="438">
        <f>'R. Results'!$J873</f>
        <v>32838.103883895645</v>
      </c>
      <c r="E77" s="361">
        <f>-'R. Results'!$G873</f>
        <v>15904.395488399303</v>
      </c>
      <c r="F77" s="422">
        <f>-'R. Results'!$H873</f>
        <v>8992.9367047388223</v>
      </c>
      <c r="G77" s="437">
        <f>'R. Results'!$G955</f>
        <v>40687.028662725294</v>
      </c>
      <c r="H77" s="439">
        <f>'R. Results'!$H955</f>
        <v>47577.573839477154</v>
      </c>
      <c r="I77" s="520">
        <f t="shared" si="0"/>
        <v>-9120.7617119589777</v>
      </c>
      <c r="J77" s="803">
        <f t="shared" si="1"/>
        <v>-5746.5332508426873</v>
      </c>
      <c r="K77" s="516">
        <f>I77- ('2. TaxData'!$K251/2)</f>
        <v>-11642.479424640022</v>
      </c>
      <c r="L77" s="517">
        <f>J77- ('2. TaxData'!$K251/2)</f>
        <v>-8268.2509635237311</v>
      </c>
      <c r="M77" s="520">
        <f>IF('S. Setup'!$J$65="yes",IF(OR(K77&lt;0,L77&lt;0),(K77+L77)/2,K77),K77)</f>
        <v>-9955.3651940818763</v>
      </c>
      <c r="N77" s="521">
        <f>IF('S. Setup'!$J$65="yes",IF(OR(K77&lt;0,L77&lt;0),(K77+L77)/2,L77),L77)</f>
        <v>-9955.3651940818763</v>
      </c>
    </row>
    <row r="78" spans="1:14" s="306" customFormat="1" ht="12" x14ac:dyDescent="0.2">
      <c r="A78" s="307">
        <f t="shared" si="2"/>
        <v>86</v>
      </c>
      <c r="B78" s="316">
        <f t="shared" si="3"/>
        <v>81</v>
      </c>
      <c r="C78" s="437">
        <f>'R. Results'!$I874</f>
        <v>11517.266703679288</v>
      </c>
      <c r="D78" s="438">
        <f>'R. Results'!$J874</f>
        <v>33424.865961573552</v>
      </c>
      <c r="E78" s="361">
        <f>-'R. Results'!$G874</f>
        <v>8012.9115212661554</v>
      </c>
      <c r="F78" s="422">
        <f>-'R. Results'!$H874</f>
        <v>10795.663673880135</v>
      </c>
      <c r="G78" s="437">
        <f>'R. Results'!$G956</f>
        <v>0</v>
      </c>
      <c r="H78" s="439">
        <f>'R. Results'!$H956</f>
        <v>60243.052116744875</v>
      </c>
      <c r="I78" s="520">
        <f t="shared" si="0"/>
        <v>19530.178224945445</v>
      </c>
      <c r="J78" s="803">
        <f t="shared" si="1"/>
        <v>-16022.522481291191</v>
      </c>
      <c r="K78" s="516">
        <f>I78- ('2. TaxData'!$K252/2)</f>
        <v>18299.106090428497</v>
      </c>
      <c r="L78" s="517">
        <f>J78- ('2. TaxData'!$K252/2)</f>
        <v>-17253.594615808139</v>
      </c>
      <c r="M78" s="520">
        <f>IF('S. Setup'!$J$65="yes",IF(OR(K78&lt;0,L78&lt;0),(K78+L78)/2,K78),K78)</f>
        <v>522.75573731017903</v>
      </c>
      <c r="N78" s="521">
        <f>IF('S. Setup'!$J$65="yes",IF(OR(K78&lt;0,L78&lt;0),(K78+L78)/2,L78),L78)</f>
        <v>522.75573731017903</v>
      </c>
    </row>
    <row r="79" spans="1:14" s="306" customFormat="1" ht="12" x14ac:dyDescent="0.2">
      <c r="A79" s="307">
        <f t="shared" si="2"/>
        <v>87</v>
      </c>
      <c r="B79" s="316">
        <f t="shared" si="3"/>
        <v>82</v>
      </c>
      <c r="C79" s="437">
        <f>'R. Results'!$I875</f>
        <v>11747.612037752871</v>
      </c>
      <c r="D79" s="438">
        <f>'R. Results'!$J875</f>
        <v>34023.363280805017</v>
      </c>
      <c r="E79" s="361">
        <f>-'R. Results'!$G875</f>
        <v>7928.5956003302645</v>
      </c>
      <c r="F79" s="422">
        <f>-'R. Results'!$H875</f>
        <v>10905.688188787093</v>
      </c>
      <c r="G79" s="437">
        <f>'R. Results'!$G957</f>
        <v>0</v>
      </c>
      <c r="H79" s="439">
        <f>'R. Results'!$H957</f>
        <v>61447.913159079762</v>
      </c>
      <c r="I79" s="520">
        <f t="shared" si="0"/>
        <v>19676.207638083135</v>
      </c>
      <c r="J79" s="803">
        <f t="shared" si="1"/>
        <v>-16518.861689487654</v>
      </c>
      <c r="K79" s="516">
        <f>I79- ('2. TaxData'!$K253/2)</f>
        <v>18478.160519292895</v>
      </c>
      <c r="L79" s="517">
        <f>J79- ('2. TaxData'!$K253/2)</f>
        <v>-17716.908808277894</v>
      </c>
      <c r="M79" s="520">
        <f>IF('S. Setup'!$J$65="yes",IF(OR(K79&lt;0,L79&lt;0),(K79+L79)/2,K79),K79)</f>
        <v>380.62585550750009</v>
      </c>
      <c r="N79" s="521">
        <f>IF('S. Setup'!$J$65="yes",IF(OR(K79&lt;0,L79&lt;0),(K79+L79)/2,L79),L79)</f>
        <v>380.62585550750009</v>
      </c>
    </row>
    <row r="80" spans="1:14" s="306" customFormat="1" ht="12" x14ac:dyDescent="0.2">
      <c r="A80" s="307">
        <f t="shared" si="2"/>
        <v>88</v>
      </c>
      <c r="B80" s="316">
        <f t="shared" si="3"/>
        <v>83</v>
      </c>
      <c r="C80" s="437">
        <f>'R. Results'!$I876</f>
        <v>11982.564278507933</v>
      </c>
      <c r="D80" s="438">
        <f>'R. Results'!$J876</f>
        <v>34633.83054642113</v>
      </c>
      <c r="E80" s="361">
        <f>-'R. Results'!$G876</f>
        <v>7844.9871621691073</v>
      </c>
      <c r="F80" s="422">
        <f>-'R. Results'!$H876</f>
        <v>11017.65384514962</v>
      </c>
      <c r="G80" s="437">
        <f>'R. Results'!$G958</f>
        <v>0</v>
      </c>
      <c r="H80" s="439">
        <f>'R. Results'!$H958</f>
        <v>62676.871422261371</v>
      </c>
      <c r="I80" s="520">
        <f t="shared" si="0"/>
        <v>19827.551440677038</v>
      </c>
      <c r="J80" s="803">
        <f t="shared" si="1"/>
        <v>-17025.387030690625</v>
      </c>
      <c r="K80" s="516">
        <f>I80- ('2. TaxData'!$K254/2)</f>
        <v>18663.352391445602</v>
      </c>
      <c r="L80" s="517">
        <f>J80- ('2. TaxData'!$K254/2)</f>
        <v>-18189.586079922061</v>
      </c>
      <c r="M80" s="520">
        <f>IF('S. Setup'!$J$65="yes",IF(OR(K80&lt;0,L80&lt;0),(K80+L80)/2,K80),K80)</f>
        <v>236.88315576177047</v>
      </c>
      <c r="N80" s="521">
        <f>IF('S. Setup'!$J$65="yes",IF(OR(K80&lt;0,L80&lt;0),(K80+L80)/2,L80),L80)</f>
        <v>236.88315576177047</v>
      </c>
    </row>
    <row r="81" spans="1:14" s="306" customFormat="1" ht="12" x14ac:dyDescent="0.2">
      <c r="A81" s="307">
        <f t="shared" si="2"/>
        <v>89</v>
      </c>
      <c r="B81" s="316">
        <f t="shared" si="3"/>
        <v>84</v>
      </c>
      <c r="C81" s="437">
        <f>'R. Results'!$I877</f>
        <v>12222.215564078089</v>
      </c>
      <c r="D81" s="438">
        <f>'R. Results'!$J877</f>
        <v>35256.507157349544</v>
      </c>
      <c r="E81" s="361">
        <f>-'R. Results'!$G877</f>
        <v>7762.5267896215491</v>
      </c>
      <c r="F81" s="422">
        <f>-'R. Results'!$H877</f>
        <v>11131.807592456662</v>
      </c>
      <c r="G81" s="437">
        <f>'R. Results'!$G959</f>
        <v>0</v>
      </c>
      <c r="H81" s="439">
        <f>'R. Results'!$H959</f>
        <v>63930.40885070659</v>
      </c>
      <c r="I81" s="520">
        <f t="shared" si="0"/>
        <v>19984.742353699639</v>
      </c>
      <c r="J81" s="803">
        <f t="shared" si="1"/>
        <v>-17542.094100900387</v>
      </c>
      <c r="K81" s="516">
        <f>I81- ('2. TaxData'!$K255/2)</f>
        <v>18855.225556026635</v>
      </c>
      <c r="L81" s="517">
        <f>J81- ('2. TaxData'!$K255/2)</f>
        <v>-18671.610898573392</v>
      </c>
      <c r="M81" s="520">
        <f>IF('S. Setup'!$J$65="yes",IF(OR(K81&lt;0,L81&lt;0),(K81+L81)/2,K81),K81)</f>
        <v>91.807328726621563</v>
      </c>
      <c r="N81" s="521">
        <f>IF('S. Setup'!$J$65="yes",IF(OR(K81&lt;0,L81&lt;0),(K81+L81)/2,L81),L81)</f>
        <v>91.807328726621563</v>
      </c>
    </row>
    <row r="82" spans="1:14" s="306" customFormat="1" ht="12" x14ac:dyDescent="0.2">
      <c r="A82" s="307">
        <f t="shared" si="2"/>
        <v>90</v>
      </c>
      <c r="B82" s="316">
        <f t="shared" si="3"/>
        <v>85</v>
      </c>
      <c r="C82" s="437">
        <f>'R. Results'!$I878</f>
        <v>12466.659875359652</v>
      </c>
      <c r="D82" s="438">
        <f>'R. Results'!$J878</f>
        <v>35891.637300496543</v>
      </c>
      <c r="E82" s="361">
        <f>-'R. Results'!$G878</f>
        <v>7614.4115739642548</v>
      </c>
      <c r="F82" s="422">
        <f>-'R. Results'!$H878</f>
        <v>11210.072394618608</v>
      </c>
      <c r="G82" s="437">
        <f>'R. Results'!$G960</f>
        <v>0</v>
      </c>
      <c r="H82" s="439">
        <f>'R. Results'!$H960</f>
        <v>65209.017027720722</v>
      </c>
      <c r="I82" s="520">
        <f t="shared" si="0"/>
        <v>20081.071449323907</v>
      </c>
      <c r="J82" s="803">
        <f t="shared" si="1"/>
        <v>-18107.307332605575</v>
      </c>
      <c r="K82" s="516">
        <f>I82- ('2. TaxData'!$K256/2)</f>
        <v>18987.082068924112</v>
      </c>
      <c r="L82" s="517">
        <f>J82- ('2. TaxData'!$K256/2)</f>
        <v>-19201.296713005369</v>
      </c>
      <c r="M82" s="520">
        <f>IF('S. Setup'!$J$65="yes",IF(OR(K82&lt;0,L82&lt;0),(K82+L82)/2,K82),K82)</f>
        <v>-107.10732204062879</v>
      </c>
      <c r="N82" s="521">
        <f>IF('S. Setup'!$J$65="yes",IF(OR(K82&lt;0,L82&lt;0),(K82+L82)/2,L82),L82)</f>
        <v>-107.10732204062879</v>
      </c>
    </row>
    <row r="83" spans="1:14" s="306" customFormat="1" ht="12" x14ac:dyDescent="0.2">
      <c r="A83" s="307">
        <f t="shared" si="2"/>
        <v>91</v>
      </c>
      <c r="B83" s="316">
        <f t="shared" si="3"/>
        <v>86</v>
      </c>
      <c r="C83" s="437">
        <f>'R. Results'!$I879</f>
        <v>12715.993072866841</v>
      </c>
      <c r="D83" s="438">
        <f>'R. Results'!$J879</f>
        <v>36539.470046506467</v>
      </c>
      <c r="E83" s="361">
        <f>-'R. Results'!$G879</f>
        <v>7468.9948306327587</v>
      </c>
      <c r="F83" s="422">
        <f>-'R. Results'!$H879</f>
        <v>11289.297612696848</v>
      </c>
      <c r="G83" s="437">
        <f>'R. Results'!$G961</f>
        <v>0</v>
      </c>
      <c r="H83" s="439">
        <f>'R. Results'!$H961</f>
        <v>66513.197368275127</v>
      </c>
      <c r="I83" s="520">
        <f t="shared" si="0"/>
        <v>20184.987903499597</v>
      </c>
      <c r="J83" s="803">
        <f t="shared" si="1"/>
        <v>-18684.42970907181</v>
      </c>
      <c r="K83" s="516">
        <f>I83- ('2. TaxData'!$K257/2)</f>
        <v>19759.665310554938</v>
      </c>
      <c r="L83" s="517">
        <f>J83- ('2. TaxData'!$K257/2)</f>
        <v>-19109.75230201647</v>
      </c>
      <c r="M83" s="520">
        <f>IF('S. Setup'!$J$65="yes",IF(OR(K83&lt;0,L83&lt;0),(K83+L83)/2,K83),K83)</f>
        <v>324.95650426923385</v>
      </c>
      <c r="N83" s="521">
        <f>IF('S. Setup'!$J$65="yes",IF(OR(K83&lt;0,L83&lt;0),(K83+L83)/2,L83),L83)</f>
        <v>324.95650426923385</v>
      </c>
    </row>
    <row r="84" spans="1:14" s="306" customFormat="1" ht="12" x14ac:dyDescent="0.2">
      <c r="A84" s="307">
        <f t="shared" si="2"/>
        <v>92</v>
      </c>
      <c r="B84" s="316">
        <f t="shared" si="3"/>
        <v>87</v>
      </c>
      <c r="C84" s="437">
        <f>'R. Results'!$I880</f>
        <v>0</v>
      </c>
      <c r="D84" s="438">
        <f>'R. Results'!$J880</f>
        <v>3500</v>
      </c>
      <c r="E84" s="361">
        <f>-'R. Results'!$G880</f>
        <v>7326.0319929640982</v>
      </c>
      <c r="F84" s="422">
        <f>-'R. Results'!$H880</f>
        <v>11375.649959725366</v>
      </c>
      <c r="G84" s="437">
        <f>'R. Results'!$G962</f>
        <v>0</v>
      </c>
      <c r="H84" s="439">
        <f>'R. Results'!$H962</f>
        <v>67843.461315640641</v>
      </c>
      <c r="I84" s="520">
        <f t="shared" si="0"/>
        <v>7326.0319929640982</v>
      </c>
      <c r="J84" s="803">
        <f t="shared" si="1"/>
        <v>-52967.811355915277</v>
      </c>
      <c r="K84" s="516">
        <f>I84- ('2. TaxData'!$K258/2)</f>
        <v>7326.0319929640982</v>
      </c>
      <c r="L84" s="517">
        <f>J84- ('2. TaxData'!$K258/2)</f>
        <v>-52967.811355915277</v>
      </c>
      <c r="M84" s="520">
        <f>IF('S. Setup'!$J$65="yes",IF(OR(K84&lt;0,L84&lt;0),(K84+L84)/2,K84),K84)</f>
        <v>-22820.88968147559</v>
      </c>
      <c r="N84" s="521">
        <f>IF('S. Setup'!$J$65="yes",IF(OR(K84&lt;0,L84&lt;0),(K84+L84)/2,L84),L84)</f>
        <v>-22820.88968147559</v>
      </c>
    </row>
    <row r="85" spans="1:14" s="306" customFormat="1" ht="12" x14ac:dyDescent="0.2">
      <c r="A85" s="307">
        <f t="shared" si="2"/>
        <v>93</v>
      </c>
      <c r="B85" s="316">
        <f t="shared" si="3"/>
        <v>88</v>
      </c>
      <c r="C85" s="437">
        <f>'R. Results'!$I881</f>
        <v>0</v>
      </c>
      <c r="D85" s="438">
        <f>'R. Results'!$J881</f>
        <v>0</v>
      </c>
      <c r="E85" s="361">
        <f>-'R. Results'!$G881</f>
        <v>7186.4759177368023</v>
      </c>
      <c r="F85" s="422">
        <f>-'R. Results'!$H881</f>
        <v>5595.6340615188674</v>
      </c>
      <c r="G85" s="437">
        <f>'R. Results'!$G963</f>
        <v>0</v>
      </c>
      <c r="H85" s="439">
        <f>'R. Results'!$H963</f>
        <v>0</v>
      </c>
      <c r="I85" s="520">
        <f t="shared" si="0"/>
        <v>7186.4759177368023</v>
      </c>
      <c r="J85" s="803">
        <f t="shared" si="1"/>
        <v>5595.6340615188674</v>
      </c>
      <c r="K85" s="516">
        <f>I85- ('2. TaxData'!$K259/2)</f>
        <v>7186.4759177368023</v>
      </c>
      <c r="L85" s="517">
        <f>J85- ('2. TaxData'!$K259/2)</f>
        <v>5595.6340615188674</v>
      </c>
      <c r="M85" s="520">
        <f>IF('S. Setup'!$J$65="yes",IF(OR(K85&lt;0,L85&lt;0),(K85+L85)/2,K85),K85)</f>
        <v>7186.4759177368023</v>
      </c>
      <c r="N85" s="521">
        <f>IF('S. Setup'!$J$65="yes",IF(OR(K85&lt;0,L85&lt;0),(K85+L85)/2,L85),L85)</f>
        <v>5595.6340615188674</v>
      </c>
    </row>
    <row r="86" spans="1:14" s="306" customFormat="1" ht="12" x14ac:dyDescent="0.2">
      <c r="A86" s="307">
        <f t="shared" si="2"/>
        <v>94</v>
      </c>
      <c r="B86" s="316">
        <f t="shared" si="3"/>
        <v>89</v>
      </c>
      <c r="C86" s="437">
        <f>'R. Results'!$I882</f>
        <v>0</v>
      </c>
      <c r="D86" s="438">
        <f>'R. Results'!$J882</f>
        <v>0</v>
      </c>
      <c r="E86" s="361">
        <f>-'R. Results'!$G882</f>
        <v>6973.9585072104564</v>
      </c>
      <c r="F86" s="422">
        <f>-'R. Results'!$H882</f>
        <v>5582.9436540600273</v>
      </c>
      <c r="G86" s="437">
        <f>'R. Results'!$G964</f>
        <v>0</v>
      </c>
      <c r="H86" s="439">
        <f>'R. Results'!$H964</f>
        <v>0</v>
      </c>
      <c r="I86" s="520">
        <f t="shared" si="0"/>
        <v>6973.9585072104564</v>
      </c>
      <c r="J86" s="803">
        <f t="shared" si="1"/>
        <v>5582.9436540600273</v>
      </c>
      <c r="K86" s="516">
        <f>I86- ('2. TaxData'!$K260/2)</f>
        <v>6973.9585072104564</v>
      </c>
      <c r="L86" s="517">
        <f>J86- ('2. TaxData'!$K260/2)</f>
        <v>5582.9436540600273</v>
      </c>
      <c r="M86" s="520">
        <f>IF('S. Setup'!$J$65="yes",IF(OR(K86&lt;0,L86&lt;0),(K86+L86)/2,K86),K86)</f>
        <v>6973.9585072104564</v>
      </c>
      <c r="N86" s="521">
        <f>IF('S. Setup'!$J$65="yes",IF(OR(K86&lt;0,L86&lt;0),(K86+L86)/2,L86),L86)</f>
        <v>5582.9436540600273</v>
      </c>
    </row>
    <row r="87" spans="1:14" s="306" customFormat="1" ht="12" x14ac:dyDescent="0.2">
      <c r="A87" s="307">
        <f t="shared" si="2"/>
        <v>95</v>
      </c>
      <c r="B87" s="316">
        <f t="shared" si="3"/>
        <v>90</v>
      </c>
      <c r="C87" s="437">
        <f>'R. Results'!$I883</f>
        <v>0</v>
      </c>
      <c r="D87" s="438">
        <f>'R. Results'!$J883</f>
        <v>0</v>
      </c>
      <c r="E87" s="361">
        <f>-'R. Results'!$G883</f>
        <v>6770.4461114809947</v>
      </c>
      <c r="F87" s="422">
        <f>-'R. Results'!$H883</f>
        <v>5523.7520153346486</v>
      </c>
      <c r="G87" s="437">
        <f>'R. Results'!$G965</f>
        <v>0</v>
      </c>
      <c r="H87" s="439">
        <f>'R. Results'!$H965</f>
        <v>0</v>
      </c>
      <c r="I87" s="520">
        <f t="shared" si="0"/>
        <v>6770.4461114809947</v>
      </c>
      <c r="J87" s="803">
        <f t="shared" si="1"/>
        <v>5523.7520153346486</v>
      </c>
      <c r="K87" s="516">
        <f>I87- ('2. TaxData'!$K261/2)</f>
        <v>6770.4461114809947</v>
      </c>
      <c r="L87" s="517">
        <f>J87- ('2. TaxData'!$K261/2)</f>
        <v>5523.7520153346486</v>
      </c>
      <c r="M87" s="520">
        <f>IF('S. Setup'!$J$65="yes",IF(OR(K87&lt;0,L87&lt;0),(K87+L87)/2,K87),K87)</f>
        <v>6770.4461114809947</v>
      </c>
      <c r="N87" s="521">
        <f>IF('S. Setup'!$J$65="yes",IF(OR(K87&lt;0,L87&lt;0),(K87+L87)/2,L87),L87)</f>
        <v>5523.7520153346486</v>
      </c>
    </row>
    <row r="88" spans="1:14" s="306" customFormat="1" ht="12.75" thickBot="1" x14ac:dyDescent="0.25">
      <c r="A88" s="311">
        <f t="shared" si="2"/>
        <v>96</v>
      </c>
      <c r="B88" s="322">
        <f t="shared" si="3"/>
        <v>91</v>
      </c>
      <c r="C88" s="440">
        <f>'R. Results'!$I884</f>
        <v>0</v>
      </c>
      <c r="D88" s="441">
        <f>'R. Results'!$J884</f>
        <v>0</v>
      </c>
      <c r="E88" s="362">
        <f>-'R. Results'!$G884</f>
        <v>6575.4849755262785</v>
      </c>
      <c r="F88" s="423">
        <f>-'R. Results'!$H884</f>
        <v>5466.8637632659484</v>
      </c>
      <c r="G88" s="440">
        <f>'R. Results'!$G966</f>
        <v>0</v>
      </c>
      <c r="H88" s="441">
        <f>'R. Results'!$H966</f>
        <v>0</v>
      </c>
      <c r="I88" s="522">
        <f t="shared" si="0"/>
        <v>6575.4849755262785</v>
      </c>
      <c r="J88" s="804">
        <f t="shared" si="1"/>
        <v>5466.8637632659484</v>
      </c>
      <c r="K88" s="518">
        <f>I88- ('2. TaxData'!$K262/2)</f>
        <v>6575.4849755262785</v>
      </c>
      <c r="L88" s="519">
        <f>J88- ('2. TaxData'!$K262/2)</f>
        <v>5466.8637632659484</v>
      </c>
      <c r="M88" s="522">
        <f>IF('S. Setup'!$J$65="yes",IF(OR(K88&lt;0,L88&lt;0),(K88+L88)/2,K88),K88)</f>
        <v>6575.4849755262785</v>
      </c>
      <c r="N88" s="1145">
        <f>IF('S. Setup'!$J$65="yes",IF(OR(K88&lt;0,L88&lt;0),(K88+L88)/2,L88),L88)</f>
        <v>5466.8637632659484</v>
      </c>
    </row>
    <row r="89" spans="1:14" s="306" customFormat="1" ht="12.75" thickTop="1" x14ac:dyDescent="0.2">
      <c r="A89" s="321"/>
      <c r="B89" s="389"/>
      <c r="C89" s="387"/>
      <c r="D89" s="388"/>
      <c r="E89" s="390"/>
      <c r="F89" s="391"/>
      <c r="G89" s="393"/>
      <c r="H89" s="392"/>
      <c r="I89" s="390"/>
    </row>
    <row r="90" spans="1:14" s="306" customFormat="1" ht="12" x14ac:dyDescent="0.2">
      <c r="A90" s="321"/>
      <c r="B90" s="391"/>
      <c r="C90" s="393"/>
      <c r="D90" s="392"/>
      <c r="E90" s="390"/>
      <c r="F90" s="391"/>
      <c r="G90" s="393"/>
      <c r="H90" s="392"/>
      <c r="I90" s="390"/>
    </row>
    <row r="91" spans="1:14" s="306" customFormat="1" ht="12.75" thickBot="1" x14ac:dyDescent="0.25">
      <c r="A91" s="321"/>
      <c r="B91" s="391"/>
      <c r="C91" s="393"/>
      <c r="D91" s="392"/>
      <c r="E91" s="390"/>
      <c r="F91" s="391"/>
      <c r="G91" s="393"/>
      <c r="H91" s="392"/>
      <c r="I91" s="390"/>
    </row>
    <row r="92" spans="1:14" s="306" customFormat="1" ht="19.5" thickTop="1" x14ac:dyDescent="0.3">
      <c r="A92" s="569" t="s">
        <v>126</v>
      </c>
      <c r="B92" s="570"/>
      <c r="C92" s="14"/>
      <c r="D92" s="14"/>
      <c r="E92" s="14"/>
      <c r="F92" s="14"/>
      <c r="G92" s="14"/>
      <c r="H92" s="571"/>
      <c r="I92" s="315"/>
      <c r="J92" s="315"/>
      <c r="K92" s="315"/>
      <c r="L92" s="315"/>
      <c r="M92" s="572"/>
    </row>
    <row r="93" spans="1:14" s="306" customFormat="1" x14ac:dyDescent="0.25">
      <c r="A93" s="1609" t="s">
        <v>2792</v>
      </c>
      <c r="B93" s="391"/>
      <c r="C93" s="6"/>
      <c r="D93" s="6"/>
      <c r="E93" s="6"/>
      <c r="F93" s="6"/>
      <c r="G93" s="6"/>
      <c r="H93" s="392"/>
      <c r="I93" s="316"/>
      <c r="J93" s="316"/>
      <c r="K93" s="316"/>
      <c r="L93" s="316"/>
      <c r="M93" s="1455"/>
    </row>
    <row r="94" spans="1:14" s="306" customFormat="1" x14ac:dyDescent="0.25">
      <c r="A94" s="1416" t="s">
        <v>3751</v>
      </c>
      <c r="B94" s="391"/>
      <c r="C94" s="6"/>
      <c r="D94" s="6"/>
      <c r="E94" s="6"/>
      <c r="F94" s="6"/>
      <c r="G94" s="6"/>
      <c r="H94" s="392"/>
      <c r="I94" s="316"/>
      <c r="J94" s="316"/>
      <c r="K94" s="316"/>
      <c r="L94" s="316"/>
      <c r="M94" s="1455"/>
    </row>
    <row r="95" spans="1:14" s="306" customFormat="1" ht="15.75" thickBot="1" x14ac:dyDescent="0.3">
      <c r="A95" s="320"/>
      <c r="B95" s="391"/>
      <c r="C95" s="6"/>
      <c r="D95" s="6"/>
      <c r="E95" s="6"/>
      <c r="F95" s="6"/>
      <c r="G95" s="6"/>
      <c r="H95" s="392"/>
      <c r="I95" s="390"/>
      <c r="J95" s="316"/>
      <c r="K95" s="316"/>
      <c r="L95" s="316"/>
      <c r="M95" s="573"/>
    </row>
    <row r="96" spans="1:14" s="306" customFormat="1" ht="117" thickTop="1" thickBot="1" x14ac:dyDescent="0.3">
      <c r="A96" s="325" t="s">
        <v>142</v>
      </c>
      <c r="B96" s="326" t="s">
        <v>143</v>
      </c>
      <c r="C96" s="559" t="s">
        <v>525</v>
      </c>
      <c r="D96" s="238" t="s">
        <v>526</v>
      </c>
      <c r="E96" s="414" t="s">
        <v>527</v>
      </c>
      <c r="F96" s="560" t="s">
        <v>528</v>
      </c>
      <c r="G96" s="561" t="s">
        <v>384</v>
      </c>
      <c r="H96" s="392"/>
      <c r="I96" s="390"/>
      <c r="J96" s="316"/>
      <c r="K96" s="316"/>
      <c r="L96" s="316"/>
      <c r="M96" s="573"/>
    </row>
    <row r="97" spans="1:13" s="306" customFormat="1" ht="12.75" thickTop="1" x14ac:dyDescent="0.2">
      <c r="A97" s="314">
        <f>'1. AgeData'!$D$30</f>
        <v>60</v>
      </c>
      <c r="B97" s="568">
        <f>'1. AgeData'!$D$31</f>
        <v>55</v>
      </c>
      <c r="C97" s="360">
        <f t="shared" ref="C97:C133" si="5">C52+D52</f>
        <v>101000</v>
      </c>
      <c r="D97" s="360">
        <f t="shared" ref="D97:D133" si="6">G52+H52</f>
        <v>86000</v>
      </c>
      <c r="E97" s="1542">
        <f t="shared" ref="E97:E133" si="7">I52+J52</f>
        <v>21477</v>
      </c>
      <c r="F97" s="1302">
        <f>'2. TaxData'!$K226</f>
        <v>19446.5</v>
      </c>
      <c r="G97" s="562">
        <f t="shared" ref="G97:G133" si="8">E97-F97</f>
        <v>2030.5</v>
      </c>
      <c r="H97" s="392"/>
      <c r="I97" s="1300"/>
      <c r="J97" s="1301"/>
      <c r="K97" s="1301"/>
      <c r="L97" s="316"/>
      <c r="M97" s="573"/>
    </row>
    <row r="98" spans="1:13" s="306" customFormat="1" ht="12" x14ac:dyDescent="0.2">
      <c r="A98" s="320">
        <f>A97+1</f>
        <v>61</v>
      </c>
      <c r="B98" s="566">
        <f>B97+1</f>
        <v>56</v>
      </c>
      <c r="C98" s="317">
        <f t="shared" si="5"/>
        <v>102820</v>
      </c>
      <c r="D98" s="317">
        <f t="shared" si="6"/>
        <v>113178.68</v>
      </c>
      <c r="E98" s="517">
        <f t="shared" si="7"/>
        <v>19845.404999999984</v>
      </c>
      <c r="F98" s="317">
        <f>'2. TaxData'!$K227</f>
        <v>19344.921117647056</v>
      </c>
      <c r="G98" s="563">
        <f t="shared" si="8"/>
        <v>500.48388235292805</v>
      </c>
      <c r="H98" s="392"/>
      <c r="I98" s="390"/>
      <c r="J98" s="316"/>
      <c r="K98" s="316"/>
      <c r="L98" s="316"/>
      <c r="M98" s="573"/>
    </row>
    <row r="99" spans="1:13" s="306" customFormat="1" ht="12" x14ac:dyDescent="0.2">
      <c r="A99" s="320">
        <f t="shared" ref="A99:A133" si="9">A98+1</f>
        <v>62</v>
      </c>
      <c r="B99" s="566">
        <f t="shared" ref="B99:B133" si="10">B98+1</f>
        <v>57</v>
      </c>
      <c r="C99" s="317">
        <f t="shared" si="5"/>
        <v>104673.39999999998</v>
      </c>
      <c r="D99" s="317">
        <f t="shared" si="6"/>
        <v>113254.16</v>
      </c>
      <c r="E99" s="517">
        <f t="shared" si="7"/>
        <v>17342.350299999984</v>
      </c>
      <c r="F99" s="317">
        <f>'2. TaxData'!$K228</f>
        <v>19228.962965553095</v>
      </c>
      <c r="G99" s="563">
        <f t="shared" si="8"/>
        <v>-1886.6126655531116</v>
      </c>
      <c r="H99" s="392"/>
      <c r="I99" s="390"/>
      <c r="J99" s="316"/>
      <c r="K99" s="316"/>
      <c r="L99" s="316"/>
      <c r="M99" s="573"/>
    </row>
    <row r="100" spans="1:13" s="306" customFormat="1" ht="12" x14ac:dyDescent="0.2">
      <c r="A100" s="320">
        <f t="shared" si="9"/>
        <v>63</v>
      </c>
      <c r="B100" s="566">
        <f t="shared" si="10"/>
        <v>58</v>
      </c>
      <c r="C100" s="317">
        <f t="shared" si="5"/>
        <v>67961.46862499998</v>
      </c>
      <c r="D100" s="317">
        <f t="shared" si="6"/>
        <v>149834.62399999998</v>
      </c>
      <c r="E100" s="517">
        <f t="shared" si="7"/>
        <v>-18250.192210822512</v>
      </c>
      <c r="F100" s="317">
        <f>'2. TaxData'!$K229</f>
        <v>10268.001241932736</v>
      </c>
      <c r="G100" s="563">
        <f t="shared" si="8"/>
        <v>-28518.193452755248</v>
      </c>
      <c r="H100" s="392"/>
      <c r="I100" s="390"/>
      <c r="J100" s="316"/>
      <c r="K100" s="316"/>
      <c r="L100" s="316"/>
      <c r="M100" s="573"/>
    </row>
    <row r="101" spans="1:13" s="306" customFormat="1" ht="12" x14ac:dyDescent="0.2">
      <c r="A101" s="320">
        <f t="shared" si="9"/>
        <v>64</v>
      </c>
      <c r="B101" s="566">
        <f t="shared" si="10"/>
        <v>59</v>
      </c>
      <c r="C101" s="317">
        <f t="shared" si="5"/>
        <v>68633.227044374973</v>
      </c>
      <c r="D101" s="317">
        <f t="shared" si="6"/>
        <v>154174.96471999999</v>
      </c>
      <c r="E101" s="517">
        <f t="shared" si="7"/>
        <v>-15996.212059719954</v>
      </c>
      <c r="F101" s="317">
        <f>'2. TaxData'!$K230</f>
        <v>9936.8637041482871</v>
      </c>
      <c r="G101" s="563">
        <f t="shared" si="8"/>
        <v>-25933.075763868241</v>
      </c>
      <c r="H101" s="392"/>
      <c r="I101" s="390"/>
      <c r="J101" s="316"/>
      <c r="K101" s="316"/>
      <c r="L101" s="316"/>
      <c r="M101" s="573"/>
    </row>
    <row r="102" spans="1:13" s="306" customFormat="1" ht="12" x14ac:dyDescent="0.2">
      <c r="A102" s="320">
        <f t="shared" si="9"/>
        <v>65</v>
      </c>
      <c r="B102" s="566">
        <f t="shared" si="10"/>
        <v>60</v>
      </c>
      <c r="C102" s="317">
        <f t="shared" si="5"/>
        <v>69314.199018590574</v>
      </c>
      <c r="D102" s="317">
        <f t="shared" si="6"/>
        <v>117783.5955008</v>
      </c>
      <c r="E102" s="517">
        <f t="shared" si="7"/>
        <v>-7824.4932001588386</v>
      </c>
      <c r="F102" s="317">
        <f>'2. TaxData'!$K231</f>
        <v>9617.107593361281</v>
      </c>
      <c r="G102" s="563">
        <f t="shared" si="8"/>
        <v>-17441.60079352012</v>
      </c>
      <c r="H102" s="392"/>
      <c r="I102" s="390"/>
      <c r="J102" s="316"/>
      <c r="K102" s="316"/>
      <c r="L102" s="316"/>
      <c r="M102" s="573"/>
    </row>
    <row r="103" spans="1:13" s="306" customFormat="1" ht="12" x14ac:dyDescent="0.2">
      <c r="A103" s="320">
        <f t="shared" si="9"/>
        <v>66</v>
      </c>
      <c r="B103" s="566">
        <f t="shared" si="10"/>
        <v>61</v>
      </c>
      <c r="C103" s="317">
        <f t="shared" si="5"/>
        <v>128584.93075466579</v>
      </c>
      <c r="D103" s="317">
        <f t="shared" si="6"/>
        <v>119859.26741081601</v>
      </c>
      <c r="E103" s="517">
        <f t="shared" si="7"/>
        <v>60557.893685990479</v>
      </c>
      <c r="F103" s="317">
        <f>'2. TaxData'!$K232</f>
        <v>22440.293504947102</v>
      </c>
      <c r="G103" s="563">
        <f t="shared" si="8"/>
        <v>38117.600181043381</v>
      </c>
      <c r="H103" s="392"/>
      <c r="I103" s="390"/>
      <c r="J103" s="316"/>
      <c r="K103" s="316"/>
      <c r="L103" s="316"/>
      <c r="M103" s="573"/>
    </row>
    <row r="104" spans="1:13" s="306" customFormat="1" ht="12" x14ac:dyDescent="0.2">
      <c r="A104" s="320">
        <f t="shared" si="9"/>
        <v>67</v>
      </c>
      <c r="B104" s="566">
        <f t="shared" si="10"/>
        <v>62</v>
      </c>
      <c r="C104" s="317">
        <f t="shared" si="5"/>
        <v>130456.39461932714</v>
      </c>
      <c r="D104" s="317">
        <f t="shared" si="6"/>
        <v>82921.140058956778</v>
      </c>
      <c r="E104" s="517">
        <f t="shared" si="7"/>
        <v>62174.884641925426</v>
      </c>
      <c r="F104" s="317">
        <f>'2. TaxData'!$K233</f>
        <v>22460.234817640201</v>
      </c>
      <c r="G104" s="563">
        <f t="shared" si="8"/>
        <v>39714.649824285225</v>
      </c>
      <c r="H104" s="392"/>
      <c r="I104" s="390"/>
      <c r="J104" s="316"/>
      <c r="K104" s="316"/>
      <c r="L104" s="316"/>
      <c r="M104" s="573"/>
    </row>
    <row r="105" spans="1:13" s="306" customFormat="1" ht="12" x14ac:dyDescent="0.2">
      <c r="A105" s="320">
        <f t="shared" si="9"/>
        <v>68</v>
      </c>
      <c r="B105" s="566">
        <f t="shared" si="10"/>
        <v>63</v>
      </c>
      <c r="C105" s="317">
        <f t="shared" si="5"/>
        <v>132360.96650508163</v>
      </c>
      <c r="D105" s="317">
        <f t="shared" si="6"/>
        <v>86057.051931639318</v>
      </c>
      <c r="E105" s="517">
        <f t="shared" si="7"/>
        <v>56251.615572403607</v>
      </c>
      <c r="F105" s="317">
        <f>'2. TaxData'!$K234</f>
        <v>22476.304650928778</v>
      </c>
      <c r="G105" s="563">
        <f t="shared" si="8"/>
        <v>33775.310921474826</v>
      </c>
      <c r="H105" s="392"/>
      <c r="I105" s="390"/>
      <c r="J105" s="316"/>
      <c r="K105" s="316"/>
      <c r="L105" s="316"/>
      <c r="M105" s="573"/>
    </row>
    <row r="106" spans="1:13" s="306" customFormat="1" ht="12" x14ac:dyDescent="0.2">
      <c r="A106" s="320">
        <f t="shared" si="9"/>
        <v>69</v>
      </c>
      <c r="B106" s="566">
        <f t="shared" si="10"/>
        <v>64</v>
      </c>
      <c r="C106" s="317">
        <f t="shared" si="5"/>
        <v>155122.56758050848</v>
      </c>
      <c r="D106" s="317">
        <f t="shared" si="6"/>
        <v>92876.109529072506</v>
      </c>
      <c r="E106" s="517">
        <f t="shared" si="7"/>
        <v>72075.776840812992</v>
      </c>
      <c r="F106" s="317">
        <f>'2. TaxData'!$K235</f>
        <v>27695.013285824993</v>
      </c>
      <c r="G106" s="563">
        <f t="shared" si="8"/>
        <v>44380.763554988</v>
      </c>
      <c r="H106" s="392"/>
      <c r="I106" s="390"/>
      <c r="J106" s="316"/>
      <c r="K106" s="316"/>
      <c r="L106" s="316"/>
      <c r="M106" s="573"/>
    </row>
    <row r="107" spans="1:13" s="306" customFormat="1" ht="12" x14ac:dyDescent="0.2">
      <c r="A107" s="320">
        <f t="shared" si="9"/>
        <v>70</v>
      </c>
      <c r="B107" s="566">
        <f t="shared" si="10"/>
        <v>65</v>
      </c>
      <c r="C107" s="317">
        <f t="shared" si="5"/>
        <v>161011.71833647703</v>
      </c>
      <c r="D107" s="317">
        <f t="shared" si="6"/>
        <v>103961.78819561307</v>
      </c>
      <c r="E107" s="517">
        <f t="shared" si="7"/>
        <v>90262.379334264246</v>
      </c>
      <c r="F107" s="317">
        <f>'2. TaxData'!$K236</f>
        <v>28599.313363158064</v>
      </c>
      <c r="G107" s="563">
        <f t="shared" si="8"/>
        <v>61663.065971106182</v>
      </c>
      <c r="H107" s="392"/>
      <c r="I107" s="390"/>
      <c r="J107" s="316"/>
      <c r="K107" s="316"/>
      <c r="L107" s="316"/>
      <c r="M107" s="573"/>
    </row>
    <row r="108" spans="1:13" s="306" customFormat="1" ht="12" x14ac:dyDescent="0.2">
      <c r="A108" s="320">
        <f t="shared" si="9"/>
        <v>71</v>
      </c>
      <c r="B108" s="566">
        <f t="shared" si="10"/>
        <v>66</v>
      </c>
      <c r="C108" s="317">
        <f t="shared" si="5"/>
        <v>163444.22806210519</v>
      </c>
      <c r="D108" s="317">
        <f t="shared" si="6"/>
        <v>127520.07435643172</v>
      </c>
      <c r="E108" s="517">
        <f t="shared" si="7"/>
        <v>105233.26164426001</v>
      </c>
      <c r="F108" s="317">
        <f>'2. TaxData'!$K237</f>
        <v>28736.79853224328</v>
      </c>
      <c r="G108" s="563">
        <f t="shared" si="8"/>
        <v>76496.463112016732</v>
      </c>
      <c r="H108" s="392"/>
      <c r="I108" s="390"/>
      <c r="J108" s="316"/>
      <c r="K108" s="316"/>
      <c r="L108" s="316"/>
      <c r="M108" s="573"/>
    </row>
    <row r="109" spans="1:13" s="306" customFormat="1" ht="12" x14ac:dyDescent="0.2">
      <c r="A109" s="320">
        <f t="shared" si="9"/>
        <v>72</v>
      </c>
      <c r="B109" s="566">
        <f t="shared" si="10"/>
        <v>67</v>
      </c>
      <c r="C109" s="317">
        <f t="shared" si="5"/>
        <v>147986.65638149867</v>
      </c>
      <c r="D109" s="317">
        <f t="shared" si="6"/>
        <v>101255.03546590311</v>
      </c>
      <c r="E109" s="517">
        <f t="shared" si="7"/>
        <v>83292.469569101202</v>
      </c>
      <c r="F109" s="317">
        <f>'2. TaxData'!$K238</f>
        <v>24735.239518841794</v>
      </c>
      <c r="G109" s="563">
        <f t="shared" si="8"/>
        <v>58557.230050259408</v>
      </c>
      <c r="H109" s="392"/>
      <c r="I109" s="390"/>
      <c r="J109" s="316"/>
      <c r="K109" s="316"/>
      <c r="L109" s="316"/>
      <c r="M109" s="573"/>
    </row>
    <row r="110" spans="1:13" s="306" customFormat="1" ht="12" x14ac:dyDescent="0.2">
      <c r="A110" s="320">
        <f t="shared" si="9"/>
        <v>73</v>
      </c>
      <c r="B110" s="566">
        <f t="shared" si="10"/>
        <v>68</v>
      </c>
      <c r="C110" s="317">
        <f t="shared" si="5"/>
        <v>150239.38282200991</v>
      </c>
      <c r="D110" s="317">
        <f t="shared" si="6"/>
        <v>83596.036718414223</v>
      </c>
      <c r="E110" s="517">
        <f t="shared" si="7"/>
        <v>85212.306829272653</v>
      </c>
      <c r="F110" s="317">
        <f>'2. TaxData'!$K239</f>
        <v>24891.121377444098</v>
      </c>
      <c r="G110" s="563">
        <f t="shared" si="8"/>
        <v>60321.185451828555</v>
      </c>
      <c r="H110" s="392"/>
      <c r="I110" s="390"/>
      <c r="J110" s="316"/>
      <c r="K110" s="316"/>
      <c r="L110" s="316"/>
      <c r="M110" s="573"/>
    </row>
    <row r="111" spans="1:13" s="306" customFormat="1" ht="12" x14ac:dyDescent="0.2">
      <c r="A111" s="320">
        <f t="shared" si="9"/>
        <v>74</v>
      </c>
      <c r="B111" s="566">
        <f t="shared" si="10"/>
        <v>69</v>
      </c>
      <c r="C111" s="317">
        <f t="shared" si="5"/>
        <v>152533.97875789582</v>
      </c>
      <c r="D111" s="317">
        <f t="shared" si="6"/>
        <v>86967.17559737683</v>
      </c>
      <c r="E111" s="517">
        <f t="shared" si="7"/>
        <v>86192.723015422409</v>
      </c>
      <c r="F111" s="317">
        <f>'2. TaxData'!$K240</f>
        <v>25053.105914363034</v>
      </c>
      <c r="G111" s="563">
        <f t="shared" si="8"/>
        <v>61139.617101059375</v>
      </c>
      <c r="H111" s="392"/>
      <c r="I111" s="390"/>
      <c r="J111" s="316"/>
      <c r="K111" s="316"/>
      <c r="L111" s="316"/>
      <c r="M111" s="573"/>
    </row>
    <row r="112" spans="1:13" s="306" customFormat="1" ht="12" x14ac:dyDescent="0.2">
      <c r="A112" s="320">
        <f t="shared" si="9"/>
        <v>75</v>
      </c>
      <c r="B112" s="566">
        <f t="shared" si="10"/>
        <v>70</v>
      </c>
      <c r="C112" s="513">
        <f t="shared" si="5"/>
        <v>111763.95615037341</v>
      </c>
      <c r="D112" s="513">
        <f t="shared" si="6"/>
        <v>288287.96735045756</v>
      </c>
      <c r="E112" s="557">
        <f t="shared" si="7"/>
        <v>-117719.35678774312</v>
      </c>
      <c r="F112" s="513">
        <f>'2. TaxData'!$K241</f>
        <v>15596.365835653665</v>
      </c>
      <c r="G112" s="521">
        <f t="shared" si="8"/>
        <v>-133315.72262339678</v>
      </c>
      <c r="H112" s="392"/>
      <c r="I112" s="390"/>
      <c r="J112" s="316"/>
      <c r="K112" s="316"/>
      <c r="L112" s="316"/>
      <c r="M112" s="573"/>
    </row>
    <row r="113" spans="1:13" s="306" customFormat="1" ht="12" x14ac:dyDescent="0.2">
      <c r="A113" s="320">
        <f t="shared" si="9"/>
        <v>76</v>
      </c>
      <c r="B113" s="566">
        <f t="shared" si="10"/>
        <v>71</v>
      </c>
      <c r="C113" s="317">
        <f t="shared" si="5"/>
        <v>113929.23527338088</v>
      </c>
      <c r="D113" s="317">
        <f t="shared" si="6"/>
        <v>75915.049491510843</v>
      </c>
      <c r="E113" s="517">
        <f t="shared" si="7"/>
        <v>58041.647816996745</v>
      </c>
      <c r="F113" s="317">
        <f>'2. TaxData'!$K242</f>
        <v>14689.756769040181</v>
      </c>
      <c r="G113" s="563">
        <f t="shared" si="8"/>
        <v>43351.891047956567</v>
      </c>
      <c r="H113" s="392"/>
      <c r="I113" s="390"/>
      <c r="J113" s="316"/>
      <c r="K113" s="316"/>
      <c r="L113" s="316"/>
      <c r="M113" s="573"/>
    </row>
    <row r="114" spans="1:13" s="306" customFormat="1" ht="12" x14ac:dyDescent="0.2">
      <c r="A114" s="320">
        <f t="shared" si="9"/>
        <v>77</v>
      </c>
      <c r="B114" s="566">
        <f t="shared" si="10"/>
        <v>72</v>
      </c>
      <c r="C114" s="317">
        <f t="shared" si="5"/>
        <v>116137.81997884852</v>
      </c>
      <c r="D114" s="317">
        <f t="shared" si="6"/>
        <v>75332.988352552435</v>
      </c>
      <c r="E114" s="517">
        <f t="shared" si="7"/>
        <v>62540.452956953639</v>
      </c>
      <c r="F114" s="317">
        <f>'2. TaxData'!$K243</f>
        <v>14817.462853087049</v>
      </c>
      <c r="G114" s="563">
        <f t="shared" si="8"/>
        <v>47722.990103866592</v>
      </c>
      <c r="H114" s="392"/>
      <c r="I114" s="390"/>
      <c r="J114" s="316"/>
      <c r="K114" s="316"/>
      <c r="L114" s="316"/>
      <c r="M114" s="573"/>
    </row>
    <row r="115" spans="1:13" s="306" customFormat="1" ht="12" x14ac:dyDescent="0.2">
      <c r="A115" s="320">
        <f t="shared" si="9"/>
        <v>78</v>
      </c>
      <c r="B115" s="566">
        <f t="shared" si="10"/>
        <v>73</v>
      </c>
      <c r="C115" s="317">
        <f t="shared" si="5"/>
        <v>118390.57637842548</v>
      </c>
      <c r="D115" s="317">
        <f t="shared" si="6"/>
        <v>76839.648119603473</v>
      </c>
      <c r="E115" s="517">
        <f t="shared" si="7"/>
        <v>63946.996036745943</v>
      </c>
      <c r="F115" s="317">
        <f>'2. TaxData'!$K244</f>
        <v>14962.36433885419</v>
      </c>
      <c r="G115" s="563">
        <f t="shared" si="8"/>
        <v>48984.631697891753</v>
      </c>
      <c r="H115" s="392"/>
      <c r="I115" s="390"/>
      <c r="J115" s="316"/>
      <c r="K115" s="316"/>
      <c r="L115" s="316"/>
      <c r="M115" s="573"/>
    </row>
    <row r="116" spans="1:13" s="306" customFormat="1" ht="12" x14ac:dyDescent="0.2">
      <c r="A116" s="320">
        <f t="shared" si="9"/>
        <v>79</v>
      </c>
      <c r="B116" s="566">
        <f t="shared" si="10"/>
        <v>74</v>
      </c>
      <c r="C116" s="317">
        <f t="shared" si="5"/>
        <v>107295.43039476963</v>
      </c>
      <c r="D116" s="317">
        <f t="shared" si="6"/>
        <v>123974.63078211562</v>
      </c>
      <c r="E116" s="517">
        <f t="shared" si="7"/>
        <v>50064.451931990217</v>
      </c>
      <c r="F116" s="317">
        <f>'2. TaxData'!$K245</f>
        <v>13270.521945003076</v>
      </c>
      <c r="G116" s="563">
        <f t="shared" si="8"/>
        <v>36793.929986987139</v>
      </c>
      <c r="H116" s="392"/>
      <c r="I116" s="390"/>
      <c r="J116" s="316"/>
      <c r="K116" s="316"/>
      <c r="L116" s="316"/>
      <c r="M116" s="573"/>
    </row>
    <row r="117" spans="1:13" s="306" customFormat="1" ht="12" x14ac:dyDescent="0.2">
      <c r="A117" s="320">
        <f t="shared" si="9"/>
        <v>80</v>
      </c>
      <c r="B117" s="566">
        <f t="shared" si="10"/>
        <v>75</v>
      </c>
      <c r="C117" s="317">
        <f t="shared" si="5"/>
        <v>109371.33900266502</v>
      </c>
      <c r="D117" s="317">
        <f t="shared" si="6"/>
        <v>79943.969903635458</v>
      </c>
      <c r="E117" s="517">
        <f t="shared" si="7"/>
        <v>53000.659066794986</v>
      </c>
      <c r="F117" s="317">
        <f>'2. TaxData'!$K246</f>
        <v>13353.891003922465</v>
      </c>
      <c r="G117" s="563">
        <f t="shared" si="8"/>
        <v>39646.768062872521</v>
      </c>
      <c r="H117" s="392"/>
      <c r="I117" s="390"/>
      <c r="J117" s="316"/>
      <c r="K117" s="316"/>
      <c r="L117" s="316"/>
      <c r="M117" s="573"/>
    </row>
    <row r="118" spans="1:13" s="306" customFormat="1" ht="12" x14ac:dyDescent="0.2">
      <c r="A118" s="320">
        <f t="shared" si="9"/>
        <v>81</v>
      </c>
      <c r="B118" s="566">
        <f t="shared" si="10"/>
        <v>76</v>
      </c>
      <c r="C118" s="317">
        <f t="shared" si="5"/>
        <v>111488.76578271831</v>
      </c>
      <c r="D118" s="317">
        <f t="shared" si="6"/>
        <v>81542.849301708164</v>
      </c>
      <c r="E118" s="517">
        <f t="shared" si="7"/>
        <v>52727.670994717133</v>
      </c>
      <c r="F118" s="317">
        <f>'2. TaxData'!$K247</f>
        <v>13448.08349886392</v>
      </c>
      <c r="G118" s="563">
        <f t="shared" si="8"/>
        <v>39279.587495853215</v>
      </c>
      <c r="H118" s="392"/>
      <c r="I118" s="390"/>
      <c r="J118" s="316"/>
      <c r="K118" s="316"/>
      <c r="L118" s="316"/>
      <c r="M118" s="573"/>
    </row>
    <row r="119" spans="1:13" s="306" customFormat="1" ht="12" x14ac:dyDescent="0.2">
      <c r="A119" s="320">
        <f t="shared" si="9"/>
        <v>82</v>
      </c>
      <c r="B119" s="566">
        <f t="shared" si="10"/>
        <v>77</v>
      </c>
      <c r="C119" s="317">
        <f t="shared" si="5"/>
        <v>113648.54109837268</v>
      </c>
      <c r="D119" s="317">
        <f t="shared" si="6"/>
        <v>83173.70628774233</v>
      </c>
      <c r="E119" s="517">
        <f t="shared" si="7"/>
        <v>53762.874859753574</v>
      </c>
      <c r="F119" s="317">
        <f>'2. TaxData'!$K248</f>
        <v>13536.493235489013</v>
      </c>
      <c r="G119" s="563">
        <f t="shared" si="8"/>
        <v>40226.381624264563</v>
      </c>
      <c r="H119" s="392"/>
      <c r="I119" s="390"/>
      <c r="J119" s="316"/>
      <c r="K119" s="316"/>
      <c r="L119" s="316"/>
      <c r="M119" s="573"/>
    </row>
    <row r="120" spans="1:13" s="306" customFormat="1" ht="12" x14ac:dyDescent="0.2">
      <c r="A120" s="320">
        <f t="shared" si="9"/>
        <v>83</v>
      </c>
      <c r="B120" s="566">
        <f t="shared" si="10"/>
        <v>78</v>
      </c>
      <c r="C120" s="317">
        <f t="shared" si="5"/>
        <v>115851.51192034013</v>
      </c>
      <c r="D120" s="317">
        <f t="shared" si="6"/>
        <v>84837.180413497161</v>
      </c>
      <c r="E120" s="517">
        <f t="shared" si="7"/>
        <v>54855.113154625564</v>
      </c>
      <c r="F120" s="317">
        <f>'2. TaxData'!$K249</f>
        <v>13625.752266605894</v>
      </c>
      <c r="G120" s="563">
        <f t="shared" si="8"/>
        <v>41229.36088801967</v>
      </c>
      <c r="H120" s="392"/>
      <c r="I120" s="390"/>
      <c r="J120" s="316"/>
      <c r="K120" s="316"/>
      <c r="L120" s="316"/>
      <c r="M120" s="573"/>
    </row>
    <row r="121" spans="1:13" s="306" customFormat="1" ht="12" x14ac:dyDescent="0.2">
      <c r="A121" s="320">
        <f t="shared" si="9"/>
        <v>84</v>
      </c>
      <c r="B121" s="566">
        <f t="shared" si="10"/>
        <v>79</v>
      </c>
      <c r="C121" s="317">
        <f t="shared" si="5"/>
        <v>118098.54215874693</v>
      </c>
      <c r="D121" s="317">
        <f t="shared" si="6"/>
        <v>86533.924021767103</v>
      </c>
      <c r="E121" s="517">
        <f t="shared" si="7"/>
        <v>55950.696201541388</v>
      </c>
      <c r="F121" s="317">
        <f>'2. TaxData'!$K250</f>
        <v>13716.057300992177</v>
      </c>
      <c r="G121" s="563">
        <f t="shared" si="8"/>
        <v>42234.638900549209</v>
      </c>
      <c r="H121" s="392"/>
      <c r="I121" s="390"/>
      <c r="J121" s="316"/>
      <c r="K121" s="316"/>
      <c r="L121" s="316"/>
      <c r="M121" s="573"/>
    </row>
    <row r="122" spans="1:13" s="306" customFormat="1" ht="12" x14ac:dyDescent="0.2">
      <c r="A122" s="320">
        <f t="shared" si="9"/>
        <v>85</v>
      </c>
      <c r="B122" s="566">
        <f t="shared" si="10"/>
        <v>80</v>
      </c>
      <c r="C122" s="317">
        <f t="shared" si="5"/>
        <v>48499.975346262654</v>
      </c>
      <c r="D122" s="317">
        <f t="shared" si="6"/>
        <v>88264.602502202441</v>
      </c>
      <c r="E122" s="517">
        <f t="shared" si="7"/>
        <v>-14867.294962801665</v>
      </c>
      <c r="F122" s="317">
        <f>'2. TaxData'!$K251</f>
        <v>5043.4354253620868</v>
      </c>
      <c r="G122" s="563">
        <f t="shared" si="8"/>
        <v>-19910.730388163753</v>
      </c>
      <c r="H122" s="392"/>
      <c r="I122" s="390"/>
      <c r="J122" s="316"/>
      <c r="K122" s="316"/>
      <c r="L122" s="316"/>
      <c r="M122" s="573"/>
    </row>
    <row r="123" spans="1:13" s="306" customFormat="1" ht="12" x14ac:dyDescent="0.2">
      <c r="A123" s="320">
        <f t="shared" si="9"/>
        <v>86</v>
      </c>
      <c r="B123" s="566">
        <f t="shared" si="10"/>
        <v>81</v>
      </c>
      <c r="C123" s="317">
        <f t="shared" si="5"/>
        <v>44942.132665252837</v>
      </c>
      <c r="D123" s="317">
        <f t="shared" si="6"/>
        <v>60243.052116744875</v>
      </c>
      <c r="E123" s="517">
        <f t="shared" si="7"/>
        <v>3507.6557436542535</v>
      </c>
      <c r="F123" s="317">
        <f>'2. TaxData'!$K252</f>
        <v>2462.1442690338954</v>
      </c>
      <c r="G123" s="563">
        <f t="shared" si="8"/>
        <v>1045.5114746203581</v>
      </c>
      <c r="H123" s="392"/>
      <c r="I123" s="390"/>
      <c r="J123" s="316"/>
      <c r="K123" s="316"/>
      <c r="L123" s="316"/>
      <c r="M123" s="573"/>
    </row>
    <row r="124" spans="1:13" s="306" customFormat="1" ht="12" x14ac:dyDescent="0.2">
      <c r="A124" s="320">
        <f t="shared" si="9"/>
        <v>87</v>
      </c>
      <c r="B124" s="566">
        <f t="shared" si="10"/>
        <v>82</v>
      </c>
      <c r="C124" s="317">
        <f t="shared" si="5"/>
        <v>45770.975318557888</v>
      </c>
      <c r="D124" s="317">
        <f t="shared" si="6"/>
        <v>61447.913159079762</v>
      </c>
      <c r="E124" s="517">
        <f t="shared" si="7"/>
        <v>3157.3459485954809</v>
      </c>
      <c r="F124" s="317">
        <f>'2. TaxData'!$K253</f>
        <v>2396.0942375804816</v>
      </c>
      <c r="G124" s="563">
        <f t="shared" si="8"/>
        <v>761.25171101499927</v>
      </c>
      <c r="H124" s="392"/>
      <c r="I124" s="390"/>
      <c r="J124" s="316"/>
      <c r="K124" s="316"/>
      <c r="L124" s="316"/>
      <c r="M124" s="573"/>
    </row>
    <row r="125" spans="1:13" s="306" customFormat="1" ht="12" x14ac:dyDescent="0.2">
      <c r="A125" s="320">
        <f t="shared" si="9"/>
        <v>88</v>
      </c>
      <c r="B125" s="566">
        <f t="shared" si="10"/>
        <v>83</v>
      </c>
      <c r="C125" s="317">
        <f t="shared" si="5"/>
        <v>46616.394824929062</v>
      </c>
      <c r="D125" s="317">
        <f t="shared" si="6"/>
        <v>62676.871422261371</v>
      </c>
      <c r="E125" s="517">
        <f t="shared" si="7"/>
        <v>2802.1644099864134</v>
      </c>
      <c r="F125" s="317">
        <f>'2. TaxData'!$K254</f>
        <v>2328.3980984628733</v>
      </c>
      <c r="G125" s="563">
        <f t="shared" si="8"/>
        <v>473.76631152354003</v>
      </c>
      <c r="H125" s="392"/>
      <c r="I125" s="390"/>
      <c r="J125" s="316"/>
      <c r="K125" s="316"/>
      <c r="L125" s="316"/>
      <c r="M125" s="573"/>
    </row>
    <row r="126" spans="1:13" s="306" customFormat="1" ht="12" x14ac:dyDescent="0.2">
      <c r="A126" s="320">
        <f t="shared" si="9"/>
        <v>89</v>
      </c>
      <c r="B126" s="566">
        <f t="shared" si="10"/>
        <v>84</v>
      </c>
      <c r="C126" s="317">
        <f t="shared" si="5"/>
        <v>47478.722721427635</v>
      </c>
      <c r="D126" s="317">
        <f t="shared" si="6"/>
        <v>63930.40885070659</v>
      </c>
      <c r="E126" s="517">
        <f t="shared" si="7"/>
        <v>2442.6482527992521</v>
      </c>
      <c r="F126" s="317">
        <f>'2. TaxData'!$K255</f>
        <v>2259.0335953460071</v>
      </c>
      <c r="G126" s="563">
        <f t="shared" si="8"/>
        <v>183.61465745324494</v>
      </c>
      <c r="H126" s="392"/>
      <c r="I126" s="390"/>
      <c r="J126" s="316"/>
      <c r="K126" s="316"/>
      <c r="L126" s="316"/>
      <c r="M126" s="573"/>
    </row>
    <row r="127" spans="1:13" s="306" customFormat="1" ht="12" x14ac:dyDescent="0.2">
      <c r="A127" s="320">
        <f t="shared" si="9"/>
        <v>90</v>
      </c>
      <c r="B127" s="566">
        <f t="shared" si="10"/>
        <v>85</v>
      </c>
      <c r="C127" s="317">
        <f t="shared" si="5"/>
        <v>48358.297175856191</v>
      </c>
      <c r="D127" s="317">
        <f t="shared" si="6"/>
        <v>65209.017027720722</v>
      </c>
      <c r="E127" s="517">
        <f t="shared" si="7"/>
        <v>1973.7641167183319</v>
      </c>
      <c r="F127" s="317">
        <f>'2. TaxData'!$K256</f>
        <v>2187.9787607995863</v>
      </c>
      <c r="G127" s="563">
        <f t="shared" si="8"/>
        <v>-214.21464408125439</v>
      </c>
      <c r="H127" s="392"/>
      <c r="I127" s="390"/>
      <c r="J127" s="316"/>
      <c r="K127" s="316"/>
      <c r="L127" s="316"/>
      <c r="M127" s="573"/>
    </row>
    <row r="128" spans="1:13" s="306" customFormat="1" ht="12" x14ac:dyDescent="0.2">
      <c r="A128" s="320">
        <f t="shared" si="9"/>
        <v>91</v>
      </c>
      <c r="B128" s="566">
        <f t="shared" si="10"/>
        <v>86</v>
      </c>
      <c r="C128" s="317">
        <f t="shared" si="5"/>
        <v>49255.463119373308</v>
      </c>
      <c r="D128" s="317">
        <f t="shared" si="6"/>
        <v>66513.197368275127</v>
      </c>
      <c r="E128" s="517">
        <f t="shared" si="7"/>
        <v>1500.5581944277874</v>
      </c>
      <c r="F128" s="317">
        <f>'2. TaxData'!$K257</f>
        <v>850.64518588932276</v>
      </c>
      <c r="G128" s="563">
        <f t="shared" si="8"/>
        <v>649.91300853846462</v>
      </c>
      <c r="H128" s="392"/>
      <c r="I128" s="390"/>
      <c r="J128" s="316"/>
      <c r="K128" s="316"/>
      <c r="L128" s="316"/>
      <c r="M128" s="573"/>
    </row>
    <row r="129" spans="1:13" s="306" customFormat="1" ht="12" x14ac:dyDescent="0.2">
      <c r="A129" s="320">
        <f t="shared" si="9"/>
        <v>92</v>
      </c>
      <c r="B129" s="566">
        <f t="shared" si="10"/>
        <v>87</v>
      </c>
      <c r="C129" s="317">
        <f t="shared" si="5"/>
        <v>3500</v>
      </c>
      <c r="D129" s="317">
        <f t="shared" si="6"/>
        <v>67843.461315640641</v>
      </c>
      <c r="E129" s="517">
        <f t="shared" si="7"/>
        <v>-45641.77936295118</v>
      </c>
      <c r="F129" s="317">
        <f>'2. TaxData'!$K258</f>
        <v>0</v>
      </c>
      <c r="G129" s="563">
        <f t="shared" si="8"/>
        <v>-45641.77936295118</v>
      </c>
      <c r="H129" s="392"/>
      <c r="I129" s="390"/>
      <c r="J129" s="316"/>
      <c r="K129" s="316"/>
      <c r="L129" s="316"/>
      <c r="M129" s="573"/>
    </row>
    <row r="130" spans="1:13" s="306" customFormat="1" ht="12" x14ac:dyDescent="0.2">
      <c r="A130" s="320">
        <f t="shared" si="9"/>
        <v>93</v>
      </c>
      <c r="B130" s="566">
        <f t="shared" si="10"/>
        <v>88</v>
      </c>
      <c r="C130" s="317">
        <f t="shared" si="5"/>
        <v>0</v>
      </c>
      <c r="D130" s="317">
        <f t="shared" si="6"/>
        <v>0</v>
      </c>
      <c r="E130" s="517">
        <f>I85+J85</f>
        <v>12782.109979255671</v>
      </c>
      <c r="F130" s="317">
        <f>'2. TaxData'!$K259</f>
        <v>0</v>
      </c>
      <c r="G130" s="563">
        <f t="shared" si="8"/>
        <v>12782.109979255671</v>
      </c>
      <c r="H130" s="392"/>
      <c r="I130" s="390"/>
      <c r="J130" s="316"/>
      <c r="K130" s="316"/>
      <c r="L130" s="316"/>
      <c r="M130" s="573"/>
    </row>
    <row r="131" spans="1:13" s="306" customFormat="1" ht="12" x14ac:dyDescent="0.2">
      <c r="A131" s="320">
        <f t="shared" si="9"/>
        <v>94</v>
      </c>
      <c r="B131" s="566">
        <f t="shared" si="10"/>
        <v>89</v>
      </c>
      <c r="C131" s="317">
        <f t="shared" si="5"/>
        <v>0</v>
      </c>
      <c r="D131" s="317">
        <f t="shared" si="6"/>
        <v>0</v>
      </c>
      <c r="E131" s="517">
        <f t="shared" si="7"/>
        <v>12556.902161270484</v>
      </c>
      <c r="F131" s="317">
        <f>'2. TaxData'!$K260</f>
        <v>0</v>
      </c>
      <c r="G131" s="563">
        <f t="shared" si="8"/>
        <v>12556.902161270484</v>
      </c>
      <c r="H131" s="392"/>
      <c r="I131" s="390"/>
      <c r="J131" s="316"/>
      <c r="K131" s="316"/>
      <c r="L131" s="316"/>
      <c r="M131" s="573"/>
    </row>
    <row r="132" spans="1:13" s="306" customFormat="1" ht="12" x14ac:dyDescent="0.2">
      <c r="A132" s="320">
        <f t="shared" si="9"/>
        <v>95</v>
      </c>
      <c r="B132" s="566">
        <f t="shared" si="10"/>
        <v>90</v>
      </c>
      <c r="C132" s="317">
        <f t="shared" si="5"/>
        <v>0</v>
      </c>
      <c r="D132" s="317">
        <f t="shared" si="6"/>
        <v>0</v>
      </c>
      <c r="E132" s="517">
        <f t="shared" si="7"/>
        <v>12294.198126815643</v>
      </c>
      <c r="F132" s="317">
        <f>'2. TaxData'!$K261</f>
        <v>0</v>
      </c>
      <c r="G132" s="563">
        <f t="shared" si="8"/>
        <v>12294.198126815643</v>
      </c>
      <c r="H132" s="392"/>
      <c r="I132" s="390"/>
      <c r="J132" s="316"/>
      <c r="K132" s="316"/>
      <c r="L132" s="316"/>
      <c r="M132" s="573"/>
    </row>
    <row r="133" spans="1:13" s="306" customFormat="1" ht="12.75" thickBot="1" x14ac:dyDescent="0.25">
      <c r="A133" s="564">
        <f t="shared" si="9"/>
        <v>96</v>
      </c>
      <c r="B133" s="567">
        <f t="shared" si="10"/>
        <v>91</v>
      </c>
      <c r="C133" s="323">
        <f t="shared" si="5"/>
        <v>0</v>
      </c>
      <c r="D133" s="323">
        <f t="shared" si="6"/>
        <v>0</v>
      </c>
      <c r="E133" s="519">
        <f t="shared" si="7"/>
        <v>12042.348738792227</v>
      </c>
      <c r="F133" s="323">
        <f>'2. TaxData'!$K262</f>
        <v>0</v>
      </c>
      <c r="G133" s="565">
        <f t="shared" si="8"/>
        <v>12042.348738792227</v>
      </c>
      <c r="H133" s="574"/>
      <c r="I133" s="575"/>
      <c r="J133" s="322"/>
      <c r="K133" s="322"/>
      <c r="L133" s="322"/>
      <c r="M133" s="576"/>
    </row>
    <row r="134" spans="1:13" s="306" customFormat="1" ht="12.75" thickTop="1" x14ac:dyDescent="0.2">
      <c r="A134" s="321"/>
      <c r="B134" s="391"/>
      <c r="C134" s="393"/>
      <c r="D134" s="392"/>
      <c r="E134" s="390"/>
      <c r="F134" s="391"/>
      <c r="G134" s="393"/>
      <c r="H134" s="392"/>
      <c r="I134" s="390"/>
    </row>
    <row r="135" spans="1:13" s="1382" customFormat="1" ht="15.75" x14ac:dyDescent="0.25">
      <c r="B135" s="1383" t="s">
        <v>1112</v>
      </c>
      <c r="G135" s="1383" t="s">
        <v>1113</v>
      </c>
    </row>
    <row r="136" spans="1:13" s="1382" customFormat="1" ht="16.5" thickBot="1" x14ac:dyDescent="0.3">
      <c r="B136" s="1383"/>
      <c r="G136" s="1383"/>
    </row>
    <row r="137" spans="1:13" s="306" customFormat="1" ht="19.5" thickTop="1" x14ac:dyDescent="0.3">
      <c r="A137" s="960" t="s">
        <v>486</v>
      </c>
      <c r="B137" s="946"/>
      <c r="C137" s="946"/>
      <c r="D137" s="947"/>
      <c r="E137" s="947"/>
      <c r="F137" s="946"/>
      <c r="G137" s="946"/>
      <c r="H137" s="949"/>
      <c r="I137" s="390"/>
    </row>
    <row r="138" spans="1:13" s="306" customFormat="1" ht="15.75" x14ac:dyDescent="0.25">
      <c r="A138" s="964" t="s">
        <v>736</v>
      </c>
      <c r="B138" s="944"/>
      <c r="C138" s="944"/>
      <c r="D138" s="945"/>
      <c r="E138" s="945"/>
      <c r="F138" s="944"/>
      <c r="G138" s="944"/>
      <c r="H138" s="950"/>
      <c r="I138" s="390"/>
    </row>
    <row r="139" spans="1:13" s="306" customFormat="1" x14ac:dyDescent="0.25">
      <c r="A139" s="1054"/>
      <c r="B139" s="943" t="s">
        <v>326</v>
      </c>
      <c r="C139" s="945"/>
      <c r="D139" s="945"/>
      <c r="E139" s="945"/>
      <c r="F139" s="944"/>
      <c r="G139" s="944"/>
      <c r="H139" s="950"/>
      <c r="I139" s="390"/>
    </row>
    <row r="140" spans="1:13" s="306" customFormat="1" x14ac:dyDescent="0.25">
      <c r="A140" s="1054"/>
      <c r="B140" s="1356" t="s">
        <v>870</v>
      </c>
      <c r="C140" s="1357"/>
      <c r="D140" s="1357"/>
      <c r="E140" s="945"/>
      <c r="F140" s="944"/>
      <c r="G140" s="944"/>
      <c r="H140" s="950"/>
      <c r="I140" s="390"/>
    </row>
    <row r="141" spans="1:13" s="306" customFormat="1" x14ac:dyDescent="0.25">
      <c r="A141" s="1054"/>
      <c r="B141" s="942" t="s">
        <v>1103</v>
      </c>
      <c r="C141" s="945"/>
      <c r="D141" s="945"/>
      <c r="E141" s="945"/>
      <c r="F141" s="944"/>
      <c r="G141" s="944"/>
      <c r="H141" s="950"/>
      <c r="I141" s="390"/>
    </row>
    <row r="142" spans="1:13" s="306" customFormat="1" x14ac:dyDescent="0.25">
      <c r="A142" s="1054" t="s">
        <v>154</v>
      </c>
      <c r="B142" s="942" t="s">
        <v>1104</v>
      </c>
      <c r="C142" s="945"/>
      <c r="D142" s="945"/>
      <c r="E142" s="945"/>
      <c r="F142" s="944"/>
      <c r="G142" s="944"/>
      <c r="H142" s="950"/>
      <c r="I142" s="390"/>
    </row>
    <row r="143" spans="1:13" s="306" customFormat="1" x14ac:dyDescent="0.25">
      <c r="A143" s="1054"/>
      <c r="B143" s="942" t="s">
        <v>1105</v>
      </c>
      <c r="C143" s="945"/>
      <c r="D143" s="945"/>
      <c r="E143" s="945"/>
      <c r="F143" s="944"/>
      <c r="G143" s="944"/>
      <c r="H143" s="950"/>
      <c r="I143" s="390"/>
    </row>
    <row r="144" spans="1:13" s="306" customFormat="1" x14ac:dyDescent="0.25">
      <c r="A144" s="1890"/>
      <c r="B144" s="942" t="s">
        <v>1106</v>
      </c>
      <c r="C144" s="1019"/>
      <c r="D144" s="945"/>
      <c r="E144" s="945"/>
      <c r="F144" s="944"/>
      <c r="G144" s="944"/>
      <c r="H144" s="950"/>
      <c r="I144" s="390"/>
    </row>
    <row r="145" spans="1:9" s="306" customFormat="1" x14ac:dyDescent="0.25">
      <c r="A145" s="1890"/>
      <c r="B145" s="942" t="s">
        <v>1449</v>
      </c>
      <c r="C145" s="1019"/>
      <c r="D145" s="945"/>
      <c r="E145" s="945"/>
      <c r="F145" s="944"/>
      <c r="G145" s="944"/>
      <c r="H145" s="950"/>
      <c r="I145" s="390"/>
    </row>
    <row r="146" spans="1:9" s="306" customFormat="1" x14ac:dyDescent="0.25">
      <c r="A146" s="1890"/>
      <c r="B146" s="942" t="s">
        <v>1462</v>
      </c>
      <c r="C146" s="1019"/>
      <c r="D146" s="945"/>
      <c r="E146" s="945"/>
      <c r="F146" s="944"/>
      <c r="G146" s="944"/>
      <c r="H146" s="950"/>
      <c r="I146" s="390"/>
    </row>
    <row r="147" spans="1:9" s="306" customFormat="1" x14ac:dyDescent="0.25">
      <c r="A147" s="1890"/>
      <c r="B147" s="942" t="s">
        <v>1450</v>
      </c>
      <c r="C147" s="1019"/>
      <c r="D147" s="945"/>
      <c r="E147" s="945"/>
      <c r="F147" s="944"/>
      <c r="G147" s="944"/>
      <c r="H147" s="950"/>
      <c r="I147" s="390"/>
    </row>
    <row r="148" spans="1:9" s="306" customFormat="1" x14ac:dyDescent="0.25">
      <c r="A148" s="1890"/>
      <c r="B148" s="942" t="s">
        <v>1107</v>
      </c>
      <c r="C148" s="1019"/>
      <c r="D148" s="945"/>
      <c r="E148" s="945"/>
      <c r="F148" s="944"/>
      <c r="G148" s="944"/>
      <c r="H148" s="950"/>
      <c r="I148" s="390"/>
    </row>
    <row r="149" spans="1:9" s="306" customFormat="1" x14ac:dyDescent="0.25">
      <c r="A149" s="1890"/>
      <c r="B149" s="943" t="s">
        <v>1108</v>
      </c>
      <c r="C149" s="1019"/>
      <c r="D149" s="945"/>
      <c r="E149" s="945"/>
      <c r="F149" s="944"/>
      <c r="G149" s="944"/>
      <c r="H149" s="950"/>
      <c r="I149" s="390"/>
    </row>
    <row r="150" spans="1:9" s="306" customFormat="1" x14ac:dyDescent="0.25">
      <c r="A150" s="1890"/>
      <c r="B150" s="943" t="s">
        <v>1100</v>
      </c>
      <c r="C150" s="1019"/>
      <c r="D150" s="945"/>
      <c r="E150" s="945"/>
      <c r="F150" s="944"/>
      <c r="G150" s="944"/>
      <c r="H150" s="950"/>
      <c r="I150" s="390"/>
    </row>
    <row r="151" spans="1:9" s="306" customFormat="1" x14ac:dyDescent="0.25">
      <c r="A151" s="1054"/>
      <c r="B151" s="943" t="s">
        <v>1099</v>
      </c>
      <c r="C151" s="945"/>
      <c r="D151" s="945"/>
      <c r="E151" s="945"/>
      <c r="F151" s="944"/>
      <c r="G151" s="944"/>
      <c r="H151" s="950"/>
      <c r="I151" s="390"/>
    </row>
    <row r="152" spans="1:9" s="306" customFormat="1" x14ac:dyDescent="0.25">
      <c r="A152" s="1054"/>
      <c r="B152" s="943" t="s">
        <v>1098</v>
      </c>
      <c r="C152" s="945"/>
      <c r="D152" s="945"/>
      <c r="E152" s="945"/>
      <c r="F152" s="944"/>
      <c r="G152" s="944"/>
      <c r="H152" s="950"/>
      <c r="I152" s="390"/>
    </row>
    <row r="153" spans="1:9" s="306" customFormat="1" x14ac:dyDescent="0.25">
      <c r="A153" s="1054"/>
      <c r="B153" s="942" t="s">
        <v>1097</v>
      </c>
      <c r="C153" s="945"/>
      <c r="D153" s="945"/>
      <c r="E153" s="945"/>
      <c r="F153" s="944"/>
      <c r="G153" s="944"/>
      <c r="H153" s="950"/>
      <c r="I153" s="390"/>
    </row>
    <row r="154" spans="1:9" s="306" customFormat="1" x14ac:dyDescent="0.25">
      <c r="A154" s="1054"/>
      <c r="B154" s="943" t="s">
        <v>1101</v>
      </c>
      <c r="C154" s="945"/>
      <c r="D154" s="945"/>
      <c r="E154" s="945"/>
      <c r="F154" s="944"/>
      <c r="G154" s="944"/>
      <c r="H154" s="950"/>
      <c r="I154" s="390"/>
    </row>
    <row r="155" spans="1:9" s="306" customFormat="1" x14ac:dyDescent="0.25">
      <c r="A155" s="1054"/>
      <c r="B155" s="943" t="s">
        <v>1102</v>
      </c>
      <c r="C155" s="945"/>
      <c r="D155" s="1019" t="s">
        <v>1762</v>
      </c>
      <c r="E155" s="945"/>
      <c r="F155" s="944"/>
      <c r="G155" s="944"/>
      <c r="H155" s="950"/>
      <c r="I155" s="390"/>
    </row>
    <row r="156" spans="1:9" s="306" customFormat="1" x14ac:dyDescent="0.25">
      <c r="A156" s="1083"/>
      <c r="B156" s="1081" t="s">
        <v>719</v>
      </c>
      <c r="C156" s="945"/>
      <c r="D156" s="1019" t="s">
        <v>1764</v>
      </c>
      <c r="E156" s="945"/>
      <c r="F156" s="944"/>
      <c r="G156" s="944"/>
      <c r="H156" s="950"/>
      <c r="I156" s="390"/>
    </row>
    <row r="157" spans="1:9" s="306" customFormat="1" x14ac:dyDescent="0.25">
      <c r="A157" s="1083"/>
      <c r="B157" s="1081" t="s">
        <v>720</v>
      </c>
      <c r="C157" s="945"/>
      <c r="D157" s="1019" t="s">
        <v>1289</v>
      </c>
      <c r="E157" s="945"/>
      <c r="F157" s="945"/>
      <c r="G157" s="945"/>
      <c r="H157" s="950"/>
      <c r="I157" s="390"/>
    </row>
    <row r="158" spans="1:9" s="306" customFormat="1" x14ac:dyDescent="0.25">
      <c r="A158" s="1083"/>
      <c r="B158" s="1081" t="s">
        <v>721</v>
      </c>
      <c r="C158" s="945"/>
      <c r="D158" s="945" t="s">
        <v>722</v>
      </c>
      <c r="E158" s="945"/>
      <c r="F158" s="945"/>
      <c r="G158" s="945"/>
      <c r="H158" s="950"/>
      <c r="I158" s="390"/>
    </row>
    <row r="159" spans="1:9" s="306" customFormat="1" x14ac:dyDescent="0.25">
      <c r="A159" s="1083"/>
      <c r="B159" s="1081" t="s">
        <v>725</v>
      </c>
      <c r="C159" s="945"/>
      <c r="D159" s="1019" t="s">
        <v>1763</v>
      </c>
      <c r="E159" s="945"/>
      <c r="F159" s="945"/>
      <c r="G159" s="945"/>
      <c r="H159" s="950"/>
      <c r="I159" s="390"/>
    </row>
    <row r="160" spans="1:9" s="306" customFormat="1" ht="15.75" thickBot="1" x14ac:dyDescent="0.3">
      <c r="A160" s="1088"/>
      <c r="B160" s="1089" t="s">
        <v>577</v>
      </c>
      <c r="C160" s="948"/>
      <c r="D160" s="1087" t="s">
        <v>578</v>
      </c>
      <c r="E160" s="948"/>
      <c r="F160" s="948"/>
      <c r="G160" s="948"/>
      <c r="H160" s="951"/>
      <c r="I160" s="390"/>
    </row>
    <row r="161" ht="15.75" thickTop="1" x14ac:dyDescent="0.25"/>
  </sheetData>
  <sheetProtection sheet="1" objects="1" scenarios="1"/>
  <phoneticPr fontId="2" type="noConversion"/>
  <dataValidations count="1">
    <dataValidation showInputMessage="1" showErrorMessage="1" sqref="J40:J41"/>
  </dataValidations>
  <hyperlinks>
    <hyperlink ref="J40" location="Setup!A1" display="Setup"/>
    <hyperlink ref="B135" location="'10. ExpensesData'!A1" display="Previous worksheet (10. ExpensesData)"/>
    <hyperlink ref="G135" location="'12. RMDtable'!A1" display="Next worksheet (RMDtable)"/>
    <hyperlink ref="B1" location="'10. ExpensesData'!A1" display="Previous worksheet (10. ExpensesData)"/>
    <hyperlink ref="G1" location="'12. RMDtable'!A1" display="Next worksheet (RMDtable)"/>
    <hyperlink ref="B142" location="'S. Setup'!A1" display="Setup"/>
    <hyperlink ref="B143" location="'1. AgeData'!A1" display="AgeData"/>
    <hyperlink ref="B144" location="'2. TaxData'!A1" display="TaxData"/>
    <hyperlink ref="B146" location="'4. PensionData'!A1" display="4. PensionData"/>
    <hyperlink ref="B147" location="'5. SocSecData'!A1" display="5. SocSecData"/>
    <hyperlink ref="B145" location="'3. WorkData'!A1" display="3. WorkData"/>
    <hyperlink ref="B148" location="'6. AnnuityData'!A1" display="AnnuityData"/>
    <hyperlink ref="B149" location="'7. IRAdata'!A1" display="IRAdata"/>
    <hyperlink ref="B150" location="'8. RothData'!A1" display="RothData"/>
    <hyperlink ref="B151" location="'9. SavingsData'!A1" display="SavingsData"/>
    <hyperlink ref="B141" location="'R. Results'!A1" display="Results"/>
    <hyperlink ref="B153" location="'11. CashData'!A1" display="CashData"/>
    <hyperlink ref="B152" location="'10. ExpensesData'!A1" display="ExpensesData"/>
    <hyperlink ref="B154" location="'12. RMDtable'!A1" display="RMDtable"/>
    <hyperlink ref="B139" location="Introduction!A1" display="Introduction"/>
    <hyperlink ref="B159" location="'Appendix D'!A1" display="Appendix D"/>
    <hyperlink ref="B156" location="'Appendix A'!A1" display="Appendix A"/>
    <hyperlink ref="B157" location="'Appendix B'!A1" display="Appendix B"/>
    <hyperlink ref="B158" location="'Appendix C'!A1" display="Appendix C"/>
    <hyperlink ref="B160" location="FAQ!A1" display="FAQ"/>
    <hyperlink ref="B140" location="Assumptions!A1" display="Assumptions"/>
    <hyperlink ref="B155" location="'RS. Resources'!A1" display="Resources"/>
  </hyperlinks>
  <printOptions headings="1" gridLines="1"/>
  <pageMargins left="0.7" right="0.7" top="0.75" bottom="0.75" header="0.3" footer="0.3"/>
  <pageSetup orientation="landscape" horizontalDpi="1200" verticalDpi="1200" r:id="rId1"/>
  <headerFooter alignWithMargins="0">
    <oddHeader>&amp;L&amp;F&amp;C   &amp;D&amp;T&amp;R&amp;A &amp;P</oddHeader>
  </headerFooter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M182"/>
  <sheetViews>
    <sheetView workbookViewId="0">
      <selection activeCell="L2" sqref="L2:M2"/>
    </sheetView>
  </sheetViews>
  <sheetFormatPr defaultRowHeight="15" x14ac:dyDescent="0.25"/>
  <cols>
    <col min="2" max="2" width="12.28515625" customWidth="1"/>
    <col min="6" max="6" width="4" customWidth="1"/>
    <col min="8" max="8" width="10.28515625" customWidth="1"/>
    <col min="11" max="11" width="10" customWidth="1"/>
    <col min="12" max="12" width="5.85546875" customWidth="1"/>
  </cols>
  <sheetData>
    <row r="1" spans="1:13" s="1382" customFormat="1" ht="15.75" x14ac:dyDescent="0.25">
      <c r="B1" s="1383" t="s">
        <v>1111</v>
      </c>
      <c r="G1" s="1383" t="s">
        <v>1110</v>
      </c>
    </row>
    <row r="2" spans="1:13" s="1382" customFormat="1" ht="15.75" x14ac:dyDescent="0.25">
      <c r="A2" s="1410"/>
      <c r="B2" s="1411"/>
      <c r="C2" s="1410"/>
      <c r="D2" s="1410"/>
      <c r="E2" s="1410"/>
      <c r="F2" s="1410"/>
      <c r="G2" s="1411"/>
      <c r="H2" s="1410"/>
      <c r="I2" s="1410"/>
      <c r="J2" s="1410"/>
      <c r="K2" s="1410"/>
      <c r="L2" s="1410"/>
      <c r="M2" s="1410"/>
    </row>
    <row r="3" spans="1:13" s="6" customFormat="1" x14ac:dyDescent="0.25"/>
    <row r="4" spans="1:13" ht="18.75" x14ac:dyDescent="0.3">
      <c r="A4" s="230" t="s">
        <v>789</v>
      </c>
    </row>
    <row r="5" spans="1:13" ht="18.75" x14ac:dyDescent="0.3">
      <c r="A5" s="230"/>
    </row>
    <row r="6" spans="1:13" ht="15.75" x14ac:dyDescent="0.25">
      <c r="A6" s="1582" t="s">
        <v>2989</v>
      </c>
    </row>
    <row r="7" spans="1:13" x14ac:dyDescent="0.25">
      <c r="A7" s="66" t="s">
        <v>3464</v>
      </c>
    </row>
    <row r="8" spans="1:13" x14ac:dyDescent="0.25">
      <c r="A8" t="s">
        <v>2999</v>
      </c>
    </row>
    <row r="9" spans="1:13" x14ac:dyDescent="0.25">
      <c r="A9" t="s">
        <v>3000</v>
      </c>
    </row>
    <row r="10" spans="1:13" x14ac:dyDescent="0.25">
      <c r="A10" t="s">
        <v>3001</v>
      </c>
    </row>
    <row r="11" spans="1:13" ht="19.5" thickBot="1" x14ac:dyDescent="0.35">
      <c r="A11" s="230"/>
    </row>
    <row r="12" spans="1:13" ht="19.5" thickBot="1" x14ac:dyDescent="0.35">
      <c r="B12" s="1469" t="s">
        <v>919</v>
      </c>
      <c r="C12" s="1374"/>
      <c r="D12" s="1374"/>
      <c r="E12" s="1374"/>
      <c r="F12" s="1470"/>
      <c r="G12" s="1374"/>
      <c r="H12" s="1374"/>
      <c r="I12" s="1374"/>
      <c r="J12" s="934"/>
      <c r="K12" s="215"/>
      <c r="L12" s="1373"/>
    </row>
    <row r="13" spans="1:13" ht="15.75" thickBot="1" x14ac:dyDescent="0.3">
      <c r="A13" s="41"/>
      <c r="B13" s="208"/>
      <c r="C13" s="208"/>
      <c r="D13" s="208"/>
      <c r="E13" s="208"/>
      <c r="F13" s="208"/>
      <c r="G13" s="208"/>
      <c r="H13" s="208"/>
      <c r="I13" s="208"/>
      <c r="J13" s="208"/>
      <c r="K13" s="208"/>
    </row>
    <row r="14" spans="1:13" ht="15.75" thickTop="1" x14ac:dyDescent="0.25">
      <c r="A14" s="52" t="s">
        <v>49</v>
      </c>
      <c r="F14" s="180" t="s">
        <v>1891</v>
      </c>
      <c r="K14" s="14"/>
      <c r="L14" s="213"/>
    </row>
    <row r="15" spans="1:13" x14ac:dyDescent="0.25">
      <c r="A15" s="137" t="s">
        <v>665</v>
      </c>
      <c r="B15" s="56"/>
      <c r="C15" s="4"/>
      <c r="E15" s="56"/>
      <c r="F15" s="57" t="s">
        <v>47</v>
      </c>
      <c r="H15" s="56"/>
      <c r="I15" s="56"/>
      <c r="J15" s="56"/>
      <c r="K15" s="56"/>
      <c r="L15" s="118"/>
    </row>
    <row r="16" spans="1:13" x14ac:dyDescent="0.25">
      <c r="A16" s="137" t="s">
        <v>44</v>
      </c>
      <c r="B16" s="56"/>
      <c r="C16" s="58"/>
      <c r="E16" s="56"/>
      <c r="F16" s="57" t="s">
        <v>45</v>
      </c>
      <c r="H16" s="56"/>
      <c r="I16" s="56"/>
      <c r="J16" s="56"/>
      <c r="K16" s="56"/>
      <c r="L16" s="118"/>
    </row>
    <row r="17" spans="1:12" x14ac:dyDescent="0.25">
      <c r="A17" s="1338" t="s">
        <v>1380</v>
      </c>
      <c r="B17" s="56"/>
      <c r="C17" s="58"/>
      <c r="E17" s="56"/>
      <c r="F17" s="57" t="s">
        <v>1379</v>
      </c>
      <c r="H17" s="56"/>
      <c r="I17" s="56"/>
      <c r="J17" s="56"/>
      <c r="K17" s="56"/>
      <c r="L17" s="1415"/>
    </row>
    <row r="18" spans="1:12" x14ac:dyDescent="0.25">
      <c r="A18" s="138" t="s">
        <v>390</v>
      </c>
      <c r="B18" s="56"/>
      <c r="C18" s="58"/>
      <c r="D18" s="57"/>
      <c r="E18" s="56"/>
      <c r="F18" s="56"/>
      <c r="G18" s="56"/>
      <c r="H18" s="56"/>
      <c r="I18" s="56"/>
      <c r="J18" s="56"/>
      <c r="K18" s="56"/>
      <c r="L18" s="118"/>
    </row>
    <row r="19" spans="1:12" x14ac:dyDescent="0.25">
      <c r="A19" s="82"/>
      <c r="B19" s="56"/>
      <c r="C19" s="58"/>
      <c r="D19" s="57"/>
      <c r="E19" s="56"/>
      <c r="F19" s="56"/>
      <c r="G19" s="56"/>
      <c r="H19" s="56"/>
      <c r="I19" s="56"/>
      <c r="J19" s="56"/>
      <c r="K19" s="56"/>
      <c r="L19" s="118"/>
    </row>
    <row r="20" spans="1:12" x14ac:dyDescent="0.25">
      <c r="A20" s="84" t="s">
        <v>3465</v>
      </c>
      <c r="B20" s="56"/>
      <c r="C20" s="58"/>
      <c r="D20" s="57"/>
      <c r="E20" s="56"/>
      <c r="F20" s="56"/>
      <c r="G20" s="56"/>
      <c r="H20" s="56"/>
      <c r="I20" s="56"/>
      <c r="J20" s="56"/>
      <c r="K20" s="56"/>
      <c r="L20" s="118"/>
    </row>
    <row r="21" spans="1:12" x14ac:dyDescent="0.25">
      <c r="A21" s="1267" t="s">
        <v>1893</v>
      </c>
      <c r="B21" s="56"/>
      <c r="C21" s="58"/>
      <c r="D21" s="56"/>
      <c r="E21" s="56"/>
      <c r="F21" s="56"/>
      <c r="G21" s="56"/>
      <c r="H21" s="56"/>
      <c r="I21" s="56"/>
      <c r="J21" s="56"/>
      <c r="K21" s="56"/>
      <c r="L21" s="118"/>
    </row>
    <row r="22" spans="1:12" x14ac:dyDescent="0.25">
      <c r="A22" s="1267" t="s">
        <v>1894</v>
      </c>
      <c r="B22" s="56"/>
      <c r="C22" s="58"/>
      <c r="D22" s="56"/>
      <c r="E22" s="1000"/>
      <c r="F22" s="1000"/>
      <c r="G22" s="1000"/>
      <c r="H22" s="1000"/>
      <c r="I22" s="1000"/>
      <c r="J22" s="1000"/>
      <c r="K22" s="1000"/>
      <c r="L22" s="118"/>
    </row>
    <row r="23" spans="1:12" x14ac:dyDescent="0.25">
      <c r="A23" s="1416" t="s">
        <v>715</v>
      </c>
      <c r="B23" s="2355" t="s">
        <v>686</v>
      </c>
      <c r="C23" s="2356"/>
      <c r="D23" s="2355"/>
      <c r="E23" s="2355"/>
      <c r="F23" s="2355"/>
      <c r="G23" s="2355"/>
      <c r="H23" s="2355"/>
      <c r="I23" s="1000"/>
      <c r="J23" s="1000"/>
      <c r="K23" s="1000"/>
      <c r="L23" s="1415"/>
    </row>
    <row r="24" spans="1:12" x14ac:dyDescent="0.25">
      <c r="A24" s="1267" t="s">
        <v>1895</v>
      </c>
      <c r="B24" s="56"/>
      <c r="C24" s="58"/>
      <c r="D24" s="56"/>
      <c r="E24" s="56"/>
      <c r="F24" s="56"/>
      <c r="G24" s="56"/>
      <c r="H24" s="56"/>
      <c r="I24" s="56"/>
      <c r="J24" s="56"/>
      <c r="K24" s="56"/>
      <c r="L24" s="118"/>
    </row>
    <row r="25" spans="1:12" x14ac:dyDescent="0.25">
      <c r="A25" s="1252" t="s">
        <v>1900</v>
      </c>
      <c r="B25" s="56"/>
      <c r="C25" s="2354"/>
      <c r="D25" s="56"/>
      <c r="E25" s="56"/>
      <c r="F25" s="4"/>
      <c r="G25" s="4"/>
      <c r="H25" s="56"/>
      <c r="I25" s="56"/>
      <c r="J25" s="56"/>
      <c r="K25" s="58"/>
      <c r="L25" s="118"/>
    </row>
    <row r="26" spans="1:12" x14ac:dyDescent="0.25">
      <c r="A26" s="1267" t="s">
        <v>1892</v>
      </c>
      <c r="B26" s="56"/>
      <c r="C26" s="58"/>
      <c r="D26" s="56"/>
      <c r="E26" s="56"/>
      <c r="F26" s="56"/>
      <c r="G26" s="56"/>
      <c r="H26" s="4"/>
      <c r="I26" s="56"/>
      <c r="J26" s="56"/>
      <c r="K26" s="56"/>
      <c r="L26" s="118"/>
    </row>
    <row r="27" spans="1:12" x14ac:dyDescent="0.25">
      <c r="A27" s="61"/>
      <c r="B27" s="56"/>
      <c r="C27" s="58"/>
      <c r="D27" s="56"/>
      <c r="E27" s="56"/>
      <c r="F27" s="56"/>
      <c r="G27" s="56"/>
      <c r="H27" s="4"/>
      <c r="I27" s="56"/>
      <c r="J27" s="56"/>
      <c r="K27" s="56"/>
      <c r="L27" s="118"/>
    </row>
    <row r="28" spans="1:12" x14ac:dyDescent="0.25">
      <c r="A28" s="40" t="s">
        <v>387</v>
      </c>
      <c r="B28" s="56"/>
      <c r="C28" s="56"/>
      <c r="D28" s="56"/>
      <c r="E28" s="56"/>
      <c r="F28" s="56"/>
      <c r="G28" s="1138" t="s">
        <v>46</v>
      </c>
      <c r="H28" s="56"/>
      <c r="I28" s="56"/>
      <c r="J28" s="56"/>
      <c r="K28" s="56"/>
      <c r="L28" s="118"/>
    </row>
    <row r="29" spans="1:12" x14ac:dyDescent="0.25">
      <c r="A29" s="55"/>
      <c r="B29" s="56"/>
      <c r="C29" s="58"/>
      <c r="D29" s="56"/>
      <c r="E29" s="56"/>
      <c r="F29" s="56"/>
      <c r="G29" s="57"/>
      <c r="H29" s="56"/>
      <c r="I29" s="56"/>
      <c r="J29" s="56"/>
      <c r="K29" s="56"/>
      <c r="L29" s="118"/>
    </row>
    <row r="30" spans="1:12" x14ac:dyDescent="0.25">
      <c r="A30" s="40" t="s">
        <v>985</v>
      </c>
      <c r="B30" s="56"/>
      <c r="C30" s="4"/>
      <c r="D30" s="4"/>
      <c r="E30" s="4"/>
      <c r="F30" s="4"/>
      <c r="G30" s="4"/>
      <c r="H30" s="4"/>
      <c r="I30" s="4"/>
      <c r="J30" s="4"/>
      <c r="K30" s="212"/>
      <c r="L30" s="118"/>
    </row>
    <row r="31" spans="1:12" x14ac:dyDescent="0.25">
      <c r="A31" s="40" t="s">
        <v>986</v>
      </c>
      <c r="B31" s="4"/>
      <c r="C31" s="58"/>
      <c r="D31" s="56"/>
      <c r="E31" s="56"/>
      <c r="F31" s="56"/>
      <c r="G31" s="57"/>
      <c r="H31" s="56"/>
      <c r="I31" s="56"/>
      <c r="J31" s="56"/>
      <c r="K31" s="56"/>
      <c r="L31" s="118"/>
    </row>
    <row r="32" spans="1:12" ht="16.5" x14ac:dyDescent="0.35">
      <c r="A32" s="137" t="s">
        <v>668</v>
      </c>
      <c r="B32" s="56"/>
      <c r="C32" s="58"/>
      <c r="D32" s="56"/>
      <c r="E32" s="56"/>
      <c r="F32" s="56"/>
      <c r="G32" s="1138" t="s">
        <v>47</v>
      </c>
      <c r="H32" s="56"/>
      <c r="I32" s="56"/>
      <c r="J32" s="56"/>
      <c r="K32" s="56"/>
      <c r="L32" s="118"/>
    </row>
    <row r="33" spans="1:12" x14ac:dyDescent="0.25">
      <c r="A33" s="140" t="s">
        <v>667</v>
      </c>
      <c r="B33" s="4"/>
      <c r="C33" s="4"/>
      <c r="D33" s="4"/>
      <c r="E33" s="4"/>
      <c r="F33" s="4"/>
      <c r="G33" s="4"/>
      <c r="H33" s="4"/>
      <c r="I33" s="4"/>
      <c r="J33" s="4"/>
      <c r="K33" s="6"/>
      <c r="L33" s="118"/>
    </row>
    <row r="34" spans="1:12" x14ac:dyDescent="0.25">
      <c r="A34" s="2335"/>
      <c r="B34" s="4"/>
      <c r="C34" s="4"/>
      <c r="D34" s="4"/>
      <c r="E34" s="4"/>
      <c r="F34" s="4"/>
      <c r="G34" s="4"/>
      <c r="H34" s="4"/>
      <c r="I34" s="4"/>
      <c r="J34" s="4"/>
      <c r="K34" s="6"/>
      <c r="L34" s="1415"/>
    </row>
    <row r="35" spans="1:12" x14ac:dyDescent="0.25">
      <c r="A35" s="3045" t="s">
        <v>2302</v>
      </c>
      <c r="B35" s="2656"/>
      <c r="C35" s="2656"/>
      <c r="D35" s="2656"/>
      <c r="E35" s="2566"/>
      <c r="F35" s="2566"/>
      <c r="G35" s="2566"/>
      <c r="H35" s="3046"/>
      <c r="I35" s="3046"/>
      <c r="J35" s="3046"/>
      <c r="K35" s="2566"/>
      <c r="L35" s="1415"/>
    </row>
    <row r="36" spans="1:12" x14ac:dyDescent="0.25">
      <c r="A36" s="3045" t="s">
        <v>2303</v>
      </c>
      <c r="B36" s="2656"/>
      <c r="C36" s="2656"/>
      <c r="D36" s="2656"/>
      <c r="E36" s="2566"/>
      <c r="F36" s="2566"/>
      <c r="G36" s="2566"/>
      <c r="H36" s="3046"/>
      <c r="I36" s="3046"/>
      <c r="J36" s="3046"/>
      <c r="K36" s="2566"/>
      <c r="L36" s="1415"/>
    </row>
    <row r="37" spans="1:12" ht="15.75" thickBot="1" x14ac:dyDescent="0.3">
      <c r="A37" s="59"/>
      <c r="B37" s="4"/>
      <c r="C37" s="4"/>
      <c r="D37" s="4"/>
      <c r="E37" s="4"/>
      <c r="F37" s="4"/>
      <c r="G37" s="4"/>
      <c r="H37" s="4"/>
      <c r="I37" s="4"/>
      <c r="J37" s="4"/>
      <c r="K37" s="6"/>
      <c r="L37" s="118"/>
    </row>
    <row r="38" spans="1:12" ht="21" thickTop="1" x14ac:dyDescent="0.4">
      <c r="A38" s="2337" t="s">
        <v>1889</v>
      </c>
      <c r="B38" s="2338"/>
      <c r="C38" s="2339"/>
      <c r="D38" s="2338"/>
      <c r="E38" s="2340"/>
      <c r="F38" s="2349"/>
      <c r="G38" s="2337" t="s">
        <v>1897</v>
      </c>
      <c r="H38" s="2338"/>
      <c r="I38" s="2339"/>
      <c r="J38" s="2338"/>
      <c r="K38" s="2340"/>
      <c r="L38" s="118"/>
    </row>
    <row r="39" spans="1:12" ht="18.75" x14ac:dyDescent="0.3">
      <c r="A39" s="2334" t="s">
        <v>1888</v>
      </c>
      <c r="B39" s="230"/>
      <c r="C39" s="2336"/>
      <c r="D39" s="230"/>
      <c r="E39" s="2341"/>
      <c r="F39" s="56"/>
      <c r="G39" s="2334" t="s">
        <v>1896</v>
      </c>
      <c r="H39" s="230"/>
      <c r="I39" s="2336"/>
      <c r="J39" s="230"/>
      <c r="K39" s="2341"/>
      <c r="L39" s="1415"/>
    </row>
    <row r="40" spans="1:12" ht="15.75" x14ac:dyDescent="0.25">
      <c r="A40" s="1336"/>
      <c r="B40" s="6"/>
      <c r="C40" s="6"/>
      <c r="D40" s="6"/>
      <c r="E40" s="1311"/>
      <c r="F40" s="6"/>
      <c r="G40" s="2334" t="s">
        <v>1890</v>
      </c>
      <c r="H40" s="33"/>
      <c r="I40" s="56"/>
      <c r="J40" s="56"/>
      <c r="K40" s="2346"/>
      <c r="L40" s="1415"/>
    </row>
    <row r="41" spans="1:12" ht="15.75" thickBot="1" x14ac:dyDescent="0.3">
      <c r="A41" s="2342"/>
      <c r="B41" s="2343"/>
      <c r="C41" s="2343"/>
      <c r="D41" s="2344"/>
      <c r="E41" s="2345"/>
      <c r="F41" s="1000"/>
      <c r="G41" s="2347"/>
      <c r="H41" s="56"/>
      <c r="I41" s="56"/>
      <c r="J41" s="56"/>
      <c r="K41" s="2346"/>
      <c r="L41" s="118"/>
    </row>
    <row r="42" spans="1:12" s="442" customFormat="1" ht="46.5" thickTop="1" thickBot="1" x14ac:dyDescent="0.3">
      <c r="A42" s="1488" t="s">
        <v>144</v>
      </c>
      <c r="B42" s="1489" t="s">
        <v>666</v>
      </c>
      <c r="C42" s="3672" t="s">
        <v>1887</v>
      </c>
      <c r="D42" s="3673"/>
      <c r="E42" s="3673"/>
      <c r="F42" s="2333"/>
      <c r="G42" s="1488" t="s">
        <v>144</v>
      </c>
      <c r="H42" s="1489" t="s">
        <v>666</v>
      </c>
      <c r="I42" s="3672" t="s">
        <v>1887</v>
      </c>
      <c r="J42" s="3673"/>
      <c r="K42" s="3674"/>
      <c r="L42" s="1490"/>
    </row>
    <row r="43" spans="1:12" ht="15.75" thickTop="1" x14ac:dyDescent="0.25">
      <c r="A43" s="1491">
        <v>70</v>
      </c>
      <c r="B43" s="1739">
        <v>27.4</v>
      </c>
      <c r="C43" s="1492">
        <f t="shared" ref="C43:C82" si="0">1/B43</f>
        <v>3.6496350364963508E-2</v>
      </c>
      <c r="D43" s="1493"/>
      <c r="E43" s="1493"/>
      <c r="F43" s="2332"/>
      <c r="G43" s="1491">
        <v>0</v>
      </c>
      <c r="H43" s="2350">
        <v>82.4</v>
      </c>
      <c r="I43" s="1492">
        <f t="shared" ref="I43:I106" si="1">1/H43</f>
        <v>1.2135922330097087E-2</v>
      </c>
      <c r="J43" s="1493"/>
      <c r="K43" s="1386"/>
      <c r="L43" s="39"/>
    </row>
    <row r="44" spans="1:12" x14ac:dyDescent="0.25">
      <c r="A44" s="1323">
        <v>71</v>
      </c>
      <c r="B44" s="1740">
        <v>26.5</v>
      </c>
      <c r="C44" s="1362">
        <f t="shared" si="0"/>
        <v>3.7735849056603772E-2</v>
      </c>
      <c r="D44" s="6"/>
      <c r="E44" s="19"/>
      <c r="F44" s="2332"/>
      <c r="G44" s="1323">
        <f>G43+1</f>
        <v>1</v>
      </c>
      <c r="H44" s="2351">
        <v>81.599999999999994</v>
      </c>
      <c r="I44" s="1362">
        <f t="shared" si="1"/>
        <v>1.2254901960784315E-2</v>
      </c>
      <c r="J44" s="6"/>
      <c r="K44" s="1387"/>
      <c r="L44" s="39"/>
    </row>
    <row r="45" spans="1:12" x14ac:dyDescent="0.25">
      <c r="A45" s="1323">
        <v>72</v>
      </c>
      <c r="B45" s="1740">
        <v>25.6</v>
      </c>
      <c r="C45" s="1362">
        <f t="shared" si="0"/>
        <v>3.90625E-2</v>
      </c>
      <c r="D45" s="60"/>
      <c r="E45" s="19"/>
      <c r="F45" s="2332"/>
      <c r="G45" s="1323">
        <f t="shared" ref="G45:G108" si="2">G44+1</f>
        <v>2</v>
      </c>
      <c r="H45" s="2351">
        <v>80.599999999999994</v>
      </c>
      <c r="I45" s="1362">
        <f t="shared" si="1"/>
        <v>1.2406947890818859E-2</v>
      </c>
      <c r="J45" s="19"/>
      <c r="K45" s="1387"/>
      <c r="L45" s="39"/>
    </row>
    <row r="46" spans="1:12" x14ac:dyDescent="0.25">
      <c r="A46" s="1323">
        <v>73</v>
      </c>
      <c r="B46" s="1740">
        <v>24.7</v>
      </c>
      <c r="C46" s="1362">
        <f t="shared" si="0"/>
        <v>4.048582995951417E-2</v>
      </c>
      <c r="D46" s="19"/>
      <c r="E46" s="19"/>
      <c r="F46" s="2332"/>
      <c r="G46" s="1323">
        <f t="shared" si="2"/>
        <v>3</v>
      </c>
      <c r="H46" s="2351">
        <v>79.7</v>
      </c>
      <c r="I46" s="1362">
        <f t="shared" si="1"/>
        <v>1.2547051442910916E-2</v>
      </c>
      <c r="J46" s="19"/>
      <c r="K46" s="1387"/>
      <c r="L46" s="39"/>
    </row>
    <row r="47" spans="1:12" x14ac:dyDescent="0.25">
      <c r="A47" s="1323">
        <v>74</v>
      </c>
      <c r="B47" s="1740">
        <v>23.8</v>
      </c>
      <c r="C47" s="1362">
        <f t="shared" si="0"/>
        <v>4.2016806722689072E-2</v>
      </c>
      <c r="D47" s="19"/>
      <c r="E47" s="19"/>
      <c r="F47" s="2332"/>
      <c r="G47" s="1323">
        <f t="shared" si="2"/>
        <v>4</v>
      </c>
      <c r="H47" s="2351">
        <v>78.7</v>
      </c>
      <c r="I47" s="1362">
        <f t="shared" si="1"/>
        <v>1.2706480304955527E-2</v>
      </c>
      <c r="J47" s="19"/>
      <c r="K47" s="1387"/>
      <c r="L47" s="39"/>
    </row>
    <row r="48" spans="1:12" x14ac:dyDescent="0.25">
      <c r="A48" s="1323">
        <v>75</v>
      </c>
      <c r="B48" s="1740">
        <v>22.9</v>
      </c>
      <c r="C48" s="1362">
        <f t="shared" si="0"/>
        <v>4.3668122270742363E-2</v>
      </c>
      <c r="D48" s="19"/>
      <c r="E48" s="19"/>
      <c r="F48" s="2332"/>
      <c r="G48" s="1323">
        <f t="shared" si="2"/>
        <v>5</v>
      </c>
      <c r="H48" s="2351">
        <v>77.7</v>
      </c>
      <c r="I48" s="1362">
        <f t="shared" si="1"/>
        <v>1.2870012870012869E-2</v>
      </c>
      <c r="J48" s="19"/>
      <c r="K48" s="1387"/>
      <c r="L48" s="39"/>
    </row>
    <row r="49" spans="1:12" x14ac:dyDescent="0.25">
      <c r="A49" s="1323">
        <v>76</v>
      </c>
      <c r="B49" s="1740">
        <v>22</v>
      </c>
      <c r="C49" s="1362">
        <f t="shared" si="0"/>
        <v>4.5454545454545456E-2</v>
      </c>
      <c r="D49" s="19"/>
      <c r="E49" s="19"/>
      <c r="F49" s="2332"/>
      <c r="G49" s="1323">
        <f t="shared" si="2"/>
        <v>6</v>
      </c>
      <c r="H49" s="2351">
        <v>76.7</v>
      </c>
      <c r="I49" s="1362">
        <f t="shared" si="1"/>
        <v>1.3037809647979138E-2</v>
      </c>
      <c r="J49" s="19"/>
      <c r="K49" s="1387"/>
      <c r="L49" s="39"/>
    </row>
    <row r="50" spans="1:12" x14ac:dyDescent="0.25">
      <c r="A50" s="1323">
        <v>77</v>
      </c>
      <c r="B50" s="1740">
        <v>21.2</v>
      </c>
      <c r="C50" s="1362">
        <f t="shared" si="0"/>
        <v>4.716981132075472E-2</v>
      </c>
      <c r="D50" s="19"/>
      <c r="E50" s="19"/>
      <c r="F50" s="2332"/>
      <c r="G50" s="1323">
        <f t="shared" si="2"/>
        <v>7</v>
      </c>
      <c r="H50" s="2351">
        <v>75.8</v>
      </c>
      <c r="I50" s="1362">
        <f t="shared" si="1"/>
        <v>1.3192612137203167E-2</v>
      </c>
      <c r="J50" s="19"/>
      <c r="K50" s="1387"/>
      <c r="L50" s="39"/>
    </row>
    <row r="51" spans="1:12" x14ac:dyDescent="0.25">
      <c r="A51" s="1323">
        <v>78</v>
      </c>
      <c r="B51" s="1740">
        <v>20.3</v>
      </c>
      <c r="C51" s="1362">
        <f t="shared" si="0"/>
        <v>4.926108374384236E-2</v>
      </c>
      <c r="D51" s="19"/>
      <c r="E51" s="19"/>
      <c r="F51" s="2332"/>
      <c r="G51" s="1323">
        <f t="shared" si="2"/>
        <v>8</v>
      </c>
      <c r="H51" s="2351">
        <v>74.8</v>
      </c>
      <c r="I51" s="1362">
        <f t="shared" si="1"/>
        <v>1.3368983957219251E-2</v>
      </c>
      <c r="J51" s="19"/>
      <c r="K51" s="1387"/>
      <c r="L51" s="39"/>
    </row>
    <row r="52" spans="1:12" x14ac:dyDescent="0.25">
      <c r="A52" s="1323">
        <v>79</v>
      </c>
      <c r="B52" s="1740">
        <v>19.5</v>
      </c>
      <c r="C52" s="1362">
        <f t="shared" si="0"/>
        <v>5.128205128205128E-2</v>
      </c>
      <c r="D52" s="19"/>
      <c r="E52" s="19"/>
      <c r="F52" s="2332"/>
      <c r="G52" s="1323">
        <f t="shared" si="2"/>
        <v>9</v>
      </c>
      <c r="H52" s="2351">
        <v>73.8</v>
      </c>
      <c r="I52" s="1362">
        <f t="shared" si="1"/>
        <v>1.3550135501355014E-2</v>
      </c>
      <c r="J52" s="19"/>
      <c r="K52" s="1387"/>
      <c r="L52" s="39"/>
    </row>
    <row r="53" spans="1:12" x14ac:dyDescent="0.25">
      <c r="A53" s="1323">
        <v>80</v>
      </c>
      <c r="B53" s="1740">
        <v>18.7</v>
      </c>
      <c r="C53" s="1362">
        <f t="shared" si="0"/>
        <v>5.3475935828877004E-2</v>
      </c>
      <c r="D53" s="19"/>
      <c r="E53" s="19"/>
      <c r="F53" s="2332"/>
      <c r="G53" s="1323">
        <f t="shared" si="2"/>
        <v>10</v>
      </c>
      <c r="H53" s="2351">
        <v>72.8</v>
      </c>
      <c r="I53" s="1362">
        <f t="shared" si="1"/>
        <v>1.3736263736263736E-2</v>
      </c>
      <c r="J53" s="19"/>
      <c r="K53" s="1387"/>
      <c r="L53" s="39"/>
    </row>
    <row r="54" spans="1:12" x14ac:dyDescent="0.25">
      <c r="A54" s="1323">
        <v>81</v>
      </c>
      <c r="B54" s="1740">
        <v>17.899999999999999</v>
      </c>
      <c r="C54" s="1362">
        <f t="shared" si="0"/>
        <v>5.5865921787709501E-2</v>
      </c>
      <c r="D54" s="19"/>
      <c r="E54" s="19"/>
      <c r="F54" s="2332"/>
      <c r="G54" s="1323">
        <f t="shared" si="2"/>
        <v>11</v>
      </c>
      <c r="H54" s="2351">
        <v>71.8</v>
      </c>
      <c r="I54" s="1362">
        <f t="shared" si="1"/>
        <v>1.3927576601671311E-2</v>
      </c>
      <c r="J54" s="19"/>
      <c r="K54" s="1387"/>
      <c r="L54" s="39"/>
    </row>
    <row r="55" spans="1:12" x14ac:dyDescent="0.25">
      <c r="A55" s="1323">
        <v>82</v>
      </c>
      <c r="B55" s="1740">
        <v>17.100000000000001</v>
      </c>
      <c r="C55" s="1362">
        <f t="shared" si="0"/>
        <v>5.8479532163742687E-2</v>
      </c>
      <c r="D55" s="19"/>
      <c r="E55" s="19"/>
      <c r="F55" s="2332"/>
      <c r="G55" s="1323">
        <f t="shared" si="2"/>
        <v>12</v>
      </c>
      <c r="H55" s="2351">
        <v>70.8</v>
      </c>
      <c r="I55" s="1362">
        <f t="shared" si="1"/>
        <v>1.4124293785310734E-2</v>
      </c>
      <c r="J55" s="19"/>
      <c r="K55" s="1387"/>
      <c r="L55" s="39"/>
    </row>
    <row r="56" spans="1:12" x14ac:dyDescent="0.25">
      <c r="A56" s="1323">
        <v>83</v>
      </c>
      <c r="B56" s="1740">
        <v>16.3</v>
      </c>
      <c r="C56" s="1362">
        <f t="shared" si="0"/>
        <v>6.1349693251533742E-2</v>
      </c>
      <c r="D56" s="19"/>
      <c r="E56" s="19"/>
      <c r="F56" s="2332"/>
      <c r="G56" s="1323">
        <f t="shared" si="2"/>
        <v>13</v>
      </c>
      <c r="H56" s="2351">
        <v>69.900000000000006</v>
      </c>
      <c r="I56" s="1362">
        <f t="shared" si="1"/>
        <v>1.4306151645207437E-2</v>
      </c>
      <c r="J56" s="19"/>
      <c r="K56" s="1387"/>
      <c r="L56" s="39"/>
    </row>
    <row r="57" spans="1:12" x14ac:dyDescent="0.25">
      <c r="A57" s="1323">
        <v>84</v>
      </c>
      <c r="B57" s="1740">
        <v>15.5</v>
      </c>
      <c r="C57" s="1362">
        <f t="shared" si="0"/>
        <v>6.4516129032258063E-2</v>
      </c>
      <c r="D57" s="19"/>
      <c r="E57" s="19"/>
      <c r="F57" s="2332"/>
      <c r="G57" s="1323">
        <f t="shared" si="2"/>
        <v>14</v>
      </c>
      <c r="H57" s="2351">
        <v>68.900000000000006</v>
      </c>
      <c r="I57" s="1362">
        <f t="shared" si="1"/>
        <v>1.4513788098693758E-2</v>
      </c>
      <c r="J57" s="19"/>
      <c r="K57" s="1387"/>
      <c r="L57" s="39"/>
    </row>
    <row r="58" spans="1:12" x14ac:dyDescent="0.25">
      <c r="A58" s="1323">
        <v>85</v>
      </c>
      <c r="B58" s="1740">
        <v>14.8</v>
      </c>
      <c r="C58" s="1362">
        <f t="shared" si="0"/>
        <v>6.7567567567567557E-2</v>
      </c>
      <c r="D58" s="19"/>
      <c r="E58" s="19"/>
      <c r="F58" s="2332"/>
      <c r="G58" s="1323">
        <f t="shared" si="2"/>
        <v>15</v>
      </c>
      <c r="H58" s="2351">
        <v>67.900000000000006</v>
      </c>
      <c r="I58" s="1362">
        <f t="shared" si="1"/>
        <v>1.4727540500736375E-2</v>
      </c>
      <c r="J58" s="19"/>
      <c r="K58" s="1387"/>
      <c r="L58" s="39"/>
    </row>
    <row r="59" spans="1:12" x14ac:dyDescent="0.25">
      <c r="A59" s="1323">
        <v>86</v>
      </c>
      <c r="B59" s="1740">
        <v>14.1</v>
      </c>
      <c r="C59" s="1362">
        <f t="shared" si="0"/>
        <v>7.0921985815602842E-2</v>
      </c>
      <c r="D59" s="19"/>
      <c r="E59" s="19"/>
      <c r="F59" s="2332"/>
      <c r="G59" s="1323">
        <f t="shared" si="2"/>
        <v>16</v>
      </c>
      <c r="H59" s="2351">
        <v>66.900000000000006</v>
      </c>
      <c r="I59" s="1362">
        <f t="shared" si="1"/>
        <v>1.4947683109118086E-2</v>
      </c>
      <c r="J59" s="19"/>
      <c r="K59" s="1387"/>
      <c r="L59" s="39"/>
    </row>
    <row r="60" spans="1:12" x14ac:dyDescent="0.25">
      <c r="A60" s="1323">
        <v>87</v>
      </c>
      <c r="B60" s="1740">
        <v>13.4</v>
      </c>
      <c r="C60" s="1362">
        <f t="shared" si="0"/>
        <v>7.4626865671641784E-2</v>
      </c>
      <c r="D60" s="19"/>
      <c r="E60" s="19"/>
      <c r="F60" s="2332"/>
      <c r="G60" s="1323">
        <f t="shared" si="2"/>
        <v>17</v>
      </c>
      <c r="H60" s="2351">
        <v>66</v>
      </c>
      <c r="I60" s="1362">
        <f t="shared" si="1"/>
        <v>1.5151515151515152E-2</v>
      </c>
      <c r="J60" s="19"/>
      <c r="K60" s="1387"/>
      <c r="L60" s="39"/>
    </row>
    <row r="61" spans="1:12" x14ac:dyDescent="0.25">
      <c r="A61" s="1323">
        <v>88</v>
      </c>
      <c r="B61" s="1740">
        <v>12.7</v>
      </c>
      <c r="C61" s="1362">
        <f t="shared" si="0"/>
        <v>7.874015748031496E-2</v>
      </c>
      <c r="D61" s="19"/>
      <c r="E61" s="19"/>
      <c r="F61" s="2332"/>
      <c r="G61" s="1323">
        <f t="shared" si="2"/>
        <v>18</v>
      </c>
      <c r="H61" s="2351">
        <v>65</v>
      </c>
      <c r="I61" s="1362">
        <f t="shared" si="1"/>
        <v>1.5384615384615385E-2</v>
      </c>
      <c r="J61" s="19"/>
      <c r="K61" s="1387"/>
      <c r="L61" s="39"/>
    </row>
    <row r="62" spans="1:12" x14ac:dyDescent="0.25">
      <c r="A62" s="1323">
        <v>89</v>
      </c>
      <c r="B62" s="1740">
        <v>12</v>
      </c>
      <c r="C62" s="1362">
        <f t="shared" si="0"/>
        <v>8.3333333333333329E-2</v>
      </c>
      <c r="D62" s="19"/>
      <c r="E62" s="19"/>
      <c r="F62" s="2332"/>
      <c r="G62" s="1323">
        <f t="shared" si="2"/>
        <v>19</v>
      </c>
      <c r="H62" s="2351">
        <v>64</v>
      </c>
      <c r="I62" s="1362">
        <f t="shared" si="1"/>
        <v>1.5625E-2</v>
      </c>
      <c r="J62" s="19"/>
      <c r="K62" s="1387"/>
      <c r="L62" s="39"/>
    </row>
    <row r="63" spans="1:12" x14ac:dyDescent="0.25">
      <c r="A63" s="1323">
        <v>90</v>
      </c>
      <c r="B63" s="1740">
        <v>11.4</v>
      </c>
      <c r="C63" s="1362">
        <f t="shared" si="0"/>
        <v>8.771929824561403E-2</v>
      </c>
      <c r="D63" s="19"/>
      <c r="E63" s="19"/>
      <c r="F63" s="2332"/>
      <c r="G63" s="1323">
        <f t="shared" si="2"/>
        <v>20</v>
      </c>
      <c r="H63" s="2351">
        <v>63</v>
      </c>
      <c r="I63" s="1362">
        <f t="shared" si="1"/>
        <v>1.5873015873015872E-2</v>
      </c>
      <c r="J63" s="19"/>
      <c r="K63" s="1387"/>
      <c r="L63" s="39"/>
    </row>
    <row r="64" spans="1:12" x14ac:dyDescent="0.25">
      <c r="A64" s="1323">
        <v>91</v>
      </c>
      <c r="B64" s="1740">
        <v>10.8</v>
      </c>
      <c r="C64" s="1362">
        <f t="shared" si="0"/>
        <v>9.2592592592592587E-2</v>
      </c>
      <c r="D64" s="19"/>
      <c r="E64" s="19"/>
      <c r="F64" s="2332"/>
      <c r="G64" s="1323">
        <f t="shared" si="2"/>
        <v>21</v>
      </c>
      <c r="H64" s="2351">
        <v>62.1</v>
      </c>
      <c r="I64" s="1362">
        <f t="shared" si="1"/>
        <v>1.610305958132045E-2</v>
      </c>
      <c r="J64" s="19"/>
      <c r="K64" s="1387"/>
      <c r="L64" s="39"/>
    </row>
    <row r="65" spans="1:12" x14ac:dyDescent="0.25">
      <c r="A65" s="1323">
        <v>92</v>
      </c>
      <c r="B65" s="1740">
        <v>10.199999999999999</v>
      </c>
      <c r="C65" s="1362">
        <f t="shared" si="0"/>
        <v>9.8039215686274522E-2</v>
      </c>
      <c r="D65" s="19"/>
      <c r="E65" s="19"/>
      <c r="F65" s="2332"/>
      <c r="G65" s="1323">
        <f t="shared" si="2"/>
        <v>22</v>
      </c>
      <c r="H65" s="2351">
        <v>61.1</v>
      </c>
      <c r="I65" s="1362">
        <f t="shared" si="1"/>
        <v>1.6366612111292964E-2</v>
      </c>
      <c r="J65" s="19"/>
      <c r="K65" s="1387"/>
      <c r="L65" s="39"/>
    </row>
    <row r="66" spans="1:12" x14ac:dyDescent="0.25">
      <c r="A66" s="1323">
        <v>93</v>
      </c>
      <c r="B66" s="1740">
        <v>9.6</v>
      </c>
      <c r="C66" s="1362">
        <f t="shared" si="0"/>
        <v>0.10416666666666667</v>
      </c>
      <c r="D66" s="19"/>
      <c r="E66" s="19"/>
      <c r="F66" s="2332"/>
      <c r="G66" s="1323">
        <f t="shared" si="2"/>
        <v>23</v>
      </c>
      <c r="H66" s="2351">
        <v>60.1</v>
      </c>
      <c r="I66" s="1362">
        <f t="shared" si="1"/>
        <v>1.6638935108153077E-2</v>
      </c>
      <c r="J66" s="19"/>
      <c r="K66" s="1387"/>
      <c r="L66" s="39"/>
    </row>
    <row r="67" spans="1:12" x14ac:dyDescent="0.25">
      <c r="A67" s="1323">
        <v>94</v>
      </c>
      <c r="B67" s="1740">
        <v>9.1</v>
      </c>
      <c r="C67" s="1362">
        <f t="shared" si="0"/>
        <v>0.10989010989010989</v>
      </c>
      <c r="D67" s="19"/>
      <c r="E67" s="19"/>
      <c r="F67" s="2332"/>
      <c r="G67" s="1323">
        <f t="shared" si="2"/>
        <v>24</v>
      </c>
      <c r="H67" s="2351">
        <v>59.1</v>
      </c>
      <c r="I67" s="1362">
        <f t="shared" si="1"/>
        <v>1.6920473773265651E-2</v>
      </c>
      <c r="J67" s="19"/>
      <c r="K67" s="1387"/>
      <c r="L67" s="39"/>
    </row>
    <row r="68" spans="1:12" x14ac:dyDescent="0.25">
      <c r="A68" s="1323">
        <v>95</v>
      </c>
      <c r="B68" s="1740">
        <v>8.6</v>
      </c>
      <c r="C68" s="1362">
        <f t="shared" si="0"/>
        <v>0.11627906976744186</v>
      </c>
      <c r="D68" s="19"/>
      <c r="E68" s="19"/>
      <c r="F68" s="2332"/>
      <c r="G68" s="1323">
        <f t="shared" si="2"/>
        <v>25</v>
      </c>
      <c r="H68" s="2351">
        <v>58.2</v>
      </c>
      <c r="I68" s="1362">
        <f t="shared" si="1"/>
        <v>1.7182130584192438E-2</v>
      </c>
      <c r="J68" s="19"/>
      <c r="K68" s="1387"/>
      <c r="L68" s="39"/>
    </row>
    <row r="69" spans="1:12" x14ac:dyDescent="0.25">
      <c r="A69" s="1323">
        <v>96</v>
      </c>
      <c r="B69" s="1740">
        <v>8.1</v>
      </c>
      <c r="C69" s="1362">
        <f t="shared" si="0"/>
        <v>0.1234567901234568</v>
      </c>
      <c r="D69" s="19"/>
      <c r="E69" s="19"/>
      <c r="F69" s="2332"/>
      <c r="G69" s="1323">
        <f t="shared" si="2"/>
        <v>26</v>
      </c>
      <c r="H69" s="2351">
        <v>57.2</v>
      </c>
      <c r="I69" s="1362">
        <f t="shared" si="1"/>
        <v>1.748251748251748E-2</v>
      </c>
      <c r="J69" s="19"/>
      <c r="K69" s="1387"/>
      <c r="L69" s="39"/>
    </row>
    <row r="70" spans="1:12" x14ac:dyDescent="0.25">
      <c r="A70" s="1323">
        <v>97</v>
      </c>
      <c r="B70" s="1740">
        <v>7.6</v>
      </c>
      <c r="C70" s="1362">
        <f t="shared" si="0"/>
        <v>0.13157894736842105</v>
      </c>
      <c r="D70" s="19"/>
      <c r="E70" s="19"/>
      <c r="F70" s="2332"/>
      <c r="G70" s="1323">
        <f t="shared" si="2"/>
        <v>27</v>
      </c>
      <c r="H70" s="2351">
        <v>56.2</v>
      </c>
      <c r="I70" s="1362">
        <f t="shared" si="1"/>
        <v>1.779359430604982E-2</v>
      </c>
      <c r="J70" s="19"/>
      <c r="K70" s="1387"/>
      <c r="L70" s="39"/>
    </row>
    <row r="71" spans="1:12" x14ac:dyDescent="0.25">
      <c r="A71" s="1323">
        <v>98</v>
      </c>
      <c r="B71" s="1740">
        <v>7.1</v>
      </c>
      <c r="C71" s="1362">
        <f t="shared" si="0"/>
        <v>0.14084507042253522</v>
      </c>
      <c r="D71" s="19"/>
      <c r="E71" s="19"/>
      <c r="F71" s="2332"/>
      <c r="G71" s="1323">
        <f t="shared" si="2"/>
        <v>28</v>
      </c>
      <c r="H71" s="2351">
        <v>55.3</v>
      </c>
      <c r="I71" s="1362">
        <f t="shared" si="1"/>
        <v>1.8083182640144666E-2</v>
      </c>
      <c r="J71" s="19"/>
      <c r="K71" s="1387"/>
      <c r="L71" s="39"/>
    </row>
    <row r="72" spans="1:12" x14ac:dyDescent="0.25">
      <c r="A72" s="1323">
        <v>99</v>
      </c>
      <c r="B72" s="1740">
        <v>6.7</v>
      </c>
      <c r="C72" s="1362">
        <f t="shared" si="0"/>
        <v>0.14925373134328357</v>
      </c>
      <c r="D72" s="19"/>
      <c r="E72" s="19"/>
      <c r="F72" s="2332"/>
      <c r="G72" s="1323">
        <f t="shared" si="2"/>
        <v>29</v>
      </c>
      <c r="H72" s="2351">
        <v>54.3</v>
      </c>
      <c r="I72" s="1362">
        <f t="shared" si="1"/>
        <v>1.841620626151013E-2</v>
      </c>
      <c r="J72" s="19"/>
      <c r="K72" s="1387"/>
      <c r="L72" s="39"/>
    </row>
    <row r="73" spans="1:12" x14ac:dyDescent="0.25">
      <c r="A73" s="1323">
        <v>100</v>
      </c>
      <c r="B73" s="1740">
        <v>6.3</v>
      </c>
      <c r="C73" s="1362">
        <f t="shared" si="0"/>
        <v>0.15873015873015872</v>
      </c>
      <c r="D73" s="19"/>
      <c r="E73" s="19"/>
      <c r="F73" s="2332"/>
      <c r="G73" s="1323">
        <f t="shared" si="2"/>
        <v>30</v>
      </c>
      <c r="H73" s="2351">
        <v>53.3</v>
      </c>
      <c r="I73" s="1362">
        <f t="shared" si="1"/>
        <v>1.8761726078799251E-2</v>
      </c>
      <c r="J73" s="19"/>
      <c r="K73" s="1387"/>
      <c r="L73" s="39"/>
    </row>
    <row r="74" spans="1:12" x14ac:dyDescent="0.25">
      <c r="A74" s="1323">
        <v>101</v>
      </c>
      <c r="B74" s="1740">
        <v>5.9</v>
      </c>
      <c r="C74" s="1362">
        <f t="shared" si="0"/>
        <v>0.16949152542372881</v>
      </c>
      <c r="D74" s="19"/>
      <c r="E74" s="19"/>
      <c r="F74" s="2332"/>
      <c r="G74" s="1323">
        <f t="shared" si="2"/>
        <v>31</v>
      </c>
      <c r="H74" s="2351">
        <v>52.4</v>
      </c>
      <c r="I74" s="1362">
        <f t="shared" si="1"/>
        <v>1.9083969465648856E-2</v>
      </c>
      <c r="J74" s="19"/>
      <c r="K74" s="1387"/>
      <c r="L74" s="39"/>
    </row>
    <row r="75" spans="1:12" x14ac:dyDescent="0.25">
      <c r="A75" s="1323">
        <v>102</v>
      </c>
      <c r="B75" s="1740">
        <v>5.5</v>
      </c>
      <c r="C75" s="1362">
        <f t="shared" si="0"/>
        <v>0.18181818181818182</v>
      </c>
      <c r="D75" s="19"/>
      <c r="E75" s="19"/>
      <c r="F75" s="2332"/>
      <c r="G75" s="1323">
        <f t="shared" si="2"/>
        <v>32</v>
      </c>
      <c r="H75" s="2351">
        <v>51.4</v>
      </c>
      <c r="I75" s="1362">
        <f t="shared" si="1"/>
        <v>1.9455252918287938E-2</v>
      </c>
      <c r="J75" s="19"/>
      <c r="K75" s="1387"/>
      <c r="L75" s="39"/>
    </row>
    <row r="76" spans="1:12" x14ac:dyDescent="0.25">
      <c r="A76" s="1323">
        <v>103</v>
      </c>
      <c r="B76" s="1740">
        <v>5.2</v>
      </c>
      <c r="C76" s="1362">
        <f t="shared" si="0"/>
        <v>0.19230769230769229</v>
      </c>
      <c r="D76" s="19"/>
      <c r="E76" s="19"/>
      <c r="F76" s="2332"/>
      <c r="G76" s="1323">
        <f t="shared" si="2"/>
        <v>33</v>
      </c>
      <c r="H76" s="2351">
        <v>50.4</v>
      </c>
      <c r="I76" s="1362">
        <f t="shared" si="1"/>
        <v>1.984126984126984E-2</v>
      </c>
      <c r="J76" s="19"/>
      <c r="K76" s="1387"/>
      <c r="L76" s="39"/>
    </row>
    <row r="77" spans="1:12" x14ac:dyDescent="0.25">
      <c r="A77" s="1323">
        <v>104</v>
      </c>
      <c r="B77" s="1740">
        <v>4.9000000000000004</v>
      </c>
      <c r="C77" s="1362">
        <f t="shared" si="0"/>
        <v>0.2040816326530612</v>
      </c>
      <c r="D77" s="19"/>
      <c r="E77" s="19"/>
      <c r="F77" s="2332"/>
      <c r="G77" s="1323">
        <f t="shared" si="2"/>
        <v>34</v>
      </c>
      <c r="H77" s="2351">
        <v>49.4</v>
      </c>
      <c r="I77" s="1362">
        <f t="shared" si="1"/>
        <v>2.0242914979757085E-2</v>
      </c>
      <c r="J77" s="19"/>
      <c r="K77" s="1387"/>
      <c r="L77" s="39"/>
    </row>
    <row r="78" spans="1:12" x14ac:dyDescent="0.25">
      <c r="A78" s="1323">
        <v>105</v>
      </c>
      <c r="B78" s="1740">
        <v>4.5</v>
      </c>
      <c r="C78" s="1362">
        <f t="shared" si="0"/>
        <v>0.22222222222222221</v>
      </c>
      <c r="D78" s="19"/>
      <c r="E78" s="19"/>
      <c r="F78" s="2332"/>
      <c r="G78" s="1323">
        <f t="shared" si="2"/>
        <v>35</v>
      </c>
      <c r="H78" s="2351">
        <v>48.5</v>
      </c>
      <c r="I78" s="1362">
        <f t="shared" si="1"/>
        <v>2.0618556701030927E-2</v>
      </c>
      <c r="J78" s="19"/>
      <c r="K78" s="1387"/>
      <c r="L78" s="39"/>
    </row>
    <row r="79" spans="1:12" x14ac:dyDescent="0.25">
      <c r="A79" s="1323">
        <v>106</v>
      </c>
      <c r="B79" s="1740">
        <v>4.2</v>
      </c>
      <c r="C79" s="1362">
        <f t="shared" si="0"/>
        <v>0.23809523809523808</v>
      </c>
      <c r="D79" s="19"/>
      <c r="E79" s="19"/>
      <c r="F79" s="2332"/>
      <c r="G79" s="1323">
        <f t="shared" si="2"/>
        <v>36</v>
      </c>
      <c r="H79" s="2351">
        <v>47.5</v>
      </c>
      <c r="I79" s="1362">
        <f t="shared" si="1"/>
        <v>2.1052631578947368E-2</v>
      </c>
      <c r="J79" s="19"/>
      <c r="K79" s="1387"/>
      <c r="L79" s="39"/>
    </row>
    <row r="80" spans="1:12" x14ac:dyDescent="0.25">
      <c r="A80" s="1323">
        <v>107</v>
      </c>
      <c r="B80" s="1740">
        <v>3.9</v>
      </c>
      <c r="C80" s="1362">
        <f t="shared" si="0"/>
        <v>0.25641025641025644</v>
      </c>
      <c r="D80" s="19"/>
      <c r="E80" s="19"/>
      <c r="F80" s="2332"/>
      <c r="G80" s="1323">
        <f t="shared" si="2"/>
        <v>37</v>
      </c>
      <c r="H80" s="2351">
        <v>46.5</v>
      </c>
      <c r="I80" s="1362">
        <f t="shared" si="1"/>
        <v>2.1505376344086023E-2</v>
      </c>
      <c r="J80" s="19"/>
      <c r="K80" s="1387"/>
      <c r="L80" s="39"/>
    </row>
    <row r="81" spans="1:12" x14ac:dyDescent="0.25">
      <c r="A81" s="1323">
        <v>108</v>
      </c>
      <c r="B81" s="1740">
        <v>3.7</v>
      </c>
      <c r="C81" s="1362">
        <f t="shared" si="0"/>
        <v>0.27027027027027023</v>
      </c>
      <c r="D81" s="19"/>
      <c r="E81" s="19"/>
      <c r="F81" s="2332"/>
      <c r="G81" s="1323">
        <f t="shared" si="2"/>
        <v>38</v>
      </c>
      <c r="H81" s="2351">
        <v>45.6</v>
      </c>
      <c r="I81" s="1362">
        <f t="shared" si="1"/>
        <v>2.1929824561403508E-2</v>
      </c>
      <c r="J81" s="19"/>
      <c r="K81" s="1387"/>
      <c r="L81" s="39"/>
    </row>
    <row r="82" spans="1:12" ht="15.75" thickBot="1" x14ac:dyDescent="0.3">
      <c r="A82" s="1777">
        <v>109</v>
      </c>
      <c r="B82" s="1741">
        <v>3.4</v>
      </c>
      <c r="C82" s="1494">
        <f t="shared" si="0"/>
        <v>0.29411764705882354</v>
      </c>
      <c r="D82" s="1385"/>
      <c r="E82" s="1385"/>
      <c r="F82" s="2332"/>
      <c r="G82" s="1323">
        <f t="shared" si="2"/>
        <v>39</v>
      </c>
      <c r="H82" s="2351">
        <v>44.6</v>
      </c>
      <c r="I82" s="1362">
        <f t="shared" si="1"/>
        <v>2.2421524663677129E-2</v>
      </c>
      <c r="J82" s="19"/>
      <c r="K82" s="1387"/>
      <c r="L82" s="2353"/>
    </row>
    <row r="83" spans="1:12" ht="15.75" thickTop="1" x14ac:dyDescent="0.25">
      <c r="A83" s="1323"/>
      <c r="B83" s="1740"/>
      <c r="C83" s="1362"/>
      <c r="D83" s="19"/>
      <c r="E83" s="19"/>
      <c r="F83" s="19"/>
      <c r="G83" s="1323">
        <f t="shared" si="2"/>
        <v>40</v>
      </c>
      <c r="H83" s="2351">
        <v>43.6</v>
      </c>
      <c r="I83" s="1362">
        <f t="shared" si="1"/>
        <v>2.2935779816513759E-2</v>
      </c>
      <c r="J83" s="19"/>
      <c r="K83" s="1387"/>
      <c r="L83" s="2353"/>
    </row>
    <row r="84" spans="1:12" x14ac:dyDescent="0.25">
      <c r="A84" s="1323"/>
      <c r="B84" s="1740"/>
      <c r="C84" s="1362"/>
      <c r="D84" s="19"/>
      <c r="E84" s="19"/>
      <c r="F84" s="19"/>
      <c r="G84" s="1323">
        <f t="shared" si="2"/>
        <v>41</v>
      </c>
      <c r="H84" s="2351">
        <v>42.7</v>
      </c>
      <c r="I84" s="1362">
        <f t="shared" si="1"/>
        <v>2.3419203747072598E-2</v>
      </c>
      <c r="J84" s="19"/>
      <c r="K84" s="1387"/>
      <c r="L84" s="2353"/>
    </row>
    <row r="85" spans="1:12" x14ac:dyDescent="0.25">
      <c r="A85" s="1323"/>
      <c r="B85" s="1740"/>
      <c r="C85" s="1362"/>
      <c r="D85" s="19"/>
      <c r="E85" s="19"/>
      <c r="F85" s="19"/>
      <c r="G85" s="1323">
        <f t="shared" si="2"/>
        <v>42</v>
      </c>
      <c r="H85" s="2351">
        <v>41.7</v>
      </c>
      <c r="I85" s="1362">
        <f t="shared" si="1"/>
        <v>2.3980815347721823E-2</v>
      </c>
      <c r="J85" s="19"/>
      <c r="K85" s="1387"/>
      <c r="L85" s="2353"/>
    </row>
    <row r="86" spans="1:12" x14ac:dyDescent="0.25">
      <c r="A86" s="1323"/>
      <c r="B86" s="1740"/>
      <c r="C86" s="1362"/>
      <c r="D86" s="19"/>
      <c r="E86" s="19"/>
      <c r="F86" s="19"/>
      <c r="G86" s="1323">
        <f t="shared" si="2"/>
        <v>43</v>
      </c>
      <c r="H86" s="2351">
        <v>40.700000000000003</v>
      </c>
      <c r="I86" s="1362">
        <f t="shared" si="1"/>
        <v>2.4570024570024569E-2</v>
      </c>
      <c r="J86" s="19"/>
      <c r="K86" s="1387"/>
      <c r="L86" s="2353"/>
    </row>
    <row r="87" spans="1:12" x14ac:dyDescent="0.25">
      <c r="A87" s="1323"/>
      <c r="B87" s="1740"/>
      <c r="C87" s="1362"/>
      <c r="D87" s="19"/>
      <c r="E87" s="19"/>
      <c r="F87" s="19"/>
      <c r="G87" s="1323">
        <f t="shared" si="2"/>
        <v>44</v>
      </c>
      <c r="H87" s="2351">
        <v>39.799999999999997</v>
      </c>
      <c r="I87" s="1362">
        <f t="shared" si="1"/>
        <v>2.5125628140703519E-2</v>
      </c>
      <c r="J87" s="19"/>
      <c r="K87" s="1387"/>
      <c r="L87" s="2353"/>
    </row>
    <row r="88" spans="1:12" x14ac:dyDescent="0.25">
      <c r="A88" s="1323"/>
      <c r="B88" s="1740"/>
      <c r="C88" s="1362"/>
      <c r="D88" s="19"/>
      <c r="E88" s="19"/>
      <c r="F88" s="19"/>
      <c r="G88" s="1323">
        <f t="shared" si="2"/>
        <v>45</v>
      </c>
      <c r="H88" s="2351">
        <v>38.799999999999997</v>
      </c>
      <c r="I88" s="1362">
        <f t="shared" si="1"/>
        <v>2.5773195876288662E-2</v>
      </c>
      <c r="J88" s="19"/>
      <c r="K88" s="1387"/>
      <c r="L88" s="2353"/>
    </row>
    <row r="89" spans="1:12" x14ac:dyDescent="0.25">
      <c r="A89" s="1323"/>
      <c r="B89" s="1740"/>
      <c r="C89" s="1362"/>
      <c r="D89" s="19"/>
      <c r="E89" s="19"/>
      <c r="F89" s="19"/>
      <c r="G89" s="1323">
        <f t="shared" si="2"/>
        <v>46</v>
      </c>
      <c r="H89" s="2351">
        <v>37.9</v>
      </c>
      <c r="I89" s="1362">
        <f t="shared" si="1"/>
        <v>2.6385224274406333E-2</v>
      </c>
      <c r="J89" s="19"/>
      <c r="K89" s="1387"/>
      <c r="L89" s="2353"/>
    </row>
    <row r="90" spans="1:12" x14ac:dyDescent="0.25">
      <c r="A90" s="1323"/>
      <c r="B90" s="1740"/>
      <c r="C90" s="1362"/>
      <c r="D90" s="19"/>
      <c r="E90" s="19"/>
      <c r="F90" s="19"/>
      <c r="G90" s="1323">
        <f t="shared" si="2"/>
        <v>47</v>
      </c>
      <c r="H90" s="2351">
        <v>37</v>
      </c>
      <c r="I90" s="1362">
        <f t="shared" si="1"/>
        <v>2.7027027027027029E-2</v>
      </c>
      <c r="J90" s="19"/>
      <c r="K90" s="1387"/>
      <c r="L90" s="2353"/>
    </row>
    <row r="91" spans="1:12" x14ac:dyDescent="0.25">
      <c r="A91" s="1323"/>
      <c r="B91" s="1740"/>
      <c r="C91" s="1362"/>
      <c r="D91" s="19"/>
      <c r="E91" s="19"/>
      <c r="F91" s="19"/>
      <c r="G91" s="1323">
        <f t="shared" si="2"/>
        <v>48</v>
      </c>
      <c r="H91" s="2351">
        <v>36</v>
      </c>
      <c r="I91" s="1362">
        <f t="shared" si="1"/>
        <v>2.7777777777777776E-2</v>
      </c>
      <c r="J91" s="19"/>
      <c r="K91" s="1387"/>
      <c r="L91" s="2353"/>
    </row>
    <row r="92" spans="1:12" x14ac:dyDescent="0.25">
      <c r="A92" s="1323"/>
      <c r="B92" s="1740"/>
      <c r="C92" s="1362"/>
      <c r="D92" s="19"/>
      <c r="E92" s="19"/>
      <c r="F92" s="19"/>
      <c r="G92" s="1323">
        <f t="shared" si="2"/>
        <v>49</v>
      </c>
      <c r="H92" s="2351">
        <v>35.1</v>
      </c>
      <c r="I92" s="1362">
        <f t="shared" si="1"/>
        <v>2.8490028490028491E-2</v>
      </c>
      <c r="J92" s="19"/>
      <c r="K92" s="1387"/>
      <c r="L92" s="2353"/>
    </row>
    <row r="93" spans="1:12" x14ac:dyDescent="0.25">
      <c r="A93" s="1323"/>
      <c r="B93" s="1740"/>
      <c r="C93" s="1362"/>
      <c r="D93" s="19"/>
      <c r="E93" s="19"/>
      <c r="F93" s="19"/>
      <c r="G93" s="1323">
        <f t="shared" si="2"/>
        <v>50</v>
      </c>
      <c r="H93" s="2351">
        <v>34.200000000000003</v>
      </c>
      <c r="I93" s="1362">
        <f t="shared" si="1"/>
        <v>2.9239766081871343E-2</v>
      </c>
      <c r="J93" s="19"/>
      <c r="K93" s="1387"/>
      <c r="L93" s="2353"/>
    </row>
    <row r="94" spans="1:12" x14ac:dyDescent="0.25">
      <c r="A94" s="1323"/>
      <c r="B94" s="1740"/>
      <c r="C94" s="1362"/>
      <c r="D94" s="19"/>
      <c r="E94" s="19"/>
      <c r="F94" s="19"/>
      <c r="G94" s="1323">
        <f t="shared" si="2"/>
        <v>51</v>
      </c>
      <c r="H94" s="2351">
        <v>33.299999999999997</v>
      </c>
      <c r="I94" s="1362">
        <f t="shared" si="1"/>
        <v>3.0030030030030033E-2</v>
      </c>
      <c r="J94" s="19"/>
      <c r="K94" s="1387"/>
      <c r="L94" s="2353"/>
    </row>
    <row r="95" spans="1:12" x14ac:dyDescent="0.25">
      <c r="A95" s="1323"/>
      <c r="B95" s="1740"/>
      <c r="C95" s="1362"/>
      <c r="D95" s="19"/>
      <c r="E95" s="19"/>
      <c r="F95" s="19"/>
      <c r="G95" s="1323">
        <f t="shared" si="2"/>
        <v>52</v>
      </c>
      <c r="H95" s="2351">
        <v>32.299999999999997</v>
      </c>
      <c r="I95" s="1362">
        <f t="shared" si="1"/>
        <v>3.0959752321981428E-2</v>
      </c>
      <c r="J95" s="19"/>
      <c r="K95" s="1387"/>
      <c r="L95" s="2353"/>
    </row>
    <row r="96" spans="1:12" x14ac:dyDescent="0.25">
      <c r="A96" s="1323"/>
      <c r="B96" s="1740"/>
      <c r="C96" s="1362"/>
      <c r="D96" s="19"/>
      <c r="E96" s="19"/>
      <c r="F96" s="19"/>
      <c r="G96" s="1323">
        <f t="shared" si="2"/>
        <v>53</v>
      </c>
      <c r="H96" s="2351">
        <v>31.4</v>
      </c>
      <c r="I96" s="1362">
        <f t="shared" si="1"/>
        <v>3.1847133757961783E-2</v>
      </c>
      <c r="J96" s="19"/>
      <c r="K96" s="1387"/>
      <c r="L96" s="2353"/>
    </row>
    <row r="97" spans="1:12" x14ac:dyDescent="0.25">
      <c r="A97" s="1323"/>
      <c r="B97" s="1740"/>
      <c r="C97" s="1362"/>
      <c r="D97" s="19"/>
      <c r="E97" s="19"/>
      <c r="F97" s="19"/>
      <c r="G97" s="1323">
        <f t="shared" si="2"/>
        <v>54</v>
      </c>
      <c r="H97" s="2351">
        <v>30.5</v>
      </c>
      <c r="I97" s="1362">
        <f t="shared" si="1"/>
        <v>3.2786885245901641E-2</v>
      </c>
      <c r="J97" s="19"/>
      <c r="K97" s="1387"/>
      <c r="L97" s="2353"/>
    </row>
    <row r="98" spans="1:12" x14ac:dyDescent="0.25">
      <c r="A98" s="1323"/>
      <c r="B98" s="1740"/>
      <c r="C98" s="1362"/>
      <c r="D98" s="19"/>
      <c r="E98" s="19"/>
      <c r="F98" s="19"/>
      <c r="G98" s="1323">
        <f t="shared" si="2"/>
        <v>55</v>
      </c>
      <c r="H98" s="2351">
        <v>29.6</v>
      </c>
      <c r="I98" s="1362">
        <f t="shared" si="1"/>
        <v>3.3783783783783779E-2</v>
      </c>
      <c r="J98" s="19"/>
      <c r="K98" s="1387"/>
      <c r="L98" s="2353"/>
    </row>
    <row r="99" spans="1:12" x14ac:dyDescent="0.25">
      <c r="A99" s="1323"/>
      <c r="B99" s="1740"/>
      <c r="C99" s="1362"/>
      <c r="D99" s="19"/>
      <c r="E99" s="19"/>
      <c r="F99" s="19"/>
      <c r="G99" s="1323">
        <f t="shared" si="2"/>
        <v>56</v>
      </c>
      <c r="H99" s="2351">
        <v>28.7</v>
      </c>
      <c r="I99" s="1362">
        <f t="shared" si="1"/>
        <v>3.484320557491289E-2</v>
      </c>
      <c r="J99" s="19"/>
      <c r="K99" s="1387"/>
      <c r="L99" s="2353"/>
    </row>
    <row r="100" spans="1:12" x14ac:dyDescent="0.25">
      <c r="A100" s="1323"/>
      <c r="B100" s="1740"/>
      <c r="C100" s="1362"/>
      <c r="D100" s="19"/>
      <c r="E100" s="19"/>
      <c r="F100" s="19"/>
      <c r="G100" s="1323">
        <f t="shared" si="2"/>
        <v>57</v>
      </c>
      <c r="H100" s="2351">
        <v>27.9</v>
      </c>
      <c r="I100" s="1362">
        <f t="shared" si="1"/>
        <v>3.5842293906810041E-2</v>
      </c>
      <c r="J100" s="19"/>
      <c r="K100" s="1387"/>
      <c r="L100" s="2353"/>
    </row>
    <row r="101" spans="1:12" x14ac:dyDescent="0.25">
      <c r="A101" s="1323"/>
      <c r="B101" s="1740"/>
      <c r="C101" s="1362"/>
      <c r="D101" s="19"/>
      <c r="E101" s="19"/>
      <c r="F101" s="19"/>
      <c r="G101" s="1323">
        <f t="shared" si="2"/>
        <v>58</v>
      </c>
      <c r="H101" s="2351">
        <v>27</v>
      </c>
      <c r="I101" s="1362">
        <f t="shared" si="1"/>
        <v>3.7037037037037035E-2</v>
      </c>
      <c r="J101" s="19"/>
      <c r="K101" s="1387"/>
      <c r="L101" s="2353"/>
    </row>
    <row r="102" spans="1:12" x14ac:dyDescent="0.25">
      <c r="A102" s="1323"/>
      <c r="B102" s="1740"/>
      <c r="C102" s="1362"/>
      <c r="D102" s="19"/>
      <c r="E102" s="19"/>
      <c r="F102" s="19"/>
      <c r="G102" s="1323">
        <f t="shared" si="2"/>
        <v>59</v>
      </c>
      <c r="H102" s="2351">
        <v>26.1</v>
      </c>
      <c r="I102" s="1362">
        <f t="shared" si="1"/>
        <v>3.8314176245210725E-2</v>
      </c>
      <c r="J102" s="19"/>
      <c r="K102" s="1387"/>
      <c r="L102" s="2353"/>
    </row>
    <row r="103" spans="1:12" x14ac:dyDescent="0.25">
      <c r="A103" s="1323"/>
      <c r="B103" s="1740"/>
      <c r="C103" s="1362"/>
      <c r="D103" s="19"/>
      <c r="E103" s="19"/>
      <c r="F103" s="19"/>
      <c r="G103" s="1323">
        <f t="shared" si="2"/>
        <v>60</v>
      </c>
      <c r="H103" s="2351">
        <v>25.2</v>
      </c>
      <c r="I103" s="1362">
        <f t="shared" si="1"/>
        <v>3.968253968253968E-2</v>
      </c>
      <c r="J103" s="19"/>
      <c r="K103" s="1387"/>
      <c r="L103" s="2353"/>
    </row>
    <row r="104" spans="1:12" x14ac:dyDescent="0.25">
      <c r="A104" s="1323"/>
      <c r="B104" s="1740"/>
      <c r="C104" s="1362"/>
      <c r="D104" s="19"/>
      <c r="E104" s="19"/>
      <c r="F104" s="19"/>
      <c r="G104" s="1323">
        <f t="shared" si="2"/>
        <v>61</v>
      </c>
      <c r="H104" s="2351">
        <v>24.4</v>
      </c>
      <c r="I104" s="1362">
        <f t="shared" si="1"/>
        <v>4.0983606557377053E-2</v>
      </c>
      <c r="J104" s="19"/>
      <c r="K104" s="1387"/>
      <c r="L104" s="2353"/>
    </row>
    <row r="105" spans="1:12" x14ac:dyDescent="0.25">
      <c r="A105" s="1323"/>
      <c r="B105" s="1740"/>
      <c r="C105" s="1362"/>
      <c r="D105" s="19"/>
      <c r="E105" s="19"/>
      <c r="F105" s="19"/>
      <c r="G105" s="1323">
        <f t="shared" si="2"/>
        <v>62</v>
      </c>
      <c r="H105" s="2351">
        <v>23.5</v>
      </c>
      <c r="I105" s="1362">
        <f t="shared" si="1"/>
        <v>4.2553191489361701E-2</v>
      </c>
      <c r="J105" s="19"/>
      <c r="K105" s="1387"/>
      <c r="L105" s="2353"/>
    </row>
    <row r="106" spans="1:12" x14ac:dyDescent="0.25">
      <c r="A106" s="1323"/>
      <c r="B106" s="1740"/>
      <c r="C106" s="1362"/>
      <c r="D106" s="19"/>
      <c r="E106" s="19"/>
      <c r="F106" s="19"/>
      <c r="G106" s="1323">
        <f t="shared" si="2"/>
        <v>63</v>
      </c>
      <c r="H106" s="2351">
        <v>22.7</v>
      </c>
      <c r="I106" s="1362">
        <f t="shared" si="1"/>
        <v>4.405286343612335E-2</v>
      </c>
      <c r="J106" s="19"/>
      <c r="K106" s="1387"/>
      <c r="L106" s="2353"/>
    </row>
    <row r="107" spans="1:12" x14ac:dyDescent="0.25">
      <c r="A107" s="1323"/>
      <c r="B107" s="1740"/>
      <c r="C107" s="1362"/>
      <c r="D107" s="19"/>
      <c r="E107" s="19"/>
      <c r="F107" s="19"/>
      <c r="G107" s="1323">
        <f t="shared" si="2"/>
        <v>64</v>
      </c>
      <c r="H107" s="2351">
        <v>21.8</v>
      </c>
      <c r="I107" s="1362">
        <f t="shared" ref="I107:I153" si="3">1/H107</f>
        <v>4.5871559633027519E-2</v>
      </c>
      <c r="J107" s="19"/>
      <c r="K107" s="1387"/>
      <c r="L107" s="2353"/>
    </row>
    <row r="108" spans="1:12" x14ac:dyDescent="0.25">
      <c r="A108" s="1323"/>
      <c r="B108" s="1740"/>
      <c r="C108" s="1362"/>
      <c r="D108" s="19"/>
      <c r="E108" s="19"/>
      <c r="F108" s="19"/>
      <c r="G108" s="1323">
        <f t="shared" si="2"/>
        <v>65</v>
      </c>
      <c r="H108" s="2351">
        <v>21</v>
      </c>
      <c r="I108" s="1362">
        <f t="shared" si="3"/>
        <v>4.7619047619047616E-2</v>
      </c>
      <c r="J108" s="19"/>
      <c r="K108" s="1387"/>
      <c r="L108" s="2353"/>
    </row>
    <row r="109" spans="1:12" x14ac:dyDescent="0.25">
      <c r="A109" s="1323"/>
      <c r="B109" s="1740"/>
      <c r="C109" s="1362"/>
      <c r="D109" s="19"/>
      <c r="E109" s="19"/>
      <c r="F109" s="19"/>
      <c r="G109" s="1323">
        <f t="shared" ref="G109:G153" si="4">G108+1</f>
        <v>66</v>
      </c>
      <c r="H109" s="2351">
        <v>20.2</v>
      </c>
      <c r="I109" s="1362">
        <f t="shared" si="3"/>
        <v>4.9504950495049507E-2</v>
      </c>
      <c r="J109" s="19"/>
      <c r="K109" s="1387"/>
      <c r="L109" s="2353"/>
    </row>
    <row r="110" spans="1:12" x14ac:dyDescent="0.25">
      <c r="A110" s="1323"/>
      <c r="B110" s="1740"/>
      <c r="C110" s="1362"/>
      <c r="D110" s="19"/>
      <c r="E110" s="19"/>
      <c r="F110" s="19"/>
      <c r="G110" s="1323">
        <f t="shared" si="4"/>
        <v>67</v>
      </c>
      <c r="H110" s="2351">
        <v>19.399999999999999</v>
      </c>
      <c r="I110" s="1362">
        <f t="shared" si="3"/>
        <v>5.1546391752577324E-2</v>
      </c>
      <c r="J110" s="19"/>
      <c r="K110" s="1387"/>
      <c r="L110" s="2353"/>
    </row>
    <row r="111" spans="1:12" x14ac:dyDescent="0.25">
      <c r="A111" s="1323"/>
      <c r="B111" s="1740"/>
      <c r="C111" s="1362"/>
      <c r="D111" s="19"/>
      <c r="E111" s="19"/>
      <c r="F111" s="19"/>
      <c r="G111" s="1323">
        <f t="shared" si="4"/>
        <v>68</v>
      </c>
      <c r="H111" s="2351">
        <v>18.600000000000001</v>
      </c>
      <c r="I111" s="1362">
        <f t="shared" si="3"/>
        <v>5.3763440860215048E-2</v>
      </c>
      <c r="J111" s="19"/>
      <c r="K111" s="1387"/>
      <c r="L111" s="2353"/>
    </row>
    <row r="112" spans="1:12" x14ac:dyDescent="0.25">
      <c r="A112" s="1323"/>
      <c r="B112" s="1740"/>
      <c r="C112" s="1362"/>
      <c r="D112" s="19"/>
      <c r="E112" s="19"/>
      <c r="F112" s="19"/>
      <c r="G112" s="1323">
        <f t="shared" si="4"/>
        <v>69</v>
      </c>
      <c r="H112" s="2351">
        <v>17.8</v>
      </c>
      <c r="I112" s="1362">
        <f t="shared" si="3"/>
        <v>5.6179775280898875E-2</v>
      </c>
      <c r="J112" s="19"/>
      <c r="K112" s="1387"/>
      <c r="L112" s="2353"/>
    </row>
    <row r="113" spans="1:12" x14ac:dyDescent="0.25">
      <c r="A113" s="1323"/>
      <c r="B113" s="1740"/>
      <c r="C113" s="1362"/>
      <c r="D113" s="19"/>
      <c r="E113" s="19"/>
      <c r="F113" s="19"/>
      <c r="G113" s="1323">
        <f t="shared" si="4"/>
        <v>70</v>
      </c>
      <c r="H113" s="2351">
        <v>17</v>
      </c>
      <c r="I113" s="1362">
        <f t="shared" si="3"/>
        <v>5.8823529411764705E-2</v>
      </c>
      <c r="J113" s="19"/>
      <c r="K113" s="1387"/>
      <c r="L113" s="2353"/>
    </row>
    <row r="114" spans="1:12" x14ac:dyDescent="0.25">
      <c r="A114" s="1323"/>
      <c r="B114" s="1740"/>
      <c r="C114" s="1362"/>
      <c r="D114" s="19"/>
      <c r="E114" s="19"/>
      <c r="F114" s="19"/>
      <c r="G114" s="1323">
        <f t="shared" si="4"/>
        <v>71</v>
      </c>
      <c r="H114" s="2351">
        <v>16.3</v>
      </c>
      <c r="I114" s="1362">
        <f t="shared" si="3"/>
        <v>6.1349693251533742E-2</v>
      </c>
      <c r="J114" s="19"/>
      <c r="K114" s="1387"/>
      <c r="L114" s="2353"/>
    </row>
    <row r="115" spans="1:12" x14ac:dyDescent="0.25">
      <c r="A115" s="1323"/>
      <c r="B115" s="1740"/>
      <c r="C115" s="1362"/>
      <c r="D115" s="19"/>
      <c r="E115" s="19"/>
      <c r="F115" s="19"/>
      <c r="G115" s="1323">
        <f t="shared" si="4"/>
        <v>72</v>
      </c>
      <c r="H115" s="2351">
        <v>15.5</v>
      </c>
      <c r="I115" s="1362">
        <f t="shared" si="3"/>
        <v>6.4516129032258063E-2</v>
      </c>
      <c r="J115" s="19"/>
      <c r="K115" s="1387"/>
      <c r="L115" s="2353"/>
    </row>
    <row r="116" spans="1:12" x14ac:dyDescent="0.25">
      <c r="A116" s="1323"/>
      <c r="B116" s="1740"/>
      <c r="C116" s="1362"/>
      <c r="D116" s="19"/>
      <c r="E116" s="19"/>
      <c r="F116" s="19"/>
      <c r="G116" s="1323">
        <f t="shared" si="4"/>
        <v>73</v>
      </c>
      <c r="H116" s="2351">
        <v>14.8</v>
      </c>
      <c r="I116" s="1362">
        <f t="shared" si="3"/>
        <v>6.7567567567567557E-2</v>
      </c>
      <c r="J116" s="19"/>
      <c r="K116" s="1387"/>
      <c r="L116" s="2353"/>
    </row>
    <row r="117" spans="1:12" x14ac:dyDescent="0.25">
      <c r="A117" s="1323"/>
      <c r="B117" s="1740"/>
      <c r="C117" s="1362"/>
      <c r="D117" s="19"/>
      <c r="E117" s="19"/>
      <c r="F117" s="19"/>
      <c r="G117" s="1323">
        <f t="shared" si="4"/>
        <v>74</v>
      </c>
      <c r="H117" s="2351">
        <v>14.1</v>
      </c>
      <c r="I117" s="1362">
        <f t="shared" si="3"/>
        <v>7.0921985815602842E-2</v>
      </c>
      <c r="J117" s="19"/>
      <c r="K117" s="1387"/>
      <c r="L117" s="2353"/>
    </row>
    <row r="118" spans="1:12" x14ac:dyDescent="0.25">
      <c r="A118" s="1323"/>
      <c r="B118" s="1740"/>
      <c r="C118" s="1362"/>
      <c r="D118" s="19"/>
      <c r="E118" s="19"/>
      <c r="F118" s="19"/>
      <c r="G118" s="1323">
        <f t="shared" si="4"/>
        <v>75</v>
      </c>
      <c r="H118" s="2351">
        <v>13.4</v>
      </c>
      <c r="I118" s="1362">
        <f t="shared" si="3"/>
        <v>7.4626865671641784E-2</v>
      </c>
      <c r="J118" s="19"/>
      <c r="K118" s="1387"/>
      <c r="L118" s="2353"/>
    </row>
    <row r="119" spans="1:12" x14ac:dyDescent="0.25">
      <c r="A119" s="1323"/>
      <c r="B119" s="1740"/>
      <c r="C119" s="1362"/>
      <c r="D119" s="19"/>
      <c r="E119" s="19"/>
      <c r="F119" s="19"/>
      <c r="G119" s="1323">
        <f t="shared" si="4"/>
        <v>76</v>
      </c>
      <c r="H119" s="2351">
        <v>12.7</v>
      </c>
      <c r="I119" s="1362">
        <f t="shared" si="3"/>
        <v>7.874015748031496E-2</v>
      </c>
      <c r="J119" s="19"/>
      <c r="K119" s="1387"/>
      <c r="L119" s="2353"/>
    </row>
    <row r="120" spans="1:12" x14ac:dyDescent="0.25">
      <c r="A120" s="1323"/>
      <c r="B120" s="1740"/>
      <c r="C120" s="1362"/>
      <c r="D120" s="19"/>
      <c r="E120" s="19"/>
      <c r="F120" s="19"/>
      <c r="G120" s="1323">
        <f t="shared" si="4"/>
        <v>77</v>
      </c>
      <c r="H120" s="2351">
        <v>12.1</v>
      </c>
      <c r="I120" s="1362">
        <f t="shared" si="3"/>
        <v>8.2644628099173556E-2</v>
      </c>
      <c r="J120" s="19"/>
      <c r="K120" s="1387"/>
      <c r="L120" s="2353"/>
    </row>
    <row r="121" spans="1:12" x14ac:dyDescent="0.25">
      <c r="A121" s="1323"/>
      <c r="B121" s="1740"/>
      <c r="C121" s="1362"/>
      <c r="D121" s="19"/>
      <c r="E121" s="19"/>
      <c r="F121" s="19"/>
      <c r="G121" s="1323">
        <f t="shared" si="4"/>
        <v>78</v>
      </c>
      <c r="H121" s="2351">
        <v>11.4</v>
      </c>
      <c r="I121" s="1362">
        <f t="shared" si="3"/>
        <v>8.771929824561403E-2</v>
      </c>
      <c r="J121" s="19"/>
      <c r="K121" s="1387"/>
      <c r="L121" s="2353"/>
    </row>
    <row r="122" spans="1:12" x14ac:dyDescent="0.25">
      <c r="A122" s="1323"/>
      <c r="B122" s="1740"/>
      <c r="C122" s="1362"/>
      <c r="D122" s="19"/>
      <c r="E122" s="19"/>
      <c r="F122" s="19"/>
      <c r="G122" s="1323">
        <f t="shared" si="4"/>
        <v>79</v>
      </c>
      <c r="H122" s="2351">
        <v>10.8</v>
      </c>
      <c r="I122" s="1362">
        <f t="shared" si="3"/>
        <v>9.2592592592592587E-2</v>
      </c>
      <c r="J122" s="19"/>
      <c r="K122" s="1387"/>
      <c r="L122" s="2353"/>
    </row>
    <row r="123" spans="1:12" x14ac:dyDescent="0.25">
      <c r="A123" s="1323"/>
      <c r="B123" s="1740"/>
      <c r="C123" s="1362"/>
      <c r="D123" s="19"/>
      <c r="E123" s="19"/>
      <c r="F123" s="19"/>
      <c r="G123" s="1323">
        <f t="shared" si="4"/>
        <v>80</v>
      </c>
      <c r="H123" s="2351">
        <v>10.199999999999999</v>
      </c>
      <c r="I123" s="1362">
        <f t="shared" si="3"/>
        <v>9.8039215686274522E-2</v>
      </c>
      <c r="J123" s="19"/>
      <c r="K123" s="1387"/>
      <c r="L123" s="2353"/>
    </row>
    <row r="124" spans="1:12" x14ac:dyDescent="0.25">
      <c r="A124" s="1323"/>
      <c r="B124" s="1740"/>
      <c r="C124" s="1362"/>
      <c r="D124" s="19"/>
      <c r="E124" s="19"/>
      <c r="F124" s="19"/>
      <c r="G124" s="1323">
        <f t="shared" si="4"/>
        <v>81</v>
      </c>
      <c r="H124" s="2351">
        <v>9.6999999999999993</v>
      </c>
      <c r="I124" s="1362">
        <f t="shared" si="3"/>
        <v>0.10309278350515465</v>
      </c>
      <c r="J124" s="19"/>
      <c r="K124" s="1387"/>
      <c r="L124" s="2353"/>
    </row>
    <row r="125" spans="1:12" x14ac:dyDescent="0.25">
      <c r="A125" s="1323"/>
      <c r="B125" s="1740"/>
      <c r="C125" s="1362"/>
      <c r="D125" s="19"/>
      <c r="E125" s="19"/>
      <c r="F125" s="19"/>
      <c r="G125" s="1323">
        <f t="shared" si="4"/>
        <v>82</v>
      </c>
      <c r="H125" s="2351">
        <v>9.1</v>
      </c>
      <c r="I125" s="1362">
        <f t="shared" si="3"/>
        <v>0.10989010989010989</v>
      </c>
      <c r="J125" s="19"/>
      <c r="K125" s="1387"/>
      <c r="L125" s="2353"/>
    </row>
    <row r="126" spans="1:12" x14ac:dyDescent="0.25">
      <c r="A126" s="1323"/>
      <c r="B126" s="1740"/>
      <c r="C126" s="1362"/>
      <c r="D126" s="19"/>
      <c r="E126" s="19"/>
      <c r="F126" s="19"/>
      <c r="G126" s="1323">
        <f t="shared" si="4"/>
        <v>83</v>
      </c>
      <c r="H126" s="2351">
        <v>8.6</v>
      </c>
      <c r="I126" s="1362">
        <f t="shared" si="3"/>
        <v>0.11627906976744186</v>
      </c>
      <c r="J126" s="19"/>
      <c r="K126" s="1387"/>
      <c r="L126" s="2353"/>
    </row>
    <row r="127" spans="1:12" x14ac:dyDescent="0.25">
      <c r="A127" s="1323"/>
      <c r="B127" s="1740"/>
      <c r="C127" s="1362"/>
      <c r="D127" s="19"/>
      <c r="E127" s="19"/>
      <c r="F127" s="19"/>
      <c r="G127" s="1323">
        <f t="shared" si="4"/>
        <v>84</v>
      </c>
      <c r="H127" s="2351">
        <v>8.1</v>
      </c>
      <c r="I127" s="1362">
        <f t="shared" si="3"/>
        <v>0.1234567901234568</v>
      </c>
      <c r="J127" s="19"/>
      <c r="K127" s="1387"/>
      <c r="L127" s="2353"/>
    </row>
    <row r="128" spans="1:12" x14ac:dyDescent="0.25">
      <c r="A128" s="1323"/>
      <c r="B128" s="1740"/>
      <c r="C128" s="1362"/>
      <c r="D128" s="19"/>
      <c r="E128" s="19"/>
      <c r="F128" s="19"/>
      <c r="G128" s="1323">
        <f t="shared" si="4"/>
        <v>85</v>
      </c>
      <c r="H128" s="2351">
        <v>7.6</v>
      </c>
      <c r="I128" s="1362">
        <f t="shared" si="3"/>
        <v>0.13157894736842105</v>
      </c>
      <c r="J128" s="19"/>
      <c r="K128" s="1387"/>
      <c r="L128" s="2353"/>
    </row>
    <row r="129" spans="1:12" x14ac:dyDescent="0.25">
      <c r="A129" s="1323"/>
      <c r="B129" s="1740"/>
      <c r="C129" s="1362"/>
      <c r="D129" s="19"/>
      <c r="E129" s="19"/>
      <c r="F129" s="19"/>
      <c r="G129" s="1323">
        <f t="shared" si="4"/>
        <v>86</v>
      </c>
      <c r="H129" s="2351">
        <v>7.1</v>
      </c>
      <c r="I129" s="1362">
        <f t="shared" si="3"/>
        <v>0.14084507042253522</v>
      </c>
      <c r="J129" s="19"/>
      <c r="K129" s="1387"/>
      <c r="L129" s="2353"/>
    </row>
    <row r="130" spans="1:12" x14ac:dyDescent="0.25">
      <c r="A130" s="1323"/>
      <c r="B130" s="1740"/>
      <c r="C130" s="1362"/>
      <c r="D130" s="19"/>
      <c r="E130" s="19"/>
      <c r="F130" s="19"/>
      <c r="G130" s="1323">
        <f t="shared" si="4"/>
        <v>87</v>
      </c>
      <c r="H130" s="2351">
        <v>6.7</v>
      </c>
      <c r="I130" s="1362">
        <f t="shared" si="3"/>
        <v>0.14925373134328357</v>
      </c>
      <c r="J130" s="19"/>
      <c r="K130" s="1387"/>
      <c r="L130" s="2353"/>
    </row>
    <row r="131" spans="1:12" x14ac:dyDescent="0.25">
      <c r="A131" s="1323"/>
      <c r="B131" s="1740"/>
      <c r="C131" s="1362"/>
      <c r="D131" s="19"/>
      <c r="E131" s="19"/>
      <c r="F131" s="19"/>
      <c r="G131" s="1323">
        <f t="shared" si="4"/>
        <v>88</v>
      </c>
      <c r="H131" s="2351">
        <v>6.3</v>
      </c>
      <c r="I131" s="1362">
        <f t="shared" si="3"/>
        <v>0.15873015873015872</v>
      </c>
      <c r="J131" s="19"/>
      <c r="K131" s="1387"/>
      <c r="L131" s="2353"/>
    </row>
    <row r="132" spans="1:12" x14ac:dyDescent="0.25">
      <c r="A132" s="1323"/>
      <c r="B132" s="1740"/>
      <c r="C132" s="1362"/>
      <c r="D132" s="19"/>
      <c r="E132" s="19"/>
      <c r="F132" s="19"/>
      <c r="G132" s="1323">
        <f t="shared" si="4"/>
        <v>89</v>
      </c>
      <c r="H132" s="2351">
        <v>5.9</v>
      </c>
      <c r="I132" s="1362">
        <f t="shared" si="3"/>
        <v>0.16949152542372881</v>
      </c>
      <c r="J132" s="19"/>
      <c r="K132" s="1387"/>
      <c r="L132" s="2353"/>
    </row>
    <row r="133" spans="1:12" x14ac:dyDescent="0.25">
      <c r="A133" s="1323"/>
      <c r="B133" s="1740"/>
      <c r="C133" s="1362"/>
      <c r="D133" s="19"/>
      <c r="E133" s="19"/>
      <c r="F133" s="19"/>
      <c r="G133" s="1323">
        <f t="shared" si="4"/>
        <v>90</v>
      </c>
      <c r="H133" s="2351">
        <v>5.5</v>
      </c>
      <c r="I133" s="1362">
        <f t="shared" si="3"/>
        <v>0.18181818181818182</v>
      </c>
      <c r="J133" s="19"/>
      <c r="K133" s="1387"/>
      <c r="L133" s="2353"/>
    </row>
    <row r="134" spans="1:12" x14ac:dyDescent="0.25">
      <c r="A134" s="1323"/>
      <c r="B134" s="1740"/>
      <c r="C134" s="1362"/>
      <c r="D134" s="19"/>
      <c r="E134" s="19"/>
      <c r="F134" s="19"/>
      <c r="G134" s="1323">
        <f t="shared" si="4"/>
        <v>91</v>
      </c>
      <c r="H134" s="2351">
        <v>5.2</v>
      </c>
      <c r="I134" s="1362">
        <f t="shared" si="3"/>
        <v>0.19230769230769229</v>
      </c>
      <c r="J134" s="19"/>
      <c r="K134" s="1387"/>
      <c r="L134" s="2353"/>
    </row>
    <row r="135" spans="1:12" x14ac:dyDescent="0.25">
      <c r="A135" s="1323"/>
      <c r="B135" s="1740"/>
      <c r="C135" s="1362"/>
      <c r="D135" s="19"/>
      <c r="E135" s="19"/>
      <c r="F135" s="19"/>
      <c r="G135" s="1323">
        <f t="shared" si="4"/>
        <v>92</v>
      </c>
      <c r="H135" s="2351">
        <v>4.9000000000000004</v>
      </c>
      <c r="I135" s="1362">
        <f t="shared" si="3"/>
        <v>0.2040816326530612</v>
      </c>
      <c r="J135" s="19"/>
      <c r="K135" s="1387"/>
      <c r="L135" s="2353"/>
    </row>
    <row r="136" spans="1:12" x14ac:dyDescent="0.25">
      <c r="A136" s="1323"/>
      <c r="B136" s="1740"/>
      <c r="C136" s="1362"/>
      <c r="D136" s="19"/>
      <c r="E136" s="19"/>
      <c r="F136" s="19"/>
      <c r="G136" s="1323">
        <f t="shared" si="4"/>
        <v>93</v>
      </c>
      <c r="H136" s="2351">
        <v>4.5999999999999996</v>
      </c>
      <c r="I136" s="1362">
        <f t="shared" si="3"/>
        <v>0.21739130434782611</v>
      </c>
      <c r="J136" s="19"/>
      <c r="K136" s="1387"/>
      <c r="L136" s="2353"/>
    </row>
    <row r="137" spans="1:12" x14ac:dyDescent="0.25">
      <c r="A137" s="1323"/>
      <c r="B137" s="1740"/>
      <c r="C137" s="1362"/>
      <c r="D137" s="19"/>
      <c r="E137" s="19"/>
      <c r="F137" s="19"/>
      <c r="G137" s="1323">
        <f t="shared" si="4"/>
        <v>94</v>
      </c>
      <c r="H137" s="2351">
        <v>4.3</v>
      </c>
      <c r="I137" s="1362">
        <f t="shared" si="3"/>
        <v>0.23255813953488372</v>
      </c>
      <c r="J137" s="19"/>
      <c r="K137" s="1387"/>
      <c r="L137" s="2353"/>
    </row>
    <row r="138" spans="1:12" x14ac:dyDescent="0.25">
      <c r="A138" s="1323"/>
      <c r="B138" s="1740"/>
      <c r="C138" s="1362"/>
      <c r="D138" s="19"/>
      <c r="E138" s="19"/>
      <c r="F138" s="19"/>
      <c r="G138" s="1323">
        <f t="shared" si="4"/>
        <v>95</v>
      </c>
      <c r="H138" s="2351">
        <v>4.0999999999999996</v>
      </c>
      <c r="I138" s="1362">
        <f t="shared" si="3"/>
        <v>0.24390243902439027</v>
      </c>
      <c r="J138" s="19"/>
      <c r="K138" s="1387"/>
      <c r="L138" s="2353"/>
    </row>
    <row r="139" spans="1:12" x14ac:dyDescent="0.25">
      <c r="A139" s="1323"/>
      <c r="B139" s="1740"/>
      <c r="C139" s="1362"/>
      <c r="D139" s="19"/>
      <c r="E139" s="19"/>
      <c r="F139" s="19"/>
      <c r="G139" s="1323">
        <f t="shared" si="4"/>
        <v>96</v>
      </c>
      <c r="H139" s="2351">
        <v>3.8</v>
      </c>
      <c r="I139" s="1362">
        <f t="shared" si="3"/>
        <v>0.26315789473684209</v>
      </c>
      <c r="J139" s="19"/>
      <c r="K139" s="1387"/>
      <c r="L139" s="2353"/>
    </row>
    <row r="140" spans="1:12" x14ac:dyDescent="0.25">
      <c r="A140" s="1323"/>
      <c r="B140" s="1740"/>
      <c r="C140" s="1362"/>
      <c r="D140" s="19"/>
      <c r="E140" s="19"/>
      <c r="F140" s="19"/>
      <c r="G140" s="1323">
        <f t="shared" si="4"/>
        <v>97</v>
      </c>
      <c r="H140" s="2351">
        <v>3.6</v>
      </c>
      <c r="I140" s="1362">
        <f t="shared" si="3"/>
        <v>0.27777777777777779</v>
      </c>
      <c r="J140" s="19"/>
      <c r="K140" s="1387"/>
      <c r="L140" s="2353"/>
    </row>
    <row r="141" spans="1:12" x14ac:dyDescent="0.25">
      <c r="A141" s="1323"/>
      <c r="B141" s="1740"/>
      <c r="C141" s="1362"/>
      <c r="D141" s="19"/>
      <c r="E141" s="19"/>
      <c r="F141" s="19"/>
      <c r="G141" s="1323">
        <f t="shared" si="4"/>
        <v>98</v>
      </c>
      <c r="H141" s="2351">
        <v>3.4</v>
      </c>
      <c r="I141" s="1362">
        <f t="shared" si="3"/>
        <v>0.29411764705882354</v>
      </c>
      <c r="J141" s="19"/>
      <c r="K141" s="1387"/>
      <c r="L141" s="2353"/>
    </row>
    <row r="142" spans="1:12" x14ac:dyDescent="0.25">
      <c r="A142" s="1323"/>
      <c r="B142" s="1740"/>
      <c r="C142" s="1362"/>
      <c r="D142" s="19"/>
      <c r="E142" s="19"/>
      <c r="F142" s="19"/>
      <c r="G142" s="1323">
        <f t="shared" si="4"/>
        <v>99</v>
      </c>
      <c r="H142" s="2351">
        <v>3.1</v>
      </c>
      <c r="I142" s="1362">
        <f t="shared" si="3"/>
        <v>0.32258064516129031</v>
      </c>
      <c r="J142" s="19"/>
      <c r="K142" s="1387"/>
      <c r="L142" s="2353"/>
    </row>
    <row r="143" spans="1:12" x14ac:dyDescent="0.25">
      <c r="A143" s="1323"/>
      <c r="B143" s="1740"/>
      <c r="C143" s="1362"/>
      <c r="D143" s="19"/>
      <c r="E143" s="19"/>
      <c r="F143" s="19"/>
      <c r="G143" s="1323">
        <f t="shared" si="4"/>
        <v>100</v>
      </c>
      <c r="H143" s="2351">
        <v>2.9</v>
      </c>
      <c r="I143" s="1362">
        <f t="shared" si="3"/>
        <v>0.34482758620689657</v>
      </c>
      <c r="J143" s="19"/>
      <c r="K143" s="1387"/>
      <c r="L143" s="2353"/>
    </row>
    <row r="144" spans="1:12" x14ac:dyDescent="0.25">
      <c r="A144" s="1323"/>
      <c r="B144" s="1740"/>
      <c r="C144" s="1362"/>
      <c r="D144" s="19"/>
      <c r="E144" s="19"/>
      <c r="F144" s="19"/>
      <c r="G144" s="1323">
        <f t="shared" si="4"/>
        <v>101</v>
      </c>
      <c r="H144" s="2351">
        <v>2.7</v>
      </c>
      <c r="I144" s="1362">
        <f t="shared" si="3"/>
        <v>0.37037037037037035</v>
      </c>
      <c r="J144" s="19"/>
      <c r="K144" s="1387"/>
      <c r="L144" s="2353"/>
    </row>
    <row r="145" spans="1:12" x14ac:dyDescent="0.25">
      <c r="A145" s="1323"/>
      <c r="B145" s="1740"/>
      <c r="C145" s="1362"/>
      <c r="D145" s="19"/>
      <c r="E145" s="19"/>
      <c r="F145" s="19"/>
      <c r="G145" s="1323">
        <f t="shared" si="4"/>
        <v>102</v>
      </c>
      <c r="H145" s="2351">
        <v>2.5</v>
      </c>
      <c r="I145" s="1362">
        <f t="shared" si="3"/>
        <v>0.4</v>
      </c>
      <c r="J145" s="19"/>
      <c r="K145" s="1387"/>
      <c r="L145" s="2353"/>
    </row>
    <row r="146" spans="1:12" x14ac:dyDescent="0.25">
      <c r="A146" s="1323"/>
      <c r="B146" s="1740"/>
      <c r="C146" s="1362"/>
      <c r="D146" s="19"/>
      <c r="E146" s="19"/>
      <c r="F146" s="19"/>
      <c r="G146" s="1323">
        <f t="shared" si="4"/>
        <v>103</v>
      </c>
      <c r="H146" s="2351">
        <v>2.2999999999999998</v>
      </c>
      <c r="I146" s="1362">
        <f t="shared" si="3"/>
        <v>0.43478260869565222</v>
      </c>
      <c r="J146" s="19"/>
      <c r="K146" s="1387"/>
      <c r="L146" s="2353"/>
    </row>
    <row r="147" spans="1:12" x14ac:dyDescent="0.25">
      <c r="A147" s="1323"/>
      <c r="B147" s="1740"/>
      <c r="C147" s="1362"/>
      <c r="D147" s="19"/>
      <c r="E147" s="19"/>
      <c r="F147" s="19"/>
      <c r="G147" s="1323">
        <f t="shared" si="4"/>
        <v>104</v>
      </c>
      <c r="H147" s="2351">
        <v>2.1</v>
      </c>
      <c r="I147" s="1362">
        <f t="shared" si="3"/>
        <v>0.47619047619047616</v>
      </c>
      <c r="J147" s="19"/>
      <c r="K147" s="1387"/>
      <c r="L147" s="2353"/>
    </row>
    <row r="148" spans="1:12" x14ac:dyDescent="0.25">
      <c r="A148" s="1323"/>
      <c r="B148" s="1740"/>
      <c r="C148" s="1362"/>
      <c r="D148" s="19"/>
      <c r="E148" s="19"/>
      <c r="F148" s="19"/>
      <c r="G148" s="1323">
        <f t="shared" si="4"/>
        <v>105</v>
      </c>
      <c r="H148" s="2351">
        <v>1.9</v>
      </c>
      <c r="I148" s="1362">
        <f t="shared" si="3"/>
        <v>0.52631578947368418</v>
      </c>
      <c r="J148" s="19"/>
      <c r="K148" s="1387"/>
      <c r="L148" s="2353"/>
    </row>
    <row r="149" spans="1:12" x14ac:dyDescent="0.25">
      <c r="A149" s="1323"/>
      <c r="B149" s="1740"/>
      <c r="C149" s="1362"/>
      <c r="D149" s="19"/>
      <c r="E149" s="19"/>
      <c r="F149" s="19"/>
      <c r="G149" s="1323">
        <f t="shared" si="4"/>
        <v>106</v>
      </c>
      <c r="H149" s="2351">
        <v>1.7</v>
      </c>
      <c r="I149" s="1362">
        <f t="shared" si="3"/>
        <v>0.58823529411764708</v>
      </c>
      <c r="J149" s="19"/>
      <c r="K149" s="1387"/>
      <c r="L149" s="2353"/>
    </row>
    <row r="150" spans="1:12" x14ac:dyDescent="0.25">
      <c r="A150" s="1323"/>
      <c r="B150" s="1740"/>
      <c r="C150" s="1362"/>
      <c r="D150" s="19"/>
      <c r="E150" s="19"/>
      <c r="F150" s="19"/>
      <c r="G150" s="1323">
        <f t="shared" si="4"/>
        <v>107</v>
      </c>
      <c r="H150" s="2351">
        <v>1.5</v>
      </c>
      <c r="I150" s="1362">
        <f t="shared" si="3"/>
        <v>0.66666666666666663</v>
      </c>
      <c r="J150" s="19"/>
      <c r="K150" s="1387"/>
      <c r="L150" s="2353"/>
    </row>
    <row r="151" spans="1:12" x14ac:dyDescent="0.25">
      <c r="A151" s="1323"/>
      <c r="B151" s="1740"/>
      <c r="C151" s="1362"/>
      <c r="D151" s="19"/>
      <c r="E151" s="19"/>
      <c r="F151" s="19"/>
      <c r="G151" s="1323">
        <f t="shared" si="4"/>
        <v>108</v>
      </c>
      <c r="H151" s="2351">
        <v>1.4</v>
      </c>
      <c r="I151" s="1362">
        <f t="shared" si="3"/>
        <v>0.7142857142857143</v>
      </c>
      <c r="J151" s="19"/>
      <c r="K151" s="1387"/>
      <c r="L151" s="2353"/>
    </row>
    <row r="152" spans="1:12" x14ac:dyDescent="0.25">
      <c r="A152" s="1323"/>
      <c r="B152" s="1740"/>
      <c r="C152" s="1362"/>
      <c r="D152" s="19"/>
      <c r="E152" s="19"/>
      <c r="F152" s="19"/>
      <c r="G152" s="1323">
        <f t="shared" si="4"/>
        <v>109</v>
      </c>
      <c r="H152" s="2351">
        <v>1.2</v>
      </c>
      <c r="I152" s="1362">
        <f t="shared" si="3"/>
        <v>0.83333333333333337</v>
      </c>
      <c r="J152" s="19"/>
      <c r="K152" s="1387"/>
      <c r="L152" s="2353"/>
    </row>
    <row r="153" spans="1:12" ht="15.75" thickBot="1" x14ac:dyDescent="0.3">
      <c r="A153" s="1777"/>
      <c r="B153" s="1741"/>
      <c r="C153" s="1494"/>
      <c r="D153" s="1385"/>
      <c r="E153" s="1385"/>
      <c r="F153" s="1385"/>
      <c r="G153" s="1777">
        <f t="shared" si="4"/>
        <v>110</v>
      </c>
      <c r="H153" s="2352">
        <v>1.1000000000000001</v>
      </c>
      <c r="I153" s="1494">
        <f t="shared" si="3"/>
        <v>0.90909090909090906</v>
      </c>
      <c r="J153" s="1385"/>
      <c r="K153" s="2348"/>
      <c r="L153" s="1948"/>
    </row>
    <row r="154" spans="1:12" ht="15.75" thickTop="1" x14ac:dyDescent="0.25">
      <c r="A154" s="3"/>
      <c r="B154" s="1740"/>
      <c r="C154" s="1362"/>
      <c r="D154" s="19"/>
      <c r="E154" s="19"/>
      <c r="F154" s="19"/>
      <c r="G154" s="19"/>
      <c r="H154" s="19"/>
      <c r="I154" s="19"/>
      <c r="J154" s="19"/>
      <c r="K154" s="19"/>
      <c r="L154" s="6"/>
    </row>
    <row r="156" spans="1:12" s="1382" customFormat="1" ht="15.75" x14ac:dyDescent="0.25">
      <c r="B156" s="1383" t="s">
        <v>1111</v>
      </c>
      <c r="G156" s="1383" t="s">
        <v>1110</v>
      </c>
    </row>
    <row r="157" spans="1:12" s="1382" customFormat="1" ht="16.5" thickBot="1" x14ac:dyDescent="0.3">
      <c r="B157" s="1383"/>
      <c r="G157" s="1383"/>
    </row>
    <row r="158" spans="1:12" ht="19.5" thickTop="1" x14ac:dyDescent="0.3">
      <c r="A158" s="960" t="s">
        <v>486</v>
      </c>
      <c r="B158" s="946"/>
      <c r="C158" s="946"/>
      <c r="D158" s="947"/>
      <c r="E158" s="947"/>
      <c r="F158" s="946"/>
      <c r="G158" s="946"/>
      <c r="H158" s="949"/>
    </row>
    <row r="159" spans="1:12" ht="15.75" x14ac:dyDescent="0.25">
      <c r="A159" s="964" t="s">
        <v>736</v>
      </c>
      <c r="B159" s="944"/>
      <c r="C159" s="944"/>
      <c r="D159" s="945"/>
      <c r="E159" s="945"/>
      <c r="F159" s="944"/>
      <c r="G159" s="944"/>
      <c r="H159" s="950"/>
    </row>
    <row r="160" spans="1:12" x14ac:dyDescent="0.25">
      <c r="A160" s="1054"/>
      <c r="B160" s="943" t="s">
        <v>326</v>
      </c>
      <c r="C160" s="945"/>
      <c r="D160" s="945"/>
      <c r="E160" s="945"/>
      <c r="F160" s="944"/>
      <c r="G160" s="944"/>
      <c r="H160" s="950"/>
    </row>
    <row r="161" spans="1:8" x14ac:dyDescent="0.25">
      <c r="A161" s="1054"/>
      <c r="B161" s="1356" t="s">
        <v>870</v>
      </c>
      <c r="C161" s="1357"/>
      <c r="D161" s="1357"/>
      <c r="E161" s="945"/>
      <c r="F161" s="944"/>
      <c r="G161" s="944"/>
      <c r="H161" s="950"/>
    </row>
    <row r="162" spans="1:8" x14ac:dyDescent="0.25">
      <c r="A162" s="1054"/>
      <c r="B162" s="942" t="s">
        <v>1103</v>
      </c>
      <c r="C162" s="945"/>
      <c r="D162" s="945"/>
      <c r="E162" s="945"/>
      <c r="F162" s="944"/>
      <c r="G162" s="944"/>
      <c r="H162" s="950"/>
    </row>
    <row r="163" spans="1:8" x14ac:dyDescent="0.25">
      <c r="A163" s="1054" t="s">
        <v>154</v>
      </c>
      <c r="B163" s="942" t="s">
        <v>1104</v>
      </c>
      <c r="C163" s="945"/>
      <c r="D163" s="945"/>
      <c r="E163" s="945"/>
      <c r="F163" s="944"/>
      <c r="G163" s="944"/>
      <c r="H163" s="950"/>
    </row>
    <row r="164" spans="1:8" x14ac:dyDescent="0.25">
      <c r="A164" s="1054"/>
      <c r="B164" s="942" t="s">
        <v>1105</v>
      </c>
      <c r="C164" s="945"/>
      <c r="D164" s="945"/>
      <c r="E164" s="945"/>
      <c r="F164" s="944"/>
      <c r="G164" s="944"/>
      <c r="H164" s="950"/>
    </row>
    <row r="165" spans="1:8" x14ac:dyDescent="0.25">
      <c r="A165" s="1890"/>
      <c r="B165" s="942" t="s">
        <v>1106</v>
      </c>
      <c r="C165" s="1019"/>
      <c r="D165" s="945"/>
      <c r="E165" s="945"/>
      <c r="F165" s="944"/>
      <c r="G165" s="944"/>
      <c r="H165" s="950"/>
    </row>
    <row r="166" spans="1:8" x14ac:dyDescent="0.25">
      <c r="A166" s="1890"/>
      <c r="B166" s="942" t="s">
        <v>1449</v>
      </c>
      <c r="C166" s="1019"/>
      <c r="D166" s="945"/>
      <c r="E166" s="945"/>
      <c r="F166" s="944"/>
      <c r="G166" s="944"/>
      <c r="H166" s="950"/>
    </row>
    <row r="167" spans="1:8" x14ac:dyDescent="0.25">
      <c r="A167" s="1890"/>
      <c r="B167" s="942" t="s">
        <v>1462</v>
      </c>
      <c r="C167" s="1019"/>
      <c r="D167" s="945"/>
      <c r="E167" s="945"/>
      <c r="F167" s="944"/>
      <c r="G167" s="944"/>
      <c r="H167" s="950"/>
    </row>
    <row r="168" spans="1:8" x14ac:dyDescent="0.25">
      <c r="A168" s="1890"/>
      <c r="B168" s="942" t="s">
        <v>1450</v>
      </c>
      <c r="C168" s="1019"/>
      <c r="D168" s="945"/>
      <c r="E168" s="945"/>
      <c r="F168" s="944"/>
      <c r="G168" s="944"/>
      <c r="H168" s="950"/>
    </row>
    <row r="169" spans="1:8" x14ac:dyDescent="0.25">
      <c r="A169" s="1890"/>
      <c r="B169" s="942" t="s">
        <v>1107</v>
      </c>
      <c r="C169" s="1019"/>
      <c r="D169" s="945"/>
      <c r="E169" s="945"/>
      <c r="F169" s="944"/>
      <c r="G169" s="944"/>
      <c r="H169" s="950"/>
    </row>
    <row r="170" spans="1:8" x14ac:dyDescent="0.25">
      <c r="A170" s="1890"/>
      <c r="B170" s="943" t="s">
        <v>1108</v>
      </c>
      <c r="C170" s="1019"/>
      <c r="D170" s="945"/>
      <c r="E170" s="945"/>
      <c r="F170" s="944"/>
      <c r="G170" s="944"/>
      <c r="H170" s="950"/>
    </row>
    <row r="171" spans="1:8" x14ac:dyDescent="0.25">
      <c r="A171" s="1890"/>
      <c r="B171" s="943" t="s">
        <v>1100</v>
      </c>
      <c r="C171" s="1019"/>
      <c r="D171" s="945"/>
      <c r="E171" s="945"/>
      <c r="F171" s="944"/>
      <c r="G171" s="944"/>
      <c r="H171" s="950"/>
    </row>
    <row r="172" spans="1:8" x14ac:dyDescent="0.25">
      <c r="A172" s="1054"/>
      <c r="B172" s="943" t="s">
        <v>1099</v>
      </c>
      <c r="C172" s="945"/>
      <c r="D172" s="945"/>
      <c r="E172" s="945"/>
      <c r="F172" s="944"/>
      <c r="G172" s="944"/>
      <c r="H172" s="950"/>
    </row>
    <row r="173" spans="1:8" x14ac:dyDescent="0.25">
      <c r="A173" s="1054"/>
      <c r="B173" s="943" t="s">
        <v>1098</v>
      </c>
      <c r="C173" s="945"/>
      <c r="D173" s="945"/>
      <c r="E173" s="945"/>
      <c r="F173" s="944"/>
      <c r="G173" s="944"/>
      <c r="H173" s="950"/>
    </row>
    <row r="174" spans="1:8" x14ac:dyDescent="0.25">
      <c r="A174" s="1054"/>
      <c r="B174" s="942" t="s">
        <v>1097</v>
      </c>
      <c r="C174" s="945"/>
      <c r="D174" s="945"/>
      <c r="E174" s="945"/>
      <c r="F174" s="944"/>
      <c r="G174" s="944"/>
      <c r="H174" s="950"/>
    </row>
    <row r="175" spans="1:8" x14ac:dyDescent="0.25">
      <c r="A175" s="1054"/>
      <c r="B175" s="943" t="s">
        <v>1101</v>
      </c>
      <c r="C175" s="945"/>
      <c r="D175" s="945"/>
      <c r="E175" s="945"/>
      <c r="F175" s="944"/>
      <c r="G175" s="944"/>
      <c r="H175" s="950"/>
    </row>
    <row r="176" spans="1:8" x14ac:dyDescent="0.25">
      <c r="A176" s="1054"/>
      <c r="B176" s="943" t="s">
        <v>1102</v>
      </c>
      <c r="C176" s="945"/>
      <c r="D176" s="1019" t="s">
        <v>1762</v>
      </c>
      <c r="E176" s="945"/>
      <c r="F176" s="944"/>
      <c r="G176" s="944"/>
      <c r="H176" s="950"/>
    </row>
    <row r="177" spans="1:8" x14ac:dyDescent="0.25">
      <c r="A177" s="1083"/>
      <c r="B177" s="1081" t="s">
        <v>719</v>
      </c>
      <c r="C177" s="945"/>
      <c r="D177" s="1019" t="s">
        <v>1764</v>
      </c>
      <c r="E177" s="945"/>
      <c r="F177" s="944"/>
      <c r="G177" s="944"/>
      <c r="H177" s="950"/>
    </row>
    <row r="178" spans="1:8" x14ac:dyDescent="0.25">
      <c r="A178" s="1083"/>
      <c r="B178" s="1081" t="s">
        <v>720</v>
      </c>
      <c r="C178" s="945"/>
      <c r="D178" s="1019" t="s">
        <v>1289</v>
      </c>
      <c r="E178" s="945"/>
      <c r="F178" s="945"/>
      <c r="G178" s="945"/>
      <c r="H178" s="950"/>
    </row>
    <row r="179" spans="1:8" x14ac:dyDescent="0.25">
      <c r="A179" s="1083"/>
      <c r="B179" s="1081" t="s">
        <v>721</v>
      </c>
      <c r="C179" s="945"/>
      <c r="D179" s="945" t="s">
        <v>722</v>
      </c>
      <c r="E179" s="945"/>
      <c r="F179" s="945"/>
      <c r="G179" s="945"/>
      <c r="H179" s="950"/>
    </row>
    <row r="180" spans="1:8" x14ac:dyDescent="0.25">
      <c r="A180" s="1083"/>
      <c r="B180" s="1081" t="s">
        <v>725</v>
      </c>
      <c r="C180" s="945"/>
      <c r="D180" s="1019" t="s">
        <v>1763</v>
      </c>
      <c r="E180" s="945"/>
      <c r="F180" s="945"/>
      <c r="G180" s="945"/>
      <c r="H180" s="950"/>
    </row>
    <row r="181" spans="1:8" ht="15.75" thickBot="1" x14ac:dyDescent="0.3">
      <c r="A181" s="1088"/>
      <c r="B181" s="1089" t="s">
        <v>577</v>
      </c>
      <c r="C181" s="948"/>
      <c r="D181" s="1087" t="s">
        <v>578</v>
      </c>
      <c r="E181" s="948"/>
      <c r="F181" s="948"/>
      <c r="G181" s="948"/>
      <c r="H181" s="951"/>
    </row>
    <row r="182" spans="1:8" ht="15.75" thickTop="1" x14ac:dyDescent="0.25"/>
  </sheetData>
  <sheetProtection sheet="1" objects="1" scenarios="1"/>
  <mergeCells count="2">
    <mergeCell ref="C42:E42"/>
    <mergeCell ref="I42:K42"/>
  </mergeCells>
  <phoneticPr fontId="0" type="noConversion"/>
  <hyperlinks>
    <hyperlink ref="F16" r:id="rId1"/>
    <hyperlink ref="G28" r:id="rId2"/>
    <hyperlink ref="G32" r:id="rId3"/>
    <hyperlink ref="F15" r:id="rId4"/>
    <hyperlink ref="B1" location="'11. CashData'!A1" display="Previous worksheet (CashData)"/>
    <hyperlink ref="G156" location="'RS. Resources'!A1" display="Next worksheet (RS. Resources)"/>
    <hyperlink ref="G1" location="'RS. Resources'!A1" display="Next worksheet (RS. Resources)"/>
    <hyperlink ref="B156" location="'11. CashData'!A1" display="Previous worksheet (CashData)"/>
    <hyperlink ref="B163" location="'S. Setup'!A1" display="Setup"/>
    <hyperlink ref="B164" location="'1. AgeData'!A1" display="AgeData"/>
    <hyperlink ref="B165" location="'2. TaxData'!A1" display="TaxData"/>
    <hyperlink ref="B167" location="'4. PensionData'!A1" display="4. PensionData"/>
    <hyperlink ref="B168" location="'5. SocSecData'!A1" display="5. SocSecData"/>
    <hyperlink ref="B166" location="'3. WorkData'!A1" display="3. WorkData"/>
    <hyperlink ref="B169" location="'6. AnnuityData'!A1" display="AnnuityData"/>
    <hyperlink ref="B170" location="'7. IRAdata'!A1" display="IRAdata"/>
    <hyperlink ref="B171" location="'8. RothData'!A1" display="RothData"/>
    <hyperlink ref="B172" location="'9. SavingsData'!A1" display="SavingsData"/>
    <hyperlink ref="B162" location="'R. Results'!A1" display="Results"/>
    <hyperlink ref="B174" location="'11. CashData'!A1" display="CashData"/>
    <hyperlink ref="B173" location="'10. ExpensesData'!A1" display="ExpensesData"/>
    <hyperlink ref="B175" location="'12. RMDtable'!A1" display="RMDtable"/>
    <hyperlink ref="B160" location="Introduction!A1" display="Introduction"/>
    <hyperlink ref="B180" location="'Appendix D'!A1" display="Appendix D"/>
    <hyperlink ref="B177" location="'Appendix A'!A1" display="Appendix A"/>
    <hyperlink ref="B178" location="'Appendix B'!A1" display="Appendix B"/>
    <hyperlink ref="B179" location="'Appendix C'!A1" display="Appendix C"/>
    <hyperlink ref="B181" location="FAQ!A1" display="FAQ"/>
    <hyperlink ref="B161" location="Assumptions!A1" display="Assumptions"/>
    <hyperlink ref="B176" location="'RS. Resources'!A1" display="Resources"/>
    <hyperlink ref="F14" r:id="rId5"/>
  </hyperlinks>
  <printOptions headings="1" gridLines="1"/>
  <pageMargins left="0.7" right="0.7" top="0.75" bottom="0.75" header="0.3" footer="0.3"/>
  <pageSetup orientation="landscape" horizontalDpi="1200" verticalDpi="1200" r:id="rId6"/>
  <headerFooter>
    <oddHeader>&amp;L&amp;F&amp;C   &amp;D&amp;T&amp;R&amp;A &amp;P</oddHead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1"/>
  <sheetViews>
    <sheetView workbookViewId="0">
      <selection activeCell="A9" sqref="A9"/>
    </sheetView>
  </sheetViews>
  <sheetFormatPr defaultRowHeight="15" x14ac:dyDescent="0.25"/>
  <cols>
    <col min="7" max="7" width="9.85546875" customWidth="1"/>
    <col min="12" max="12" width="10" customWidth="1"/>
  </cols>
  <sheetData>
    <row r="1" spans="1:11" s="1382" customFormat="1" ht="15.75" x14ac:dyDescent="0.25">
      <c r="B1" s="1383" t="s">
        <v>1109</v>
      </c>
      <c r="G1" s="1383" t="s">
        <v>955</v>
      </c>
    </row>
    <row r="4" spans="1:11" ht="18.75" x14ac:dyDescent="0.3">
      <c r="A4" s="94" t="s">
        <v>1056</v>
      </c>
      <c r="D4" s="970"/>
    </row>
    <row r="5" spans="1:11" ht="18.75" x14ac:dyDescent="0.3">
      <c r="A5" s="94"/>
      <c r="D5" s="970"/>
    </row>
    <row r="6" spans="1:11" ht="15.75" x14ac:dyDescent="0.25">
      <c r="A6" s="1582" t="s">
        <v>2989</v>
      </c>
      <c r="D6" s="970"/>
    </row>
    <row r="7" spans="1:11" x14ac:dyDescent="0.25">
      <c r="A7" s="1317" t="s">
        <v>3466</v>
      </c>
      <c r="B7" s="67"/>
      <c r="C7" s="67"/>
      <c r="D7" s="254"/>
      <c r="E7" s="67"/>
      <c r="F7" s="67"/>
      <c r="G7" s="67"/>
      <c r="H7" s="67"/>
      <c r="I7" s="67"/>
      <c r="J7" s="67"/>
    </row>
    <row r="8" spans="1:11" x14ac:dyDescent="0.25">
      <c r="A8" s="1317" t="s">
        <v>3752</v>
      </c>
      <c r="B8" s="67"/>
      <c r="C8" s="67"/>
      <c r="D8" s="254"/>
      <c r="E8" s="67"/>
      <c r="F8" s="67"/>
      <c r="G8" s="67"/>
      <c r="H8" s="67"/>
      <c r="I8" s="67"/>
      <c r="J8" s="67"/>
    </row>
    <row r="9" spans="1:11" x14ac:dyDescent="0.25">
      <c r="A9" s="1317" t="s">
        <v>3496</v>
      </c>
      <c r="B9" s="67"/>
      <c r="C9" s="67"/>
      <c r="D9" s="254"/>
      <c r="E9" s="67"/>
      <c r="F9" s="67"/>
      <c r="G9" s="67"/>
      <c r="H9" s="67"/>
      <c r="I9" s="67"/>
      <c r="J9" s="67"/>
    </row>
    <row r="10" spans="1:11" ht="15.75" thickBot="1" x14ac:dyDescent="0.3">
      <c r="A10" s="1317"/>
      <c r="B10" s="67"/>
      <c r="C10" s="67"/>
      <c r="D10" s="254"/>
      <c r="E10" s="67"/>
      <c r="F10" s="67"/>
      <c r="G10" s="67"/>
      <c r="H10" s="67"/>
      <c r="I10" s="67"/>
      <c r="J10" s="67"/>
    </row>
    <row r="11" spans="1:11" ht="19.5" thickTop="1" x14ac:dyDescent="0.3">
      <c r="A11" s="2072" t="s">
        <v>253</v>
      </c>
      <c r="B11" s="1341"/>
      <c r="C11" s="1341"/>
      <c r="D11" s="1341"/>
      <c r="E11" s="1341"/>
      <c r="F11" s="1341"/>
      <c r="G11" s="1342"/>
      <c r="H11" s="1336"/>
      <c r="I11" s="6"/>
      <c r="J11" s="6"/>
      <c r="K11" s="6"/>
    </row>
    <row r="12" spans="1:11" x14ac:dyDescent="0.25">
      <c r="A12" s="1336" t="s">
        <v>1057</v>
      </c>
      <c r="B12" s="66"/>
      <c r="C12" s="66"/>
      <c r="D12" s="93"/>
      <c r="E12" s="66"/>
      <c r="F12" s="66"/>
      <c r="G12" s="1344"/>
      <c r="H12" s="67"/>
      <c r="I12" s="67"/>
      <c r="J12" s="67"/>
    </row>
    <row r="13" spans="1:11" x14ac:dyDescent="0.25">
      <c r="A13" s="1336" t="s">
        <v>1058</v>
      </c>
      <c r="B13" s="66"/>
      <c r="C13" s="66"/>
      <c r="D13" s="93"/>
      <c r="E13" s="66"/>
      <c r="F13" s="66"/>
      <c r="G13" s="1344"/>
      <c r="H13" s="67"/>
      <c r="I13" s="67"/>
      <c r="J13" s="67"/>
    </row>
    <row r="14" spans="1:11" x14ac:dyDescent="0.25">
      <c r="A14" s="1336" t="s">
        <v>1059</v>
      </c>
      <c r="B14" s="66"/>
      <c r="C14" s="66"/>
      <c r="D14" s="93"/>
      <c r="E14" s="66"/>
      <c r="F14" s="66"/>
      <c r="G14" s="1344"/>
      <c r="H14" s="67"/>
      <c r="I14" s="67"/>
      <c r="J14" s="67"/>
    </row>
    <row r="15" spans="1:11" x14ac:dyDescent="0.25">
      <c r="A15" s="1336" t="s">
        <v>1060</v>
      </c>
      <c r="B15" s="66"/>
      <c r="C15" s="66"/>
      <c r="D15" s="93"/>
      <c r="E15" s="66"/>
      <c r="F15" s="66"/>
      <c r="G15" s="1344"/>
      <c r="H15" s="67"/>
      <c r="I15" s="67"/>
      <c r="J15" s="67"/>
    </row>
    <row r="16" spans="1:11" x14ac:dyDescent="0.25">
      <c r="A16" s="1336" t="s">
        <v>1061</v>
      </c>
      <c r="B16" s="66"/>
      <c r="C16" s="66"/>
      <c r="D16" s="93"/>
      <c r="E16" s="66"/>
      <c r="F16" s="66"/>
      <c r="G16" s="1344"/>
      <c r="H16" s="67"/>
      <c r="I16" s="67"/>
      <c r="J16" s="67"/>
    </row>
    <row r="17" spans="1:10" x14ac:dyDescent="0.25">
      <c r="A17" s="1336" t="s">
        <v>1062</v>
      </c>
      <c r="B17" s="66"/>
      <c r="C17" s="66"/>
      <c r="D17" s="93"/>
      <c r="E17" s="66"/>
      <c r="F17" s="66"/>
      <c r="G17" s="1344"/>
      <c r="H17" s="67"/>
      <c r="I17" s="67"/>
      <c r="J17" s="67"/>
    </row>
    <row r="18" spans="1:10" x14ac:dyDescent="0.25">
      <c r="A18" s="1336" t="s">
        <v>1063</v>
      </c>
      <c r="B18" s="66"/>
      <c r="C18" s="66"/>
      <c r="D18" s="93"/>
      <c r="E18" s="66"/>
      <c r="F18" s="66"/>
      <c r="G18" s="1344"/>
      <c r="H18" s="67"/>
      <c r="I18" s="67"/>
      <c r="J18" s="67"/>
    </row>
    <row r="19" spans="1:10" x14ac:dyDescent="0.25">
      <c r="A19" s="1336" t="s">
        <v>1650</v>
      </c>
      <c r="B19" s="66"/>
      <c r="C19" s="66"/>
      <c r="D19" s="93"/>
      <c r="E19" s="66"/>
      <c r="F19" s="66"/>
      <c r="G19" s="1344"/>
      <c r="H19" s="67"/>
      <c r="I19" s="67"/>
      <c r="J19" s="67"/>
    </row>
    <row r="20" spans="1:10" ht="15.75" thickBot="1" x14ac:dyDescent="0.3">
      <c r="A20" s="2073" t="s">
        <v>1649</v>
      </c>
      <c r="B20" s="1361"/>
      <c r="C20" s="1361"/>
      <c r="D20" s="2074"/>
      <c r="E20" s="1361"/>
      <c r="F20" s="1361"/>
      <c r="G20" s="2075"/>
      <c r="H20" s="67"/>
      <c r="I20" s="67"/>
      <c r="J20" s="67"/>
    </row>
    <row r="21" spans="1:10" ht="15.75" thickTop="1" x14ac:dyDescent="0.25">
      <c r="B21" s="67"/>
      <c r="C21" s="67"/>
      <c r="D21" s="254"/>
      <c r="E21" s="67"/>
      <c r="F21" s="67"/>
      <c r="G21" s="67"/>
      <c r="H21" s="67"/>
      <c r="I21" s="67"/>
      <c r="J21" s="67"/>
    </row>
    <row r="22" spans="1:10" x14ac:dyDescent="0.25">
      <c r="B22" s="67"/>
      <c r="C22" s="67"/>
      <c r="D22" s="254"/>
      <c r="E22" s="67"/>
      <c r="F22" s="67"/>
      <c r="G22" s="67"/>
      <c r="H22" s="67"/>
      <c r="I22" s="67"/>
      <c r="J22" s="67"/>
    </row>
    <row r="23" spans="1:10" ht="15.75" x14ac:dyDescent="0.25">
      <c r="A23" s="221" t="s">
        <v>1057</v>
      </c>
    </row>
    <row r="24" spans="1:10" x14ac:dyDescent="0.25">
      <c r="A24" t="s">
        <v>1346</v>
      </c>
    </row>
    <row r="25" spans="1:10" x14ac:dyDescent="0.25">
      <c r="A25" s="1496" t="s">
        <v>1300</v>
      </c>
    </row>
    <row r="26" spans="1:10" x14ac:dyDescent="0.25">
      <c r="A26" s="966"/>
    </row>
    <row r="27" spans="1:10" x14ac:dyDescent="0.25">
      <c r="A27" t="s">
        <v>1345</v>
      </c>
      <c r="J27" s="801"/>
    </row>
    <row r="28" spans="1:10" x14ac:dyDescent="0.25">
      <c r="A28" s="1188" t="s">
        <v>774</v>
      </c>
      <c r="J28" s="801"/>
    </row>
    <row r="29" spans="1:10" x14ac:dyDescent="0.25">
      <c r="A29" s="1496"/>
      <c r="J29" s="801"/>
    </row>
    <row r="30" spans="1:10" x14ac:dyDescent="0.25">
      <c r="A30" t="s">
        <v>1347</v>
      </c>
      <c r="J30" s="801"/>
    </row>
    <row r="31" spans="1:10" x14ac:dyDescent="0.25">
      <c r="A31" s="181" t="s">
        <v>1349</v>
      </c>
    </row>
    <row r="32" spans="1:10" x14ac:dyDescent="0.25">
      <c r="A32" s="181"/>
    </row>
    <row r="33" spans="1:10" x14ac:dyDescent="0.25">
      <c r="A33" t="s">
        <v>1351</v>
      </c>
      <c r="J33" s="1296"/>
    </row>
    <row r="34" spans="1:10" x14ac:dyDescent="0.25">
      <c r="A34" s="181" t="s">
        <v>1350</v>
      </c>
      <c r="J34" s="2331"/>
    </row>
    <row r="35" spans="1:10" x14ac:dyDescent="0.25">
      <c r="A35" s="181"/>
    </row>
    <row r="36" spans="1:10" x14ac:dyDescent="0.25">
      <c r="A36" t="s">
        <v>1348</v>
      </c>
    </row>
    <row r="37" spans="1:10" x14ac:dyDescent="0.25">
      <c r="A37" s="180" t="s">
        <v>2422</v>
      </c>
    </row>
    <row r="38" spans="1:10" x14ac:dyDescent="0.25">
      <c r="A38" s="181"/>
    </row>
    <row r="39" spans="1:10" x14ac:dyDescent="0.25">
      <c r="A39" t="s">
        <v>1352</v>
      </c>
    </row>
    <row r="40" spans="1:10" x14ac:dyDescent="0.25">
      <c r="A40" s="975" t="s">
        <v>42</v>
      </c>
    </row>
    <row r="41" spans="1:10" x14ac:dyDescent="0.25">
      <c r="A41" s="975"/>
    </row>
    <row r="42" spans="1:10" x14ac:dyDescent="0.25">
      <c r="A42" s="67" t="s">
        <v>372</v>
      </c>
    </row>
    <row r="43" spans="1:10" x14ac:dyDescent="0.25">
      <c r="A43" s="1372" t="s">
        <v>898</v>
      </c>
    </row>
    <row r="44" spans="1:10" x14ac:dyDescent="0.25">
      <c r="A44" s="1372"/>
    </row>
    <row r="45" spans="1:10" x14ac:dyDescent="0.25">
      <c r="A45" s="1468" t="s">
        <v>1825</v>
      </c>
    </row>
    <row r="46" spans="1:10" x14ac:dyDescent="0.25">
      <c r="A46" s="1372" t="s">
        <v>1824</v>
      </c>
    </row>
    <row r="47" spans="1:10" x14ac:dyDescent="0.25">
      <c r="A47" s="1372"/>
    </row>
    <row r="48" spans="1:10" x14ac:dyDescent="0.25">
      <c r="A48" s="1416" t="s">
        <v>1879</v>
      </c>
    </row>
    <row r="49" spans="1:1" x14ac:dyDescent="0.25">
      <c r="A49" s="2329" t="s">
        <v>1876</v>
      </c>
    </row>
    <row r="50" spans="1:1" x14ac:dyDescent="0.25">
      <c r="A50" s="1372"/>
    </row>
    <row r="52" spans="1:1" ht="15.75" x14ac:dyDescent="0.25">
      <c r="A52" s="221" t="s">
        <v>1058</v>
      </c>
    </row>
    <row r="53" spans="1:1" x14ac:dyDescent="0.25">
      <c r="A53" t="s">
        <v>369</v>
      </c>
    </row>
    <row r="54" spans="1:1" x14ac:dyDescent="0.25">
      <c r="A54" s="180" t="s">
        <v>364</v>
      </c>
    </row>
    <row r="55" spans="1:1" x14ac:dyDescent="0.25">
      <c r="A55" s="180"/>
    </row>
    <row r="56" spans="1:1" x14ac:dyDescent="0.25">
      <c r="A56" t="s">
        <v>899</v>
      </c>
    </row>
    <row r="57" spans="1:1" x14ac:dyDescent="0.25">
      <c r="A57" s="180" t="s">
        <v>366</v>
      </c>
    </row>
    <row r="58" spans="1:1" x14ac:dyDescent="0.25">
      <c r="A58" s="180"/>
    </row>
    <row r="59" spans="1:1" x14ac:dyDescent="0.25">
      <c r="A59" t="s">
        <v>371</v>
      </c>
    </row>
    <row r="60" spans="1:1" x14ac:dyDescent="0.25">
      <c r="A60" s="190" t="s">
        <v>368</v>
      </c>
    </row>
    <row r="61" spans="1:1" x14ac:dyDescent="0.25">
      <c r="A61" s="190"/>
    </row>
    <row r="62" spans="1:1" x14ac:dyDescent="0.25">
      <c r="A62" s="91" t="s">
        <v>540</v>
      </c>
    </row>
    <row r="63" spans="1:1" x14ac:dyDescent="0.25">
      <c r="A63" s="382" t="s">
        <v>380</v>
      </c>
    </row>
    <row r="64" spans="1:1" x14ac:dyDescent="0.25">
      <c r="A64" s="190"/>
    </row>
    <row r="65" spans="1:9" x14ac:dyDescent="0.25">
      <c r="A65" s="64" t="s">
        <v>706</v>
      </c>
    </row>
    <row r="66" spans="1:9" x14ac:dyDescent="0.25">
      <c r="A66" s="966" t="s">
        <v>707</v>
      </c>
    </row>
    <row r="67" spans="1:9" x14ac:dyDescent="0.25">
      <c r="A67" s="966"/>
    </row>
    <row r="68" spans="1:9" x14ac:dyDescent="0.25">
      <c r="A68" s="1468" t="s">
        <v>2685</v>
      </c>
    </row>
    <row r="69" spans="1:9" x14ac:dyDescent="0.25">
      <c r="A69" s="180" t="s">
        <v>2683</v>
      </c>
    </row>
    <row r="70" spans="1:9" x14ac:dyDescent="0.25">
      <c r="A70" s="966"/>
    </row>
    <row r="71" spans="1:9" x14ac:dyDescent="0.25">
      <c r="A71" s="64" t="s">
        <v>539</v>
      </c>
    </row>
    <row r="72" spans="1:9" x14ac:dyDescent="0.25">
      <c r="A72" s="966" t="s">
        <v>704</v>
      </c>
      <c r="I72" s="971"/>
    </row>
    <row r="73" spans="1:9" x14ac:dyDescent="0.25">
      <c r="A73" s="966"/>
      <c r="I73" s="971"/>
    </row>
    <row r="74" spans="1:9" x14ac:dyDescent="0.25">
      <c r="A74" s="64" t="s">
        <v>43</v>
      </c>
    </row>
    <row r="75" spans="1:9" x14ac:dyDescent="0.25">
      <c r="A75" s="966" t="s">
        <v>705</v>
      </c>
    </row>
    <row r="76" spans="1:9" x14ac:dyDescent="0.25">
      <c r="A76" s="966"/>
    </row>
    <row r="77" spans="1:9" x14ac:dyDescent="0.25">
      <c r="A77" t="s">
        <v>948</v>
      </c>
    </row>
    <row r="78" spans="1:9" x14ac:dyDescent="0.25">
      <c r="A78" s="966" t="s">
        <v>947</v>
      </c>
    </row>
    <row r="79" spans="1:9" x14ac:dyDescent="0.25">
      <c r="A79" s="966"/>
    </row>
    <row r="80" spans="1:9" x14ac:dyDescent="0.25">
      <c r="A80" t="s">
        <v>950</v>
      </c>
    </row>
    <row r="81" spans="1:10" x14ac:dyDescent="0.25">
      <c r="A81" s="190" t="s">
        <v>949</v>
      </c>
    </row>
    <row r="82" spans="1:10" x14ac:dyDescent="0.25">
      <c r="A82" s="190"/>
    </row>
    <row r="83" spans="1:10" x14ac:dyDescent="0.25">
      <c r="A83" s="1468" t="s">
        <v>1574</v>
      </c>
    </row>
    <row r="84" spans="1:10" x14ac:dyDescent="0.25">
      <c r="A84" s="1468" t="s">
        <v>1575</v>
      </c>
    </row>
    <row r="85" spans="1:10" x14ac:dyDescent="0.25">
      <c r="A85" s="190" t="s">
        <v>1573</v>
      </c>
    </row>
    <row r="86" spans="1:10" x14ac:dyDescent="0.25">
      <c r="A86" s="190"/>
    </row>
    <row r="87" spans="1:10" x14ac:dyDescent="0.25">
      <c r="A87" t="s">
        <v>1377</v>
      </c>
    </row>
    <row r="88" spans="1:10" x14ac:dyDescent="0.25">
      <c r="A88" s="190" t="s">
        <v>1372</v>
      </c>
    </row>
    <row r="89" spans="1:10" x14ac:dyDescent="0.25">
      <c r="A89" s="190"/>
    </row>
    <row r="90" spans="1:10" x14ac:dyDescent="0.25">
      <c r="A90" s="6"/>
      <c r="H90" s="1456"/>
    </row>
    <row r="91" spans="1:10" ht="15.75" x14ac:dyDescent="0.25">
      <c r="A91" s="221" t="s">
        <v>1059</v>
      </c>
      <c r="H91" s="412"/>
      <c r="I91" s="966"/>
      <c r="J91" s="183"/>
    </row>
    <row r="92" spans="1:10" x14ac:dyDescent="0.25">
      <c r="A92" t="s">
        <v>246</v>
      </c>
      <c r="H92" s="412"/>
      <c r="I92" s="966"/>
      <c r="J92" s="183"/>
    </row>
    <row r="93" spans="1:10" x14ac:dyDescent="0.25">
      <c r="A93" s="180" t="s">
        <v>370</v>
      </c>
      <c r="H93" s="349"/>
      <c r="I93" s="967"/>
      <c r="J93" s="967"/>
    </row>
    <row r="94" spans="1:10" x14ac:dyDescent="0.25">
      <c r="A94" s="180"/>
      <c r="H94" s="349"/>
      <c r="I94" s="967"/>
      <c r="J94" s="967"/>
    </row>
    <row r="95" spans="1:10" x14ac:dyDescent="0.25">
      <c r="A95" t="s">
        <v>1079</v>
      </c>
      <c r="H95" s="349"/>
      <c r="I95" s="967"/>
      <c r="J95" s="967"/>
    </row>
    <row r="96" spans="1:10" x14ac:dyDescent="0.25">
      <c r="A96" s="180" t="s">
        <v>1080</v>
      </c>
      <c r="H96" s="349"/>
      <c r="I96" s="967"/>
      <c r="J96" s="967"/>
    </row>
    <row r="97" spans="1:10" x14ac:dyDescent="0.25">
      <c r="A97" s="180"/>
      <c r="H97" s="349"/>
      <c r="I97" s="967"/>
      <c r="J97" s="967"/>
    </row>
    <row r="98" spans="1:10" x14ac:dyDescent="0.25">
      <c r="A98" s="1468" t="s">
        <v>1091</v>
      </c>
      <c r="H98" s="349"/>
      <c r="I98" s="967"/>
      <c r="J98" s="967"/>
    </row>
    <row r="99" spans="1:10" x14ac:dyDescent="0.25">
      <c r="A99" s="180" t="s">
        <v>1090</v>
      </c>
      <c r="H99" s="349"/>
      <c r="I99" s="967"/>
      <c r="J99" s="967"/>
    </row>
    <row r="100" spans="1:10" x14ac:dyDescent="0.25">
      <c r="A100" s="180"/>
      <c r="H100" s="349"/>
      <c r="I100" s="967"/>
      <c r="J100" s="967"/>
    </row>
    <row r="101" spans="1:10" x14ac:dyDescent="0.25">
      <c r="A101" t="s">
        <v>1132</v>
      </c>
      <c r="H101" s="349"/>
      <c r="I101" s="967"/>
      <c r="J101" s="967"/>
    </row>
    <row r="102" spans="1:10" x14ac:dyDescent="0.25">
      <c r="A102" s="1495" t="s">
        <v>1131</v>
      </c>
      <c r="H102" s="349"/>
      <c r="I102" s="967"/>
      <c r="J102" s="967"/>
    </row>
    <row r="103" spans="1:10" x14ac:dyDescent="0.25">
      <c r="A103" s="1495"/>
      <c r="H103" s="349"/>
      <c r="I103" s="967"/>
      <c r="J103" s="967"/>
    </row>
    <row r="104" spans="1:10" x14ac:dyDescent="0.25">
      <c r="H104" s="967"/>
      <c r="I104" s="967"/>
      <c r="J104" s="967"/>
    </row>
    <row r="105" spans="1:10" ht="15.75" x14ac:dyDescent="0.25">
      <c r="A105" s="221" t="s">
        <v>1060</v>
      </c>
      <c r="I105" s="967"/>
      <c r="J105" s="967"/>
    </row>
    <row r="106" spans="1:10" x14ac:dyDescent="0.25">
      <c r="A106" t="s">
        <v>373</v>
      </c>
      <c r="I106" s="967"/>
      <c r="J106" s="967"/>
    </row>
    <row r="107" spans="1:10" x14ac:dyDescent="0.25">
      <c r="A107" s="975" t="s">
        <v>657</v>
      </c>
      <c r="I107" s="967"/>
      <c r="J107" s="967"/>
    </row>
    <row r="108" spans="1:10" x14ac:dyDescent="0.25">
      <c r="A108" s="975"/>
      <c r="I108" s="967"/>
      <c r="J108" s="967"/>
    </row>
    <row r="109" spans="1:10" s="6" customFormat="1" x14ac:dyDescent="0.25">
      <c r="A109" s="66" t="s">
        <v>372</v>
      </c>
      <c r="I109" s="967"/>
      <c r="J109" s="967"/>
    </row>
    <row r="110" spans="1:10" x14ac:dyDescent="0.25">
      <c r="A110" s="974" t="s">
        <v>708</v>
      </c>
      <c r="I110" s="967"/>
      <c r="J110" s="967"/>
    </row>
    <row r="111" spans="1:10" x14ac:dyDescent="0.25">
      <c r="A111" s="974"/>
      <c r="I111" s="967"/>
      <c r="J111" s="967"/>
    </row>
    <row r="112" spans="1:10" x14ac:dyDescent="0.25">
      <c r="A112" t="s">
        <v>1160</v>
      </c>
      <c r="I112" s="967"/>
      <c r="J112" s="967"/>
    </row>
    <row r="113" spans="1:10" x14ac:dyDescent="0.25">
      <c r="A113" t="s">
        <v>1133</v>
      </c>
      <c r="I113" s="967"/>
      <c r="J113" s="967"/>
    </row>
    <row r="114" spans="1:10" x14ac:dyDescent="0.25">
      <c r="A114" s="180" t="s">
        <v>943</v>
      </c>
      <c r="I114" s="967"/>
      <c r="J114" s="967"/>
    </row>
    <row r="115" spans="1:10" x14ac:dyDescent="0.25">
      <c r="A115" s="180"/>
      <c r="I115" s="967"/>
      <c r="J115" s="967"/>
    </row>
    <row r="116" spans="1:10" x14ac:dyDescent="0.25">
      <c r="A116" s="1296" t="s">
        <v>1169</v>
      </c>
      <c r="I116" s="967"/>
      <c r="J116" s="967"/>
    </row>
    <row r="117" spans="1:10" x14ac:dyDescent="0.25">
      <c r="A117" s="190" t="s">
        <v>1170</v>
      </c>
      <c r="I117" s="967"/>
      <c r="J117" s="967"/>
    </row>
    <row r="118" spans="1:10" x14ac:dyDescent="0.25">
      <c r="A118" s="190"/>
      <c r="I118" s="967"/>
      <c r="J118" s="967"/>
    </row>
    <row r="120" spans="1:10" ht="15.75" x14ac:dyDescent="0.25">
      <c r="A120" s="221" t="s">
        <v>1061</v>
      </c>
    </row>
    <row r="121" spans="1:10" x14ac:dyDescent="0.25">
      <c r="A121" t="s">
        <v>1171</v>
      </c>
    </row>
    <row r="122" spans="1:10" x14ac:dyDescent="0.25">
      <c r="A122" s="180" t="s">
        <v>374</v>
      </c>
    </row>
    <row r="123" spans="1:10" x14ac:dyDescent="0.25">
      <c r="A123" s="180"/>
    </row>
    <row r="124" spans="1:10" x14ac:dyDescent="0.25">
      <c r="A124" t="s">
        <v>377</v>
      </c>
    </row>
    <row r="125" spans="1:10" x14ac:dyDescent="0.25">
      <c r="A125" s="180" t="s">
        <v>376</v>
      </c>
    </row>
    <row r="126" spans="1:10" x14ac:dyDescent="0.25">
      <c r="A126" s="180"/>
    </row>
    <row r="127" spans="1:10" x14ac:dyDescent="0.25">
      <c r="A127" t="s">
        <v>262</v>
      </c>
    </row>
    <row r="128" spans="1:10" x14ac:dyDescent="0.25">
      <c r="A128" s="180" t="s">
        <v>900</v>
      </c>
    </row>
    <row r="129" spans="1:1" x14ac:dyDescent="0.25">
      <c r="A129" s="180"/>
    </row>
    <row r="130" spans="1:1" x14ac:dyDescent="0.25">
      <c r="A130" t="s">
        <v>1134</v>
      </c>
    </row>
    <row r="131" spans="1:1" x14ac:dyDescent="0.25">
      <c r="A131" s="180" t="s">
        <v>942</v>
      </c>
    </row>
    <row r="132" spans="1:1" x14ac:dyDescent="0.25">
      <c r="A132" s="180"/>
    </row>
    <row r="133" spans="1:1" x14ac:dyDescent="0.25">
      <c r="A133" s="1378" t="s">
        <v>1135</v>
      </c>
    </row>
    <row r="134" spans="1:1" x14ac:dyDescent="0.25">
      <c r="A134" s="180" t="s">
        <v>941</v>
      </c>
    </row>
    <row r="135" spans="1:1" x14ac:dyDescent="0.25">
      <c r="A135" s="180"/>
    </row>
    <row r="136" spans="1:1" x14ac:dyDescent="0.25">
      <c r="A136" t="s">
        <v>945</v>
      </c>
    </row>
    <row r="137" spans="1:1" x14ac:dyDescent="0.25">
      <c r="A137" s="180" t="s">
        <v>944</v>
      </c>
    </row>
    <row r="138" spans="1:1" x14ac:dyDescent="0.25">
      <c r="A138" s="180"/>
    </row>
    <row r="139" spans="1:1" x14ac:dyDescent="0.25">
      <c r="A139" t="s">
        <v>1161</v>
      </c>
    </row>
    <row r="140" spans="1:1" x14ac:dyDescent="0.25">
      <c r="A140" s="180" t="s">
        <v>946</v>
      </c>
    </row>
    <row r="141" spans="1:1" x14ac:dyDescent="0.25">
      <c r="A141" s="180"/>
    </row>
    <row r="142" spans="1:1" x14ac:dyDescent="0.25">
      <c r="A142" t="s">
        <v>1165</v>
      </c>
    </row>
    <row r="143" spans="1:1" x14ac:dyDescent="0.25">
      <c r="A143" t="s">
        <v>1164</v>
      </c>
    </row>
    <row r="144" spans="1:1" x14ac:dyDescent="0.25">
      <c r="A144" s="180" t="s">
        <v>1166</v>
      </c>
    </row>
    <row r="145" spans="1:1" x14ac:dyDescent="0.25">
      <c r="A145" s="180"/>
    </row>
    <row r="146" spans="1:1" x14ac:dyDescent="0.25">
      <c r="A146" t="s">
        <v>1167</v>
      </c>
    </row>
    <row r="147" spans="1:1" x14ac:dyDescent="0.25">
      <c r="A147" s="180" t="s">
        <v>1168</v>
      </c>
    </row>
    <row r="148" spans="1:1" x14ac:dyDescent="0.25">
      <c r="A148" s="180"/>
    </row>
    <row r="150" spans="1:1" ht="15.75" x14ac:dyDescent="0.25">
      <c r="A150" s="221" t="s">
        <v>1062</v>
      </c>
    </row>
    <row r="151" spans="1:1" x14ac:dyDescent="0.25">
      <c r="A151" s="1317" t="s">
        <v>1211</v>
      </c>
    </row>
    <row r="152" spans="1:1" x14ac:dyDescent="0.25">
      <c r="A152" s="180" t="s">
        <v>426</v>
      </c>
    </row>
    <row r="153" spans="1:1" x14ac:dyDescent="0.25">
      <c r="A153" s="180"/>
    </row>
    <row r="154" spans="1:1" x14ac:dyDescent="0.25">
      <c r="A154" t="s">
        <v>263</v>
      </c>
    </row>
    <row r="155" spans="1:1" x14ac:dyDescent="0.25">
      <c r="A155" s="180" t="s">
        <v>375</v>
      </c>
    </row>
    <row r="156" spans="1:1" x14ac:dyDescent="0.25">
      <c r="A156" s="180"/>
    </row>
    <row r="157" spans="1:1" x14ac:dyDescent="0.25">
      <c r="A157" t="s">
        <v>424</v>
      </c>
    </row>
    <row r="158" spans="1:1" x14ac:dyDescent="0.25">
      <c r="A158" s="180" t="s">
        <v>422</v>
      </c>
    </row>
    <row r="159" spans="1:1" x14ac:dyDescent="0.25">
      <c r="A159" s="180"/>
    </row>
    <row r="160" spans="1:1" x14ac:dyDescent="0.25">
      <c r="A160" t="s">
        <v>423</v>
      </c>
    </row>
    <row r="161" spans="1:5" x14ac:dyDescent="0.25">
      <c r="A161" s="180" t="s">
        <v>425</v>
      </c>
    </row>
    <row r="162" spans="1:5" x14ac:dyDescent="0.25">
      <c r="A162" s="180"/>
    </row>
    <row r="163" spans="1:5" x14ac:dyDescent="0.25">
      <c r="A163" t="s">
        <v>1076</v>
      </c>
    </row>
    <row r="164" spans="1:5" x14ac:dyDescent="0.25">
      <c r="A164" s="180" t="s">
        <v>1156</v>
      </c>
    </row>
    <row r="165" spans="1:5" x14ac:dyDescent="0.25">
      <c r="A165" s="180"/>
    </row>
    <row r="166" spans="1:5" x14ac:dyDescent="0.25">
      <c r="A166" t="s">
        <v>1078</v>
      </c>
    </row>
    <row r="167" spans="1:5" x14ac:dyDescent="0.25">
      <c r="A167" s="180" t="s">
        <v>1077</v>
      </c>
    </row>
    <row r="168" spans="1:5" x14ac:dyDescent="0.25">
      <c r="A168" s="180"/>
    </row>
    <row r="169" spans="1:5" x14ac:dyDescent="0.25">
      <c r="A169" t="s">
        <v>950</v>
      </c>
    </row>
    <row r="170" spans="1:5" x14ac:dyDescent="0.25">
      <c r="A170" s="190" t="s">
        <v>949</v>
      </c>
    </row>
    <row r="171" spans="1:5" x14ac:dyDescent="0.25">
      <c r="A171" s="190"/>
    </row>
    <row r="172" spans="1:5" x14ac:dyDescent="0.25">
      <c r="A172" t="s">
        <v>1162</v>
      </c>
    </row>
    <row r="173" spans="1:5" x14ac:dyDescent="0.25">
      <c r="A173" s="180" t="s">
        <v>1157</v>
      </c>
      <c r="E173" t="s">
        <v>1158</v>
      </c>
    </row>
    <row r="174" spans="1:5" x14ac:dyDescent="0.25">
      <c r="A174" s="180"/>
    </row>
    <row r="175" spans="1:5" x14ac:dyDescent="0.25">
      <c r="A175" t="s">
        <v>2218</v>
      </c>
    </row>
    <row r="176" spans="1:5" x14ac:dyDescent="0.25">
      <c r="A176" s="180" t="s">
        <v>2219</v>
      </c>
    </row>
    <row r="177" spans="1:1" x14ac:dyDescent="0.25">
      <c r="A177" s="180"/>
    </row>
    <row r="178" spans="1:1" x14ac:dyDescent="0.25">
      <c r="A178" t="s">
        <v>2423</v>
      </c>
    </row>
    <row r="179" spans="1:1" x14ac:dyDescent="0.25">
      <c r="A179" s="180" t="s">
        <v>2424</v>
      </c>
    </row>
    <row r="180" spans="1:1" x14ac:dyDescent="0.25">
      <c r="A180" s="180"/>
    </row>
    <row r="181" spans="1:1" x14ac:dyDescent="0.25">
      <c r="A181" t="s">
        <v>3029</v>
      </c>
    </row>
    <row r="182" spans="1:1" x14ac:dyDescent="0.25">
      <c r="A182" s="180" t="s">
        <v>3030</v>
      </c>
    </row>
    <row r="183" spans="1:1" x14ac:dyDescent="0.25">
      <c r="A183" s="180"/>
    </row>
    <row r="184" spans="1:1" x14ac:dyDescent="0.25">
      <c r="A184" t="s">
        <v>1420</v>
      </c>
    </row>
    <row r="185" spans="1:1" x14ac:dyDescent="0.25">
      <c r="A185" s="180" t="s">
        <v>1419</v>
      </c>
    </row>
    <row r="186" spans="1:1" x14ac:dyDescent="0.25">
      <c r="A186" s="180"/>
    </row>
    <row r="187" spans="1:1" x14ac:dyDescent="0.25">
      <c r="A187" t="s">
        <v>1697</v>
      </c>
    </row>
    <row r="188" spans="1:1" x14ac:dyDescent="0.25">
      <c r="A188" s="180" t="s">
        <v>1696</v>
      </c>
    </row>
    <row r="189" spans="1:1" x14ac:dyDescent="0.25">
      <c r="A189" s="180"/>
    </row>
    <row r="190" spans="1:1" x14ac:dyDescent="0.25">
      <c r="A190" s="180"/>
    </row>
    <row r="191" spans="1:1" ht="15.75" x14ac:dyDescent="0.25">
      <c r="A191" s="221" t="s">
        <v>2692</v>
      </c>
    </row>
    <row r="192" spans="1:1" ht="15.75" x14ac:dyDescent="0.25">
      <c r="A192" s="767" t="s">
        <v>902</v>
      </c>
    </row>
    <row r="193" spans="1:1" x14ac:dyDescent="0.25">
      <c r="A193" s="180" t="s">
        <v>901</v>
      </c>
    </row>
    <row r="194" spans="1:1" x14ac:dyDescent="0.25">
      <c r="A194" s="180"/>
    </row>
    <row r="195" spans="1:1" x14ac:dyDescent="0.25">
      <c r="A195" s="1317" t="s">
        <v>907</v>
      </c>
    </row>
    <row r="196" spans="1:1" x14ac:dyDescent="0.25">
      <c r="A196" s="1317" t="s">
        <v>908</v>
      </c>
    </row>
    <row r="197" spans="1:1" x14ac:dyDescent="0.25">
      <c r="A197" s="1317" t="s">
        <v>909</v>
      </c>
    </row>
    <row r="198" spans="1:1" x14ac:dyDescent="0.25">
      <c r="A198" s="180" t="s">
        <v>906</v>
      </c>
    </row>
    <row r="199" spans="1:1" x14ac:dyDescent="0.25">
      <c r="A199" s="180"/>
    </row>
    <row r="200" spans="1:1" x14ac:dyDescent="0.25">
      <c r="A200" s="67" t="s">
        <v>2694</v>
      </c>
    </row>
    <row r="201" spans="1:1" x14ac:dyDescent="0.25">
      <c r="A201" s="83" t="s">
        <v>2693</v>
      </c>
    </row>
    <row r="202" spans="1:1" x14ac:dyDescent="0.25">
      <c r="A202" s="83"/>
    </row>
    <row r="203" spans="1:1" x14ac:dyDescent="0.25">
      <c r="A203" t="s">
        <v>2696</v>
      </c>
    </row>
    <row r="204" spans="1:1" x14ac:dyDescent="0.25">
      <c r="A204" s="180" t="s">
        <v>2695</v>
      </c>
    </row>
    <row r="206" spans="1:1" x14ac:dyDescent="0.25">
      <c r="A206" t="s">
        <v>2697</v>
      </c>
    </row>
    <row r="207" spans="1:1" x14ac:dyDescent="0.25">
      <c r="A207" s="180" t="s">
        <v>2698</v>
      </c>
    </row>
    <row r="208" spans="1:1" x14ac:dyDescent="0.25">
      <c r="A208" t="s">
        <v>2699</v>
      </c>
    </row>
    <row r="209" spans="1:10" x14ac:dyDescent="0.25">
      <c r="A209" t="s">
        <v>2700</v>
      </c>
    </row>
    <row r="210" spans="1:10" x14ac:dyDescent="0.25">
      <c r="A210" s="180" t="s">
        <v>2701</v>
      </c>
    </row>
    <row r="212" spans="1:10" x14ac:dyDescent="0.25">
      <c r="A212" t="s">
        <v>1136</v>
      </c>
    </row>
    <row r="213" spans="1:10" x14ac:dyDescent="0.25">
      <c r="A213" s="83" t="s">
        <v>903</v>
      </c>
    </row>
    <row r="214" spans="1:10" x14ac:dyDescent="0.25">
      <c r="A214" s="83"/>
    </row>
    <row r="215" spans="1:10" x14ac:dyDescent="0.25">
      <c r="A215" t="s">
        <v>911</v>
      </c>
    </row>
    <row r="216" spans="1:10" x14ac:dyDescent="0.25">
      <c r="A216" s="180" t="s">
        <v>910</v>
      </c>
    </row>
    <row r="217" spans="1:10" x14ac:dyDescent="0.25">
      <c r="A217" s="180"/>
    </row>
    <row r="218" spans="1:10" x14ac:dyDescent="0.25">
      <c r="A218" t="s">
        <v>2911</v>
      </c>
    </row>
    <row r="219" spans="1:10" x14ac:dyDescent="0.25">
      <c r="A219" s="1496" t="s">
        <v>914</v>
      </c>
      <c r="B219" s="6"/>
      <c r="C219" s="6"/>
      <c r="D219" s="6"/>
      <c r="E219" s="6"/>
      <c r="F219" s="6"/>
      <c r="G219" s="6"/>
      <c r="H219" s="6"/>
      <c r="I219" s="6"/>
      <c r="J219" s="6"/>
    </row>
    <row r="220" spans="1:10" x14ac:dyDescent="0.25">
      <c r="A220" s="1496"/>
      <c r="B220" s="6"/>
      <c r="C220" s="6"/>
      <c r="D220" s="6"/>
      <c r="E220" s="6"/>
      <c r="F220" s="6"/>
      <c r="G220" s="6"/>
      <c r="H220" s="6"/>
      <c r="I220" s="6"/>
      <c r="J220" s="6"/>
    </row>
    <row r="221" spans="1:10" x14ac:dyDescent="0.25">
      <c r="A221" t="s">
        <v>913</v>
      </c>
    </row>
    <row r="222" spans="1:10" x14ac:dyDescent="0.25">
      <c r="A222" s="180" t="s">
        <v>912</v>
      </c>
    </row>
    <row r="223" spans="1:10" x14ac:dyDescent="0.25">
      <c r="A223" s="180"/>
    </row>
    <row r="224" spans="1:10" x14ac:dyDescent="0.25">
      <c r="A224" t="s">
        <v>904</v>
      </c>
    </row>
    <row r="225" spans="1:1" x14ac:dyDescent="0.25">
      <c r="A225" s="190" t="s">
        <v>905</v>
      </c>
    </row>
    <row r="226" spans="1:1" x14ac:dyDescent="0.25">
      <c r="A226" s="190"/>
    </row>
    <row r="227" spans="1:1" x14ac:dyDescent="0.25">
      <c r="A227" t="s">
        <v>1163</v>
      </c>
    </row>
    <row r="228" spans="1:1" x14ac:dyDescent="0.25">
      <c r="A228" s="83" t="s">
        <v>915</v>
      </c>
    </row>
    <row r="229" spans="1:1" x14ac:dyDescent="0.25">
      <c r="A229" s="83"/>
    </row>
    <row r="230" spans="1:1" x14ac:dyDescent="0.25">
      <c r="A230" t="s">
        <v>2093</v>
      </c>
    </row>
    <row r="231" spans="1:1" x14ac:dyDescent="0.25">
      <c r="A231" s="180" t="s">
        <v>2094</v>
      </c>
    </row>
    <row r="232" spans="1:1" x14ac:dyDescent="0.25">
      <c r="A232" s="180"/>
    </row>
    <row r="233" spans="1:1" x14ac:dyDescent="0.25">
      <c r="A233" s="83"/>
    </row>
    <row r="234" spans="1:1" ht="15.75" x14ac:dyDescent="0.25">
      <c r="A234" s="221" t="s">
        <v>1650</v>
      </c>
    </row>
    <row r="235" spans="1:1" x14ac:dyDescent="0.25">
      <c r="A235" t="s">
        <v>1664</v>
      </c>
    </row>
    <row r="236" spans="1:1" x14ac:dyDescent="0.25">
      <c r="A236" s="180" t="s">
        <v>1651</v>
      </c>
    </row>
    <row r="237" spans="1:1" x14ac:dyDescent="0.25">
      <c r="A237" s="180"/>
    </row>
    <row r="238" spans="1:1" x14ac:dyDescent="0.25">
      <c r="A238" t="s">
        <v>2216</v>
      </c>
    </row>
    <row r="239" spans="1:1" x14ac:dyDescent="0.25">
      <c r="A239" s="180" t="s">
        <v>2217</v>
      </c>
    </row>
    <row r="240" spans="1:1" x14ac:dyDescent="0.25">
      <c r="A240" s="180"/>
    </row>
    <row r="241" spans="1:10" x14ac:dyDescent="0.25">
      <c r="A241" s="1671" t="s">
        <v>3131</v>
      </c>
    </row>
    <row r="242" spans="1:10" x14ac:dyDescent="0.25">
      <c r="A242" s="180" t="s">
        <v>3130</v>
      </c>
    </row>
    <row r="243" spans="1:10" x14ac:dyDescent="0.25">
      <c r="A243" s="180"/>
    </row>
    <row r="244" spans="1:10" x14ac:dyDescent="0.25">
      <c r="A244" t="s">
        <v>1653</v>
      </c>
    </row>
    <row r="245" spans="1:10" x14ac:dyDescent="0.25">
      <c r="A245" s="180" t="s">
        <v>1652</v>
      </c>
    </row>
    <row r="246" spans="1:10" x14ac:dyDescent="0.25">
      <c r="A246" s="180"/>
    </row>
    <row r="247" spans="1:10" x14ac:dyDescent="0.25">
      <c r="A247" t="s">
        <v>1671</v>
      </c>
    </row>
    <row r="248" spans="1:10" x14ac:dyDescent="0.25">
      <c r="A248" s="180" t="s">
        <v>1654</v>
      </c>
    </row>
    <row r="249" spans="1:10" x14ac:dyDescent="0.25">
      <c r="A249" t="s">
        <v>1663</v>
      </c>
      <c r="B249" s="180" t="s">
        <v>1662</v>
      </c>
      <c r="F249" s="180" t="s">
        <v>1655</v>
      </c>
      <c r="J249" s="180" t="s">
        <v>1656</v>
      </c>
    </row>
    <row r="250" spans="1:10" x14ac:dyDescent="0.25">
      <c r="B250" s="180" t="s">
        <v>1657</v>
      </c>
      <c r="G250" s="180" t="s">
        <v>1658</v>
      </c>
    </row>
    <row r="251" spans="1:10" x14ac:dyDescent="0.25">
      <c r="B251" s="180" t="s">
        <v>1659</v>
      </c>
      <c r="G251" s="180" t="s">
        <v>1660</v>
      </c>
    </row>
    <row r="252" spans="1:10" x14ac:dyDescent="0.25">
      <c r="B252" s="180" t="s">
        <v>1661</v>
      </c>
      <c r="H252" s="180" t="s">
        <v>1675</v>
      </c>
    </row>
    <row r="253" spans="1:10" x14ac:dyDescent="0.25">
      <c r="B253" s="180"/>
      <c r="H253" s="180"/>
    </row>
    <row r="254" spans="1:10" x14ac:dyDescent="0.25">
      <c r="A254" t="s">
        <v>1665</v>
      </c>
    </row>
    <row r="255" spans="1:10" x14ac:dyDescent="0.25">
      <c r="A255" s="2071" t="s">
        <v>1666</v>
      </c>
    </row>
    <row r="256" spans="1:10" x14ac:dyDescent="0.25">
      <c r="A256" t="s">
        <v>1663</v>
      </c>
      <c r="B256" s="180" t="s">
        <v>1667</v>
      </c>
      <c r="F256" t="s">
        <v>1668</v>
      </c>
    </row>
    <row r="257" spans="1:8" x14ac:dyDescent="0.25">
      <c r="B257" s="180" t="s">
        <v>1669</v>
      </c>
      <c r="F257" t="s">
        <v>1670</v>
      </c>
    </row>
    <row r="258" spans="1:8" x14ac:dyDescent="0.25">
      <c r="B258" s="180" t="s">
        <v>1672</v>
      </c>
    </row>
    <row r="259" spans="1:8" x14ac:dyDescent="0.25">
      <c r="A259" s="180"/>
      <c r="B259" s="180" t="s">
        <v>1673</v>
      </c>
    </row>
    <row r="260" spans="1:8" x14ac:dyDescent="0.25">
      <c r="B260" s="180" t="s">
        <v>1674</v>
      </c>
    </row>
    <row r="261" spans="1:8" ht="14.25" customHeight="1" x14ac:dyDescent="0.25">
      <c r="B261" s="180" t="s">
        <v>1676</v>
      </c>
    </row>
    <row r="262" spans="1:8" ht="14.25" customHeight="1" x14ac:dyDescent="0.25">
      <c r="B262" s="180"/>
    </row>
    <row r="263" spans="1:8" ht="14.25" customHeight="1" x14ac:dyDescent="0.25">
      <c r="A263" t="s">
        <v>1683</v>
      </c>
      <c r="B263" s="180"/>
    </row>
    <row r="264" spans="1:8" ht="14.25" customHeight="1" x14ac:dyDescent="0.25">
      <c r="A264" s="180" t="s">
        <v>1682</v>
      </c>
      <c r="B264" s="180"/>
    </row>
    <row r="265" spans="1:8" ht="14.25" customHeight="1" x14ac:dyDescent="0.25">
      <c r="A265" s="180"/>
      <c r="B265" s="180"/>
    </row>
    <row r="266" spans="1:8" x14ac:dyDescent="0.25">
      <c r="A266" s="1317" t="s">
        <v>1681</v>
      </c>
    </row>
    <row r="267" spans="1:8" x14ac:dyDescent="0.25">
      <c r="A267" s="180" t="s">
        <v>1678</v>
      </c>
    </row>
    <row r="268" spans="1:8" x14ac:dyDescent="0.25">
      <c r="A268" s="180"/>
    </row>
    <row r="269" spans="1:8" x14ac:dyDescent="0.25">
      <c r="A269" t="s">
        <v>1680</v>
      </c>
    </row>
    <row r="270" spans="1:8" x14ac:dyDescent="0.25">
      <c r="A270" s="180" t="s">
        <v>1679</v>
      </c>
    </row>
    <row r="272" spans="1:8" x14ac:dyDescent="0.25">
      <c r="H272" s="181"/>
    </row>
    <row r="273" spans="1:1" ht="15.75" x14ac:dyDescent="0.25">
      <c r="A273" s="221" t="s">
        <v>1649</v>
      </c>
    </row>
    <row r="274" spans="1:1" x14ac:dyDescent="0.25">
      <c r="A274" t="s">
        <v>749</v>
      </c>
    </row>
    <row r="275" spans="1:1" x14ac:dyDescent="0.25">
      <c r="A275" s="180" t="s">
        <v>32</v>
      </c>
    </row>
    <row r="276" spans="1:1" x14ac:dyDescent="0.25">
      <c r="A276" s="180"/>
    </row>
    <row r="277" spans="1:1" x14ac:dyDescent="0.25">
      <c r="A277" t="s">
        <v>748</v>
      </c>
    </row>
    <row r="278" spans="1:1" x14ac:dyDescent="0.25">
      <c r="A278" s="180" t="s">
        <v>742</v>
      </c>
    </row>
    <row r="279" spans="1:1" x14ac:dyDescent="0.25">
      <c r="A279" s="180"/>
    </row>
    <row r="280" spans="1:1" x14ac:dyDescent="0.25">
      <c r="A280" s="93" t="s">
        <v>750</v>
      </c>
    </row>
    <row r="281" spans="1:1" x14ac:dyDescent="0.25">
      <c r="A281" s="83" t="s">
        <v>936</v>
      </c>
    </row>
    <row r="282" spans="1:1" x14ac:dyDescent="0.25">
      <c r="A282" s="83"/>
    </row>
    <row r="283" spans="1:1" x14ac:dyDescent="0.25">
      <c r="A283" s="1351" t="s">
        <v>938</v>
      </c>
    </row>
    <row r="284" spans="1:1" x14ac:dyDescent="0.25">
      <c r="A284" s="180" t="s">
        <v>940</v>
      </c>
    </row>
    <row r="285" spans="1:1" x14ac:dyDescent="0.25">
      <c r="A285" s="180"/>
    </row>
    <row r="286" spans="1:1" x14ac:dyDescent="0.25">
      <c r="A286" s="1351" t="s">
        <v>937</v>
      </c>
    </row>
    <row r="287" spans="1:1" x14ac:dyDescent="0.25">
      <c r="A287" s="180" t="s">
        <v>939</v>
      </c>
    </row>
    <row r="288" spans="1:1" x14ac:dyDescent="0.25">
      <c r="A288" s="180"/>
    </row>
    <row r="289" spans="1:9" x14ac:dyDescent="0.25">
      <c r="A289" s="1351" t="s">
        <v>1159</v>
      </c>
    </row>
    <row r="290" spans="1:9" x14ac:dyDescent="0.25">
      <c r="A290" s="180" t="s">
        <v>1075</v>
      </c>
    </row>
    <row r="291" spans="1:9" x14ac:dyDescent="0.25">
      <c r="A291" s="181"/>
    </row>
    <row r="292" spans="1:9" x14ac:dyDescent="0.25">
      <c r="A292" t="s">
        <v>1187</v>
      </c>
    </row>
    <row r="293" spans="1:9" x14ac:dyDescent="0.25">
      <c r="A293" s="180" t="s">
        <v>1186</v>
      </c>
    </row>
    <row r="294" spans="1:9" x14ac:dyDescent="0.25">
      <c r="A294" s="180"/>
    </row>
    <row r="295" spans="1:9" x14ac:dyDescent="0.25">
      <c r="A295" t="s">
        <v>1184</v>
      </c>
    </row>
    <row r="296" spans="1:9" x14ac:dyDescent="0.25">
      <c r="A296" s="180" t="s">
        <v>1185</v>
      </c>
    </row>
    <row r="297" spans="1:9" x14ac:dyDescent="0.25">
      <c r="A297" s="180"/>
    </row>
    <row r="298" spans="1:9" x14ac:dyDescent="0.25">
      <c r="A298" t="s">
        <v>1189</v>
      </c>
    </row>
    <row r="299" spans="1:9" x14ac:dyDescent="0.25">
      <c r="A299" s="180" t="s">
        <v>1188</v>
      </c>
    </row>
    <row r="300" spans="1:9" x14ac:dyDescent="0.25">
      <c r="A300" s="180"/>
    </row>
    <row r="301" spans="1:9" x14ac:dyDescent="0.25">
      <c r="A301" t="s">
        <v>2912</v>
      </c>
      <c r="B301" s="17"/>
      <c r="C301" s="17"/>
      <c r="D301" s="25"/>
      <c r="E301" s="24"/>
      <c r="F301" s="6"/>
      <c r="G301" s="6"/>
      <c r="H301" s="6"/>
      <c r="I301" s="6"/>
    </row>
    <row r="302" spans="1:9" x14ac:dyDescent="0.25">
      <c r="A302" s="966" t="s">
        <v>1397</v>
      </c>
      <c r="C302" s="17"/>
      <c r="D302" s="25"/>
      <c r="E302" s="24"/>
      <c r="G302" s="6"/>
      <c r="H302" s="6"/>
      <c r="I302" s="6"/>
    </row>
    <row r="303" spans="1:9" x14ac:dyDescent="0.25">
      <c r="B303" s="1797"/>
      <c r="C303" s="17"/>
      <c r="D303" s="25"/>
      <c r="E303" s="24"/>
      <c r="G303" s="6"/>
      <c r="H303" s="6"/>
      <c r="I303" s="6"/>
    </row>
    <row r="304" spans="1:9" x14ac:dyDescent="0.25">
      <c r="B304" s="1797"/>
      <c r="C304" s="17"/>
      <c r="D304" s="25"/>
      <c r="E304" s="24"/>
      <c r="G304" s="6"/>
      <c r="H304" s="6"/>
      <c r="I304" s="6"/>
    </row>
    <row r="305" spans="1:9" s="1382" customFormat="1" ht="15.75" x14ac:dyDescent="0.25">
      <c r="B305" s="1383" t="s">
        <v>1109</v>
      </c>
      <c r="G305" s="1383" t="s">
        <v>955</v>
      </c>
    </row>
    <row r="306" spans="1:9" ht="15.75" thickBot="1" x14ac:dyDescent="0.3"/>
    <row r="307" spans="1:9" ht="19.5" thickTop="1" x14ac:dyDescent="0.3">
      <c r="A307" s="960" t="s">
        <v>486</v>
      </c>
      <c r="B307" s="946"/>
      <c r="C307" s="946"/>
      <c r="D307" s="947"/>
      <c r="E307" s="947"/>
      <c r="F307" s="946"/>
      <c r="G307" s="946"/>
      <c r="H307" s="949"/>
    </row>
    <row r="308" spans="1:9" ht="15.75" x14ac:dyDescent="0.25">
      <c r="A308" s="964" t="s">
        <v>736</v>
      </c>
      <c r="B308" s="944"/>
      <c r="C308" s="944"/>
      <c r="D308" s="945"/>
      <c r="E308" s="945"/>
      <c r="F308" s="944"/>
      <c r="G308" s="944"/>
      <c r="H308" s="950"/>
    </row>
    <row r="309" spans="1:9" x14ac:dyDescent="0.25">
      <c r="A309" s="1054"/>
      <c r="B309" s="943" t="s">
        <v>326</v>
      </c>
      <c r="C309" s="945"/>
      <c r="D309" s="945"/>
      <c r="E309" s="945"/>
      <c r="F309" s="944"/>
      <c r="G309" s="944"/>
      <c r="H309" s="950"/>
    </row>
    <row r="310" spans="1:9" x14ac:dyDescent="0.25">
      <c r="A310" s="1054"/>
      <c r="B310" s="1356" t="s">
        <v>870</v>
      </c>
      <c r="C310" s="1357"/>
      <c r="D310" s="1357"/>
      <c r="E310" s="945"/>
      <c r="F310" s="944"/>
      <c r="G310" s="944"/>
      <c r="H310" s="950"/>
    </row>
    <row r="311" spans="1:9" x14ac:dyDescent="0.25">
      <c r="A311" s="1054"/>
      <c r="B311" s="942" t="s">
        <v>1103</v>
      </c>
      <c r="C311" s="945"/>
      <c r="D311" s="945"/>
      <c r="E311" s="945"/>
      <c r="F311" s="944"/>
      <c r="G311" s="944"/>
      <c r="H311" s="950"/>
    </row>
    <row r="312" spans="1:9" x14ac:dyDescent="0.25">
      <c r="A312" s="1054" t="s">
        <v>154</v>
      </c>
      <c r="B312" s="942" t="s">
        <v>1104</v>
      </c>
      <c r="C312" s="945"/>
      <c r="D312" s="945"/>
      <c r="E312" s="945"/>
      <c r="F312" s="944"/>
      <c r="G312" s="944"/>
      <c r="H312" s="950"/>
    </row>
    <row r="313" spans="1:9" x14ac:dyDescent="0.25">
      <c r="A313" s="1054"/>
      <c r="B313" s="942" t="s">
        <v>1105</v>
      </c>
      <c r="C313" s="945"/>
      <c r="D313" s="945"/>
      <c r="E313" s="945"/>
      <c r="F313" s="944"/>
      <c r="G313" s="944"/>
      <c r="H313" s="950"/>
    </row>
    <row r="314" spans="1:9" x14ac:dyDescent="0.25">
      <c r="A314" s="1890"/>
      <c r="B314" s="942" t="s">
        <v>1106</v>
      </c>
      <c r="C314" s="1019"/>
      <c r="D314" s="945"/>
      <c r="E314" s="945"/>
      <c r="F314" s="944"/>
      <c r="G314" s="944"/>
      <c r="H314" s="950"/>
    </row>
    <row r="315" spans="1:9" x14ac:dyDescent="0.25">
      <c r="A315" s="1890"/>
      <c r="B315" s="942" t="s">
        <v>1449</v>
      </c>
      <c r="C315" s="1019"/>
      <c r="D315" s="945"/>
      <c r="E315" s="945"/>
      <c r="F315" s="944"/>
      <c r="G315" s="944"/>
      <c r="H315" s="950"/>
    </row>
    <row r="316" spans="1:9" x14ac:dyDescent="0.25">
      <c r="A316" s="1890"/>
      <c r="B316" s="942" t="s">
        <v>1462</v>
      </c>
      <c r="C316" s="1019"/>
      <c r="D316" s="945"/>
      <c r="E316" s="945"/>
      <c r="F316" s="944"/>
      <c r="G316" s="944"/>
      <c r="H316" s="950"/>
    </row>
    <row r="317" spans="1:9" x14ac:dyDescent="0.25">
      <c r="A317" s="1890"/>
      <c r="B317" s="942" t="s">
        <v>1450</v>
      </c>
      <c r="C317" s="1019"/>
      <c r="D317" s="945"/>
      <c r="E317" s="945"/>
      <c r="F317" s="944"/>
      <c r="G317" s="944"/>
      <c r="H317" s="950"/>
      <c r="I317" s="1020"/>
    </row>
    <row r="318" spans="1:9" x14ac:dyDescent="0.25">
      <c r="A318" s="1890"/>
      <c r="B318" s="942" t="s">
        <v>1107</v>
      </c>
      <c r="C318" s="1019"/>
      <c r="D318" s="945"/>
      <c r="E318" s="945"/>
      <c r="F318" s="944"/>
      <c r="G318" s="944"/>
      <c r="H318" s="950"/>
      <c r="I318" s="1020"/>
    </row>
    <row r="319" spans="1:9" x14ac:dyDescent="0.25">
      <c r="A319" s="1890"/>
      <c r="B319" s="943" t="s">
        <v>1108</v>
      </c>
      <c r="C319" s="1019"/>
      <c r="D319" s="945"/>
      <c r="E319" s="945"/>
      <c r="F319" s="944"/>
      <c r="G319" s="944"/>
      <c r="H319" s="950"/>
      <c r="I319" s="1020"/>
    </row>
    <row r="320" spans="1:9" x14ac:dyDescent="0.25">
      <c r="A320" s="1890"/>
      <c r="B320" s="943" t="s">
        <v>1100</v>
      </c>
      <c r="C320" s="1019"/>
      <c r="D320" s="945"/>
      <c r="E320" s="945"/>
      <c r="F320" s="944"/>
      <c r="G320" s="944"/>
      <c r="H320" s="950"/>
    </row>
    <row r="321" spans="1:8" x14ac:dyDescent="0.25">
      <c r="A321" s="1054"/>
      <c r="B321" s="943" t="s">
        <v>1099</v>
      </c>
      <c r="C321" s="945"/>
      <c r="D321" s="945"/>
      <c r="E321" s="945"/>
      <c r="F321" s="944"/>
      <c r="G321" s="944"/>
      <c r="H321" s="950"/>
    </row>
    <row r="322" spans="1:8" x14ac:dyDescent="0.25">
      <c r="A322" s="1054"/>
      <c r="B322" s="943" t="s">
        <v>1098</v>
      </c>
      <c r="C322" s="945"/>
      <c r="D322" s="945"/>
      <c r="E322" s="945"/>
      <c r="F322" s="944"/>
      <c r="G322" s="944"/>
      <c r="H322" s="950"/>
    </row>
    <row r="323" spans="1:8" x14ac:dyDescent="0.25">
      <c r="A323" s="1054"/>
      <c r="B323" s="942" t="s">
        <v>1097</v>
      </c>
      <c r="C323" s="945"/>
      <c r="D323" s="945"/>
      <c r="E323" s="945"/>
      <c r="F323" s="944"/>
      <c r="G323" s="944"/>
      <c r="H323" s="950"/>
    </row>
    <row r="324" spans="1:8" x14ac:dyDescent="0.25">
      <c r="A324" s="1054"/>
      <c r="B324" s="943" t="s">
        <v>1101</v>
      </c>
      <c r="C324" s="945"/>
      <c r="D324" s="945"/>
      <c r="E324" s="945"/>
      <c r="F324" s="944"/>
      <c r="G324" s="944"/>
      <c r="H324" s="950"/>
    </row>
    <row r="325" spans="1:8" x14ac:dyDescent="0.25">
      <c r="A325" s="1054"/>
      <c r="B325" s="943" t="s">
        <v>1102</v>
      </c>
      <c r="C325" s="945"/>
      <c r="D325" s="1019" t="s">
        <v>1762</v>
      </c>
      <c r="E325" s="945"/>
      <c r="F325" s="944"/>
      <c r="G325" s="944"/>
      <c r="H325" s="950"/>
    </row>
    <row r="326" spans="1:8" x14ac:dyDescent="0.25">
      <c r="A326" s="1083"/>
      <c r="B326" s="1081" t="s">
        <v>719</v>
      </c>
      <c r="C326" s="945"/>
      <c r="D326" s="1019" t="s">
        <v>1764</v>
      </c>
      <c r="E326" s="945"/>
      <c r="F326" s="944"/>
      <c r="G326" s="944"/>
      <c r="H326" s="950"/>
    </row>
    <row r="327" spans="1:8" x14ac:dyDescent="0.25">
      <c r="A327" s="1083"/>
      <c r="B327" s="1081" t="s">
        <v>720</v>
      </c>
      <c r="C327" s="945"/>
      <c r="D327" s="1019" t="s">
        <v>1289</v>
      </c>
      <c r="E327" s="945"/>
      <c r="F327" s="945"/>
      <c r="G327" s="945"/>
      <c r="H327" s="950"/>
    </row>
    <row r="328" spans="1:8" x14ac:dyDescent="0.25">
      <c r="A328" s="1083"/>
      <c r="B328" s="1081" t="s">
        <v>721</v>
      </c>
      <c r="C328" s="945"/>
      <c r="D328" s="945" t="s">
        <v>722</v>
      </c>
      <c r="E328" s="945"/>
      <c r="F328" s="945"/>
      <c r="G328" s="945"/>
      <c r="H328" s="950"/>
    </row>
    <row r="329" spans="1:8" x14ac:dyDescent="0.25">
      <c r="A329" s="1083"/>
      <c r="B329" s="1081" t="s">
        <v>725</v>
      </c>
      <c r="C329" s="945"/>
      <c r="D329" s="1019" t="s">
        <v>1763</v>
      </c>
      <c r="E329" s="945"/>
      <c r="F329" s="945"/>
      <c r="G329" s="945"/>
      <c r="H329" s="950"/>
    </row>
    <row r="330" spans="1:8" ht="15.75" thickBot="1" x14ac:dyDescent="0.3">
      <c r="A330" s="1088"/>
      <c r="B330" s="1089" t="s">
        <v>577</v>
      </c>
      <c r="C330" s="948"/>
      <c r="D330" s="1087" t="s">
        <v>578</v>
      </c>
      <c r="E330" s="948"/>
      <c r="F330" s="948"/>
      <c r="G330" s="948"/>
      <c r="H330" s="951"/>
    </row>
    <row r="331" spans="1:8" ht="15.75" thickTop="1" x14ac:dyDescent="0.25"/>
  </sheetData>
  <sheetProtection sheet="1" objects="1" scenarios="1"/>
  <hyperlinks>
    <hyperlink ref="A275" r:id="rId1"/>
    <hyperlink ref="A57" r:id="rId2"/>
    <hyperlink ref="A54" r:id="rId3"/>
    <hyperlink ref="A93" r:id="rId4"/>
    <hyperlink ref="A60" r:id="rId5"/>
    <hyperlink ref="A66" r:id="rId6"/>
    <hyperlink ref="A72" r:id="rId7"/>
    <hyperlink ref="A75" r:id="rId8"/>
    <hyperlink ref="A63" r:id="rId9"/>
    <hyperlink ref="A107" r:id="rId10"/>
    <hyperlink ref="A110" r:id="rId11" location="en_US_2011_publink1000226762"/>
    <hyperlink ref="A40" r:id="rId12"/>
    <hyperlink ref="A122" r:id="rId13"/>
    <hyperlink ref="A155" r:id="rId14"/>
    <hyperlink ref="A125" r:id="rId15"/>
    <hyperlink ref="A158" r:id="rId16"/>
    <hyperlink ref="A161" r:id="rId17"/>
    <hyperlink ref="A152" r:id="rId18"/>
    <hyperlink ref="A278" r:id="rId19"/>
    <hyperlink ref="A28" r:id="rId20"/>
    <hyperlink ref="A193" r:id="rId21"/>
    <hyperlink ref="A225" r:id="rId22"/>
    <hyperlink ref="A198" r:id="rId23"/>
    <hyperlink ref="A222" r:id="rId24"/>
    <hyperlink ref="A219" r:id="rId25"/>
    <hyperlink ref="A228" r:id="rId26"/>
    <hyperlink ref="A284" r:id="rId27"/>
    <hyperlink ref="A216" r:id="rId28"/>
    <hyperlink ref="A213" r:id="rId29"/>
    <hyperlink ref="A134" r:id="rId30"/>
    <hyperlink ref="A114" r:id="rId31"/>
    <hyperlink ref="A140" r:id="rId32"/>
    <hyperlink ref="A81" r:id="rId33"/>
    <hyperlink ref="B1" location="'12. RMDtable'!A1" display="Previous worksheet (12. RMDtable)"/>
    <hyperlink ref="G1" location="'Appendix A'!A1" display="Next worksheet (Appendix A)"/>
    <hyperlink ref="A287" r:id="rId34"/>
    <hyperlink ref="A164" r:id="rId35"/>
    <hyperlink ref="A167" r:id="rId36"/>
    <hyperlink ref="A99" r:id="rId37"/>
    <hyperlink ref="A170" r:id="rId38"/>
    <hyperlink ref="B305" location="'12. RMDtable'!A1" display="Previous worksheet (12. RMDtable)"/>
    <hyperlink ref="A102" r:id="rId39"/>
    <hyperlink ref="A173" r:id="rId40"/>
    <hyperlink ref="A147" r:id="rId41"/>
    <hyperlink ref="A144" r:id="rId42"/>
    <hyperlink ref="A117" r:id="rId43"/>
    <hyperlink ref="A296" r:id="rId44"/>
    <hyperlink ref="A293" r:id="rId45"/>
    <hyperlink ref="A299" r:id="rId46"/>
    <hyperlink ref="A25" r:id="rId47"/>
    <hyperlink ref="A88" r:id="rId48"/>
    <hyperlink ref="A302" r:id="rId49"/>
    <hyperlink ref="A185" r:id="rId50"/>
    <hyperlink ref="B312" location="'S. Setup'!A1" display="Setup"/>
    <hyperlink ref="B313" location="'1. AgeData'!A1" display="AgeData"/>
    <hyperlink ref="B314" location="'2. TaxData'!A1" display="TaxData"/>
    <hyperlink ref="B316" location="'4. PensionData'!A1" display="4. PensionData"/>
    <hyperlink ref="B317" location="'5. SocSecData'!A1" display="5. SocSecData"/>
    <hyperlink ref="B315" location="'3. WorkData'!A1" display="3. WorkData"/>
    <hyperlink ref="B318" location="'6. AnnuityData'!A1" display="AnnuityData"/>
    <hyperlink ref="B319" location="'7. IRAdata'!A1" display="IRAdata"/>
    <hyperlink ref="B320" location="'8. RothData'!A1" display="RothData"/>
    <hyperlink ref="B321" location="'9. SavingsData'!A1" display="SavingsData"/>
    <hyperlink ref="B311" location="'R. Results'!A1" display="Results"/>
    <hyperlink ref="B323" location="'11. CashData'!A1" display="CashData"/>
    <hyperlink ref="B322" location="'10. ExpensesData'!A1" display="ExpensesData"/>
    <hyperlink ref="B324" location="'12. RMDtable'!A1" display="RMDtable"/>
    <hyperlink ref="B309" location="Introduction!A1" display="Introduction"/>
    <hyperlink ref="B329" location="'Appendix D'!A1" display="Appendix D"/>
    <hyperlink ref="B326" location="'Appendix A'!A1" display="Appendix A"/>
    <hyperlink ref="B327" location="'Appendix B'!A1" display="Appendix B"/>
    <hyperlink ref="B328" location="'Appendix C'!A1" display="Appendix C"/>
    <hyperlink ref="B330" location="FAQ!A1" display="FAQ"/>
    <hyperlink ref="B310" location="Assumptions!A1" display="Assumptions"/>
    <hyperlink ref="B325" location="'RS. Resources'!A1" display="Resources"/>
    <hyperlink ref="A85" r:id="rId51"/>
    <hyperlink ref="A236" r:id="rId52"/>
    <hyperlink ref="A245" r:id="rId53"/>
    <hyperlink ref="B249" r:id="rId54"/>
    <hyperlink ref="F249" r:id="rId55" display="https://personal.vanguard.com/us/insights/retirement/saving/set-retirement-goals"/>
    <hyperlink ref="J249" r:id="rId56" display="https://personal.vanguard.com/us/insights/retirement/plan-for-a-long-retirement-tool"/>
    <hyperlink ref="B250" r:id="rId57" display="https://personal.vanguard.com/us/insights/retirement/tool/retirement-expense-worksheet"/>
    <hyperlink ref="G250" r:id="rId58" display="https://personal.vanguard.com/us/insights/retirement/withdrawal-in-retirement-tool"/>
    <hyperlink ref="B251" r:id="rId59" display="https://personal.vanguard.com/us/funds/tools/incomecalculator"/>
    <hyperlink ref="G251" r:id="rId60" display="https://personal.vanguard.com/us/insights/retirement/cost-affect-retirement-spending-tool"/>
    <hyperlink ref="B252" r:id="rId61" display="https://personal.vanguard.com/us/insights/retirement/estimate-your-rmd-tool"/>
    <hyperlink ref="B256" r:id="rId62" display="http://www.aarp.org/work/retirement-planning/retirement_calculator/"/>
    <hyperlink ref="B257" r:id="rId63" display="http://personal.fidelity.com/planning/retirement/ise.shtml?ref_fiover=0017"/>
    <hyperlink ref="A248" r:id="rId64"/>
    <hyperlink ref="B258" r:id="rId65" display="http://www.aarp.org/work/social-security/social-security-benefits-calculator/"/>
    <hyperlink ref="B259" r:id="rId66" display="http://www.ssa.gov/OACT/quickcalc/index.html"/>
    <hyperlink ref="B260" r:id="rId67" display="http://www.livingto100.com/"/>
    <hyperlink ref="B261" r:id="rId68"/>
    <hyperlink ref="H252" r:id="rId69"/>
    <hyperlink ref="A267" r:id="rId70"/>
    <hyperlink ref="A270" r:id="rId71"/>
    <hyperlink ref="A264" r:id="rId72"/>
    <hyperlink ref="A188" r:id="rId73"/>
    <hyperlink ref="A290" r:id="rId74"/>
    <hyperlink ref="A37" r:id="rId75"/>
    <hyperlink ref="A49" r:id="rId76"/>
    <hyperlink ref="A231" r:id="rId77"/>
    <hyperlink ref="A176" r:id="rId78"/>
    <hyperlink ref="A239" r:id="rId79"/>
    <hyperlink ref="A179" r:id="rId80"/>
    <hyperlink ref="A69" r:id="rId81"/>
    <hyperlink ref="A201" r:id="rId82"/>
    <hyperlink ref="A204" r:id="rId83"/>
    <hyperlink ref="A207" r:id="rId84"/>
    <hyperlink ref="A210" r:id="rId85"/>
    <hyperlink ref="G305" location="'Appendix A'!A1" display="Next worksheet (Appendix A)"/>
    <hyperlink ref="A242" r:id="rId86"/>
  </hyperlinks>
  <printOptions headings="1" gridLines="1"/>
  <pageMargins left="0.7" right="0.7" top="0.75" bottom="0.75" header="0.3" footer="0.3"/>
  <pageSetup orientation="landscape" horizontalDpi="0" verticalDpi="0" r:id="rId87"/>
  <headerFooter>
    <oddHeader>&amp;L&amp;F&amp;C&amp;D&amp;T&amp;R&amp;A &amp;P</oddHead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O281"/>
  <sheetViews>
    <sheetView zoomScaleNormal="100" workbookViewId="0">
      <selection activeCell="A20" sqref="A20"/>
    </sheetView>
  </sheetViews>
  <sheetFormatPr defaultRowHeight="15" x14ac:dyDescent="0.25"/>
  <cols>
    <col min="1" max="1" width="16.85546875" customWidth="1"/>
    <col min="10" max="10" width="11" customWidth="1"/>
  </cols>
  <sheetData>
    <row r="1" spans="1:11" s="1382" customFormat="1" ht="15.75" x14ac:dyDescent="0.25">
      <c r="B1" s="1383" t="s">
        <v>2913</v>
      </c>
      <c r="G1" s="1383" t="s">
        <v>956</v>
      </c>
    </row>
    <row r="2" spans="1:11" x14ac:dyDescent="0.25">
      <c r="A2" s="1419"/>
      <c r="B2" s="1419"/>
      <c r="C2" s="1419"/>
      <c r="D2" s="1419"/>
      <c r="E2" s="1419"/>
      <c r="F2" s="1419"/>
      <c r="G2" s="1419"/>
      <c r="H2" s="1419"/>
      <c r="I2" s="1419"/>
      <c r="J2" s="1419"/>
      <c r="K2" s="1419"/>
    </row>
    <row r="3" spans="1:11" s="1021" customFormat="1" ht="18.75" x14ac:dyDescent="0.3">
      <c r="A3" s="94" t="s">
        <v>1761</v>
      </c>
      <c r="B3" s="1028"/>
      <c r="C3" s="1028"/>
    </row>
    <row r="4" spans="1:11" s="1021" customFormat="1" ht="18.75" x14ac:dyDescent="0.3">
      <c r="A4" s="94"/>
      <c r="B4" s="1028"/>
      <c r="C4" s="1028"/>
    </row>
    <row r="5" spans="1:11" s="1021" customFormat="1" ht="18.75" x14ac:dyDescent="0.3">
      <c r="A5" s="1582" t="s">
        <v>2989</v>
      </c>
      <c r="B5" s="1028"/>
      <c r="C5" s="1028"/>
    </row>
    <row r="6" spans="1:11" s="1021" customFormat="1" ht="18.75" x14ac:dyDescent="0.3">
      <c r="A6" t="s">
        <v>3753</v>
      </c>
      <c r="B6" s="1028"/>
      <c r="C6" s="1028"/>
    </row>
    <row r="7" spans="1:11" s="1021" customFormat="1" ht="18.75" x14ac:dyDescent="0.3">
      <c r="A7" t="s">
        <v>3754</v>
      </c>
      <c r="B7" s="1028"/>
      <c r="C7" s="1028"/>
    </row>
    <row r="8" spans="1:11" s="1021" customFormat="1" ht="18.75" x14ac:dyDescent="0.3">
      <c r="A8" t="s">
        <v>3755</v>
      </c>
      <c r="B8" s="1028"/>
      <c r="C8" s="1028"/>
    </row>
    <row r="9" spans="1:11" s="1021" customFormat="1" ht="18.75" x14ac:dyDescent="0.3">
      <c r="A9" t="s">
        <v>3756</v>
      </c>
      <c r="B9" s="1028"/>
      <c r="C9" s="1028"/>
    </row>
    <row r="10" spans="1:11" s="1021" customFormat="1" ht="18.75" x14ac:dyDescent="0.3">
      <c r="A10" s="1582"/>
      <c r="B10" s="1028"/>
      <c r="C10" s="1028"/>
    </row>
    <row r="11" spans="1:11" s="1021" customFormat="1" ht="18.75" x14ac:dyDescent="0.3">
      <c r="A11" s="671" t="s">
        <v>253</v>
      </c>
      <c r="B11" s="1038"/>
      <c r="C11" s="1038"/>
      <c r="D11" s="1039"/>
      <c r="E11" s="1039"/>
      <c r="F11" s="1039"/>
      <c r="G11" s="1039"/>
      <c r="H11" s="1040"/>
    </row>
    <row r="12" spans="1:11" s="1021" customFormat="1" ht="18.75" x14ac:dyDescent="0.3">
      <c r="A12" s="676" t="s">
        <v>3364</v>
      </c>
      <c r="B12" s="1041"/>
      <c r="C12" s="1041"/>
      <c r="D12" s="1042"/>
      <c r="E12" s="1042"/>
      <c r="F12" s="1042"/>
      <c r="G12" s="1042"/>
      <c r="H12" s="1043"/>
    </row>
    <row r="13" spans="1:11" s="1021" customFormat="1" ht="18.75" x14ac:dyDescent="0.3">
      <c r="A13" s="676" t="s">
        <v>1027</v>
      </c>
      <c r="B13" s="1041"/>
      <c r="C13" s="1041"/>
      <c r="D13" s="1042"/>
      <c r="E13" s="1042"/>
      <c r="F13" s="1042"/>
      <c r="G13" s="1042"/>
      <c r="H13" s="1043"/>
    </row>
    <row r="14" spans="1:11" s="1077" customFormat="1" ht="18.75" x14ac:dyDescent="0.3">
      <c r="A14" s="1073" t="s">
        <v>731</v>
      </c>
      <c r="B14" s="1074"/>
      <c r="C14" s="1074"/>
      <c r="D14" s="1075"/>
      <c r="E14" s="1075"/>
      <c r="F14" s="1075"/>
      <c r="G14" s="1075"/>
      <c r="H14" s="1076"/>
    </row>
    <row r="15" spans="1:11" s="67" customFormat="1" x14ac:dyDescent="0.25">
      <c r="A15" s="761" t="s">
        <v>732</v>
      </c>
      <c r="B15" s="1044"/>
      <c r="C15" s="1044"/>
      <c r="D15" s="66"/>
      <c r="E15" s="66"/>
      <c r="F15" s="66"/>
      <c r="G15" s="66"/>
      <c r="H15" s="1045"/>
    </row>
    <row r="16" spans="1:11" s="1021" customFormat="1" ht="18.75" x14ac:dyDescent="0.3">
      <c r="A16" s="676" t="s">
        <v>103</v>
      </c>
      <c r="B16" s="1041"/>
      <c r="C16" s="1041"/>
      <c r="D16" s="1042"/>
      <c r="E16" s="1042"/>
      <c r="F16" s="1042"/>
      <c r="G16" s="1042"/>
      <c r="H16" s="1043"/>
    </row>
    <row r="17" spans="1:10" s="1021" customFormat="1" ht="18.75" x14ac:dyDescent="0.3">
      <c r="A17" s="1046" t="s">
        <v>1026</v>
      </c>
      <c r="B17" s="1047"/>
      <c r="C17" s="1047"/>
      <c r="D17" s="1048"/>
      <c r="E17" s="1048"/>
      <c r="F17" s="1048"/>
      <c r="G17" s="1048"/>
      <c r="H17" s="1049"/>
    </row>
    <row r="18" spans="1:10" s="1021" customFormat="1" ht="18.75" x14ac:dyDescent="0.3">
      <c r="A18"/>
      <c r="B18" s="1028"/>
      <c r="C18" s="1028"/>
    </row>
    <row r="19" spans="1:10" ht="18.75" x14ac:dyDescent="0.3">
      <c r="A19" s="94" t="s">
        <v>3363</v>
      </c>
      <c r="B19" s="90"/>
      <c r="C19" s="90"/>
      <c r="D19" s="67"/>
      <c r="E19" s="67"/>
      <c r="F19" s="67"/>
      <c r="G19" s="67"/>
      <c r="H19" s="67"/>
      <c r="I19" s="67"/>
    </row>
    <row r="20" spans="1:10" x14ac:dyDescent="0.25">
      <c r="A20" s="1317" t="s">
        <v>3757</v>
      </c>
      <c r="B20" s="90"/>
      <c r="C20" s="90"/>
      <c r="D20" s="67"/>
      <c r="E20" s="67"/>
      <c r="F20" s="67"/>
      <c r="G20" s="67"/>
      <c r="H20" s="67"/>
      <c r="I20" s="67"/>
    </row>
    <row r="21" spans="1:10" ht="18.75" x14ac:dyDescent="0.3">
      <c r="A21" s="1027"/>
      <c r="B21" s="1029" t="s">
        <v>1212</v>
      </c>
      <c r="C21" s="1030"/>
      <c r="D21" s="1030"/>
      <c r="E21" s="88"/>
      <c r="F21" s="89"/>
      <c r="G21" s="89"/>
      <c r="H21" s="89"/>
      <c r="I21" s="89"/>
      <c r="J21" s="89"/>
    </row>
    <row r="22" spans="1:10" ht="18.75" x14ac:dyDescent="0.3">
      <c r="A22" s="1027"/>
      <c r="B22" s="1031" t="s">
        <v>727</v>
      </c>
      <c r="C22" s="1030"/>
      <c r="D22" s="1030"/>
      <c r="E22" s="88"/>
      <c r="F22" s="89"/>
      <c r="G22" s="89"/>
      <c r="H22" s="89"/>
      <c r="I22" s="89"/>
      <c r="J22" s="89"/>
    </row>
    <row r="23" spans="1:10" ht="18.75" x14ac:dyDescent="0.3">
      <c r="A23" s="1027"/>
      <c r="B23" s="1032" t="s">
        <v>728</v>
      </c>
      <c r="C23" s="1030"/>
      <c r="D23" s="1030"/>
      <c r="E23" s="88"/>
      <c r="F23" s="89"/>
      <c r="G23" s="89"/>
      <c r="H23" s="89"/>
      <c r="I23" s="89"/>
      <c r="J23" s="89"/>
    </row>
    <row r="24" spans="1:10" ht="18.75" x14ac:dyDescent="0.3">
      <c r="A24" s="1027"/>
      <c r="B24" s="1033" t="s">
        <v>729</v>
      </c>
      <c r="C24" s="1034"/>
      <c r="D24" s="1034"/>
      <c r="E24" s="641"/>
      <c r="F24" s="642"/>
      <c r="G24" s="642"/>
      <c r="H24" s="642"/>
      <c r="I24" s="501"/>
      <c r="J24" s="501"/>
    </row>
    <row r="25" spans="1:10" ht="18.75" x14ac:dyDescent="0.3">
      <c r="A25" s="1027"/>
      <c r="B25" s="1035" t="s">
        <v>566</v>
      </c>
      <c r="C25" s="1034"/>
      <c r="D25" s="1034"/>
      <c r="E25" s="641"/>
      <c r="F25" s="642"/>
      <c r="G25" s="642"/>
      <c r="H25" s="642"/>
      <c r="I25" s="501"/>
      <c r="J25" s="501"/>
    </row>
    <row r="26" spans="1:10" ht="18.75" x14ac:dyDescent="0.3">
      <c r="B26" s="1036"/>
      <c r="C26" s="1037"/>
      <c r="D26" s="1037"/>
      <c r="E26" s="1037"/>
      <c r="F26" s="600"/>
      <c r="G26" s="600"/>
      <c r="H26" s="600"/>
      <c r="I26" s="215"/>
      <c r="J26" s="215"/>
    </row>
    <row r="27" spans="1:10" ht="15.75" x14ac:dyDescent="0.25">
      <c r="A27" s="120" t="s">
        <v>730</v>
      </c>
      <c r="B27" s="90"/>
      <c r="C27" s="90"/>
      <c r="D27" s="67"/>
      <c r="E27" s="63" t="s">
        <v>3365</v>
      </c>
      <c r="F27" s="67"/>
      <c r="G27" s="67"/>
      <c r="H27" s="67"/>
      <c r="I27" s="67"/>
    </row>
    <row r="28" spans="1:10" ht="15.75" x14ac:dyDescent="0.25">
      <c r="A28" s="120"/>
      <c r="B28" s="1549" t="s">
        <v>3366</v>
      </c>
      <c r="C28" s="90"/>
      <c r="D28" s="67"/>
      <c r="E28" s="67"/>
      <c r="F28" s="67"/>
      <c r="G28" s="67"/>
      <c r="H28" s="67"/>
      <c r="I28" s="67"/>
    </row>
    <row r="29" spans="1:10" x14ac:dyDescent="0.25">
      <c r="A29" s="978" t="s">
        <v>1104</v>
      </c>
      <c r="B29" s="64" t="s">
        <v>51</v>
      </c>
      <c r="C29" s="6"/>
      <c r="D29" s="6"/>
      <c r="E29" s="67"/>
      <c r="F29" s="67"/>
      <c r="G29" s="67"/>
      <c r="H29" s="67"/>
      <c r="I29" s="67"/>
    </row>
    <row r="30" spans="1:10" x14ac:dyDescent="0.25">
      <c r="A30" s="121"/>
      <c r="B30" s="1296" t="s">
        <v>3367</v>
      </c>
      <c r="C30" s="6"/>
      <c r="D30" s="6"/>
      <c r="E30" s="67"/>
      <c r="F30" s="67"/>
      <c r="G30" s="67"/>
      <c r="H30" s="67"/>
      <c r="I30" s="67"/>
    </row>
    <row r="31" spans="1:10" ht="15.75" x14ac:dyDescent="0.25">
      <c r="A31" s="120"/>
      <c r="B31" s="64" t="s">
        <v>52</v>
      </c>
      <c r="C31" s="6"/>
      <c r="D31" s="6"/>
      <c r="E31" s="67"/>
      <c r="F31" s="67"/>
      <c r="G31" s="67"/>
      <c r="H31" s="67"/>
      <c r="I31" s="67"/>
    </row>
    <row r="32" spans="1:10" ht="15.75" x14ac:dyDescent="0.25">
      <c r="A32" s="120"/>
      <c r="B32" s="64" t="s">
        <v>50</v>
      </c>
      <c r="C32" s="6"/>
      <c r="D32" s="6"/>
      <c r="E32" s="67"/>
      <c r="F32" s="67"/>
      <c r="G32" s="67"/>
      <c r="H32" s="67"/>
      <c r="I32" s="67"/>
    </row>
    <row r="33" spans="1:9" ht="15.75" x14ac:dyDescent="0.25">
      <c r="A33" s="120"/>
      <c r="B33" s="754"/>
      <c r="C33" s="90"/>
      <c r="D33" s="67"/>
      <c r="E33" s="67"/>
      <c r="F33" s="67"/>
      <c r="G33" s="67"/>
      <c r="H33" s="67"/>
      <c r="I33" s="67"/>
    </row>
    <row r="34" spans="1:9" ht="15.75" x14ac:dyDescent="0.25">
      <c r="A34" s="120"/>
      <c r="B34" s="178" t="s">
        <v>260</v>
      </c>
      <c r="C34" s="90"/>
      <c r="D34" s="67"/>
      <c r="E34" s="67"/>
      <c r="F34" s="67"/>
      <c r="G34" s="67"/>
      <c r="H34" s="67"/>
      <c r="I34" s="67"/>
    </row>
    <row r="35" spans="1:9" ht="15.75" x14ac:dyDescent="0.25">
      <c r="A35" s="978" t="s">
        <v>1105</v>
      </c>
      <c r="B35" s="1090" t="s">
        <v>2387</v>
      </c>
      <c r="C35" s="90"/>
      <c r="D35" s="67"/>
      <c r="F35" s="353"/>
      <c r="G35" s="67"/>
      <c r="H35" s="67"/>
      <c r="I35" s="67"/>
    </row>
    <row r="36" spans="1:9" x14ac:dyDescent="0.25">
      <c r="A36" s="121"/>
      <c r="B36" s="6" t="s">
        <v>347</v>
      </c>
      <c r="C36" s="90"/>
      <c r="D36" s="67"/>
      <c r="F36" s="67"/>
      <c r="G36" s="67"/>
      <c r="H36" s="67"/>
      <c r="I36" s="67"/>
    </row>
    <row r="37" spans="1:9" x14ac:dyDescent="0.25">
      <c r="A37" s="121"/>
      <c r="B37" s="6" t="s">
        <v>348</v>
      </c>
      <c r="C37" s="90"/>
      <c r="D37" s="67"/>
      <c r="F37" s="67"/>
      <c r="G37" s="67"/>
      <c r="H37" s="67"/>
      <c r="I37" s="67"/>
    </row>
    <row r="38" spans="1:9" x14ac:dyDescent="0.25">
      <c r="A38" s="121"/>
      <c r="B38" s="6" t="s">
        <v>349</v>
      </c>
      <c r="C38" s="90"/>
      <c r="D38" s="67"/>
      <c r="F38" s="67"/>
      <c r="G38" s="67"/>
      <c r="H38" s="67"/>
      <c r="I38" s="67"/>
    </row>
    <row r="39" spans="1:9" x14ac:dyDescent="0.25">
      <c r="A39" s="121"/>
      <c r="B39" s="6" t="s">
        <v>1800</v>
      </c>
      <c r="C39" s="90"/>
      <c r="D39" s="67"/>
      <c r="F39" s="67"/>
      <c r="G39" s="67"/>
      <c r="H39" s="67"/>
      <c r="I39" s="67"/>
    </row>
    <row r="40" spans="1:9" x14ac:dyDescent="0.25">
      <c r="A40" s="121"/>
      <c r="B40" s="6"/>
      <c r="C40" s="90"/>
      <c r="D40" s="67"/>
      <c r="F40" s="67"/>
      <c r="G40" s="67"/>
      <c r="H40" s="67"/>
      <c r="I40" s="67"/>
    </row>
    <row r="41" spans="1:9" x14ac:dyDescent="0.25">
      <c r="A41" s="978" t="s">
        <v>1106</v>
      </c>
      <c r="B41" s="64" t="s">
        <v>746</v>
      </c>
      <c r="C41" s="748"/>
    </row>
    <row r="42" spans="1:9" x14ac:dyDescent="0.25">
      <c r="A42" s="121"/>
      <c r="B42" s="1296" t="s">
        <v>1074</v>
      </c>
      <c r="C42" s="748"/>
      <c r="D42" s="67"/>
      <c r="F42" s="67"/>
      <c r="G42" s="67"/>
      <c r="H42" s="67"/>
      <c r="I42" s="67"/>
    </row>
    <row r="43" spans="1:9" x14ac:dyDescent="0.25">
      <c r="A43" s="121"/>
      <c r="B43" s="1296" t="s">
        <v>888</v>
      </c>
      <c r="C43" s="748"/>
      <c r="D43" s="67"/>
      <c r="F43" s="67"/>
      <c r="G43" s="67"/>
      <c r="H43" s="67"/>
      <c r="I43" s="67"/>
    </row>
    <row r="44" spans="1:9" x14ac:dyDescent="0.25">
      <c r="A44" s="121"/>
      <c r="B44" s="64" t="s">
        <v>268</v>
      </c>
      <c r="C44" s="748"/>
      <c r="D44" s="67"/>
      <c r="F44" s="67"/>
      <c r="G44" s="67"/>
      <c r="H44" s="67"/>
      <c r="I44" s="67"/>
    </row>
    <row r="45" spans="1:9" x14ac:dyDescent="0.25">
      <c r="A45" s="121"/>
      <c r="B45" s="64" t="s">
        <v>269</v>
      </c>
      <c r="C45" s="748"/>
      <c r="D45" s="67"/>
      <c r="F45" s="67"/>
      <c r="G45" s="67"/>
      <c r="H45" s="67"/>
      <c r="I45" s="67"/>
    </row>
    <row r="46" spans="1:9" x14ac:dyDescent="0.25">
      <c r="A46" s="121"/>
      <c r="B46" s="64" t="s">
        <v>110</v>
      </c>
      <c r="C46" s="748"/>
      <c r="D46" s="67"/>
      <c r="F46" s="67"/>
      <c r="G46" s="67"/>
      <c r="H46" s="67"/>
      <c r="I46" s="67"/>
    </row>
    <row r="47" spans="1:9" x14ac:dyDescent="0.25">
      <c r="A47" s="121"/>
      <c r="B47" s="64"/>
      <c r="C47" s="748"/>
      <c r="D47" s="67"/>
      <c r="F47" s="67"/>
      <c r="G47" s="67"/>
      <c r="H47" s="67"/>
      <c r="I47" s="67"/>
    </row>
    <row r="48" spans="1:9" x14ac:dyDescent="0.25">
      <c r="A48" s="121"/>
      <c r="B48" s="1296" t="s">
        <v>3368</v>
      </c>
      <c r="C48" s="748"/>
      <c r="D48" s="67"/>
      <c r="F48" s="67"/>
      <c r="G48" s="67"/>
      <c r="H48" s="67"/>
      <c r="I48" s="67"/>
    </row>
    <row r="49" spans="1:11" ht="16.5" customHeight="1" x14ac:dyDescent="0.25">
      <c r="A49" s="121"/>
      <c r="B49" s="64" t="s">
        <v>3369</v>
      </c>
      <c r="C49" s="90"/>
      <c r="D49" s="67"/>
      <c r="F49" s="67"/>
      <c r="G49" s="67"/>
      <c r="H49" s="67"/>
      <c r="I49" s="67"/>
    </row>
    <row r="50" spans="1:11" ht="16.5" customHeight="1" x14ac:dyDescent="0.25">
      <c r="A50" s="121"/>
      <c r="B50" s="64"/>
      <c r="C50" s="90"/>
      <c r="D50" s="67"/>
      <c r="F50" s="67"/>
      <c r="G50" s="67"/>
      <c r="H50" s="67"/>
      <c r="I50" s="67"/>
    </row>
    <row r="51" spans="1:11" ht="14.25" customHeight="1" x14ac:dyDescent="0.25">
      <c r="A51" s="121"/>
      <c r="B51" s="164" t="s">
        <v>1024</v>
      </c>
      <c r="C51" s="90"/>
      <c r="D51" s="67"/>
      <c r="F51" s="67"/>
      <c r="G51" s="67"/>
      <c r="H51" s="67"/>
      <c r="I51" s="67"/>
    </row>
    <row r="52" spans="1:11" x14ac:dyDescent="0.25">
      <c r="A52" s="937" t="s">
        <v>1449</v>
      </c>
      <c r="B52" s="1366" t="s">
        <v>1451</v>
      </c>
      <c r="C52" s="6"/>
      <c r="D52" s="93"/>
      <c r="E52" s="122"/>
      <c r="F52" s="122"/>
      <c r="G52" s="122"/>
      <c r="H52" s="122"/>
      <c r="I52" s="122"/>
      <c r="J52" s="122"/>
      <c r="K52" s="123"/>
    </row>
    <row r="53" spans="1:11" x14ac:dyDescent="0.25">
      <c r="A53" s="63"/>
      <c r="B53" s="1366" t="s">
        <v>1444</v>
      </c>
      <c r="C53" s="6"/>
      <c r="D53" s="93"/>
      <c r="E53" s="122"/>
      <c r="F53" s="122"/>
      <c r="G53" s="122"/>
      <c r="H53" s="122"/>
      <c r="I53" s="122"/>
      <c r="J53" s="122"/>
      <c r="K53" s="123"/>
    </row>
    <row r="54" spans="1:11" x14ac:dyDescent="0.25">
      <c r="A54" s="63"/>
      <c r="B54" s="1296" t="s">
        <v>1452</v>
      </c>
      <c r="C54" s="6"/>
      <c r="D54" s="93"/>
      <c r="E54" s="122"/>
      <c r="F54" s="122"/>
      <c r="G54" s="122"/>
      <c r="H54" s="122"/>
      <c r="I54" s="122"/>
      <c r="J54" s="122"/>
      <c r="K54" s="123"/>
    </row>
    <row r="55" spans="1:11" ht="14.25" customHeight="1" x14ac:dyDescent="0.25">
      <c r="A55" s="121"/>
      <c r="B55" s="164"/>
      <c r="C55" s="90"/>
      <c r="D55" s="67"/>
      <c r="F55" s="67"/>
      <c r="G55" s="67"/>
      <c r="H55" s="67"/>
      <c r="I55" s="67"/>
    </row>
    <row r="56" spans="1:11" x14ac:dyDescent="0.25">
      <c r="A56" s="978" t="s">
        <v>3708</v>
      </c>
      <c r="B56" s="1296" t="s">
        <v>1438</v>
      </c>
      <c r="C56" s="90"/>
      <c r="D56" s="67"/>
      <c r="F56" s="67"/>
      <c r="G56" s="67"/>
      <c r="I56" s="67"/>
    </row>
    <row r="57" spans="1:11" x14ac:dyDescent="0.25">
      <c r="A57" s="121"/>
      <c r="B57" s="1296" t="s">
        <v>3709</v>
      </c>
      <c r="C57" s="90"/>
      <c r="D57" s="67"/>
      <c r="F57" s="67"/>
      <c r="G57" s="67"/>
      <c r="H57" s="67"/>
      <c r="I57" s="67"/>
    </row>
    <row r="58" spans="1:11" x14ac:dyDescent="0.25">
      <c r="A58" s="121"/>
      <c r="B58" s="1296" t="s">
        <v>3710</v>
      </c>
      <c r="C58" s="90"/>
      <c r="D58" s="67"/>
      <c r="F58" s="67"/>
      <c r="G58" s="67"/>
      <c r="H58" s="67"/>
      <c r="I58" s="67"/>
    </row>
    <row r="59" spans="1:11" x14ac:dyDescent="0.25">
      <c r="A59" s="121"/>
      <c r="B59" s="64"/>
      <c r="C59" s="90"/>
      <c r="D59" s="67"/>
      <c r="F59" s="67"/>
      <c r="G59" s="67"/>
      <c r="H59" s="67"/>
      <c r="I59" s="67"/>
    </row>
    <row r="60" spans="1:11" x14ac:dyDescent="0.25">
      <c r="A60" s="978" t="s">
        <v>1450</v>
      </c>
      <c r="B60" s="1296" t="s">
        <v>1439</v>
      </c>
      <c r="C60" s="90"/>
      <c r="D60" s="67"/>
      <c r="F60" s="67"/>
      <c r="G60" s="67"/>
      <c r="H60" s="67"/>
      <c r="I60" s="67"/>
    </row>
    <row r="61" spans="1:11" x14ac:dyDescent="0.25">
      <c r="A61" s="121"/>
      <c r="B61" s="1296" t="s">
        <v>1453</v>
      </c>
      <c r="C61" s="90"/>
      <c r="D61" s="67"/>
      <c r="F61" s="67"/>
      <c r="G61" s="67"/>
      <c r="H61" s="67"/>
      <c r="I61" s="67"/>
    </row>
    <row r="62" spans="1:11" x14ac:dyDescent="0.25">
      <c r="A62" s="121"/>
      <c r="B62" s="412" t="s">
        <v>1454</v>
      </c>
      <c r="C62" s="93"/>
      <c r="D62" s="93"/>
      <c r="E62" s="122"/>
      <c r="F62" s="122"/>
      <c r="G62" s="122"/>
      <c r="H62" s="122"/>
      <c r="I62" s="122"/>
      <c r="J62" s="122"/>
      <c r="K62" s="123"/>
    </row>
    <row r="63" spans="1:11" x14ac:dyDescent="0.25">
      <c r="A63" s="121"/>
      <c r="B63" s="412" t="s">
        <v>1455</v>
      </c>
      <c r="C63" s="93"/>
      <c r="D63" s="93"/>
      <c r="E63" s="122"/>
      <c r="F63" s="122"/>
      <c r="G63" s="122"/>
      <c r="H63" s="122"/>
      <c r="I63" s="122"/>
      <c r="J63" s="122"/>
      <c r="K63" s="123"/>
    </row>
    <row r="64" spans="1:11" x14ac:dyDescent="0.25">
      <c r="A64" s="121"/>
      <c r="B64" s="412" t="s">
        <v>1456</v>
      </c>
      <c r="C64" s="93"/>
      <c r="D64" s="93"/>
      <c r="E64" s="122"/>
      <c r="F64" s="122"/>
      <c r="G64" s="122"/>
      <c r="H64" s="122"/>
      <c r="I64" s="122"/>
      <c r="J64" s="122"/>
      <c r="K64" s="123"/>
    </row>
    <row r="65" spans="1:15" x14ac:dyDescent="0.25">
      <c r="A65" s="121"/>
      <c r="B65" s="66" t="s">
        <v>1457</v>
      </c>
      <c r="C65" s="93"/>
      <c r="D65" s="93"/>
      <c r="E65" s="122"/>
      <c r="F65" s="122"/>
      <c r="G65" s="122"/>
      <c r="H65" s="122"/>
      <c r="I65" s="122"/>
      <c r="J65" s="122"/>
      <c r="K65" s="123"/>
    </row>
    <row r="66" spans="1:15" x14ac:dyDescent="0.25">
      <c r="A66" s="121"/>
      <c r="B66" s="66" t="s">
        <v>1458</v>
      </c>
      <c r="C66" s="93"/>
      <c r="D66" s="93"/>
      <c r="E66" s="122"/>
      <c r="F66" s="122"/>
      <c r="G66" s="122"/>
      <c r="H66" s="122"/>
      <c r="I66" s="122"/>
      <c r="J66" s="122"/>
      <c r="K66" s="123"/>
    </row>
    <row r="67" spans="1:15" x14ac:dyDescent="0.25">
      <c r="A67" s="121"/>
      <c r="B67" s="66" t="s">
        <v>1459</v>
      </c>
      <c r="C67" s="93"/>
      <c r="D67" s="93"/>
      <c r="E67" s="122"/>
      <c r="F67" s="122"/>
      <c r="G67" s="122"/>
      <c r="H67" s="122"/>
      <c r="I67" s="122"/>
      <c r="J67" s="122"/>
      <c r="K67" s="123"/>
    </row>
    <row r="68" spans="1:15" x14ac:dyDescent="0.25">
      <c r="A68" s="121"/>
      <c r="B68" s="1351" t="s">
        <v>1826</v>
      </c>
      <c r="C68" s="93"/>
      <c r="D68" s="93"/>
      <c r="E68" s="122"/>
      <c r="F68" s="122"/>
      <c r="G68" s="122"/>
      <c r="H68" s="122"/>
      <c r="I68" s="122"/>
      <c r="J68" s="122"/>
      <c r="K68" s="123"/>
    </row>
    <row r="69" spans="1:15" x14ac:dyDescent="0.25">
      <c r="A69" s="121"/>
      <c r="B69" s="1296" t="s">
        <v>1460</v>
      </c>
      <c r="C69" s="93"/>
      <c r="D69" s="93"/>
      <c r="E69" s="122"/>
      <c r="F69" s="122"/>
      <c r="G69" s="122"/>
      <c r="H69" s="122"/>
      <c r="I69" s="122"/>
      <c r="J69" s="122"/>
      <c r="K69" s="123"/>
    </row>
    <row r="70" spans="1:15" x14ac:dyDescent="0.25">
      <c r="A70" s="63"/>
      <c r="B70" s="64"/>
      <c r="C70" s="6"/>
      <c r="D70" s="93"/>
      <c r="E70" s="122"/>
      <c r="F70" s="122"/>
      <c r="G70" s="122"/>
      <c r="H70" s="122"/>
      <c r="I70" s="122"/>
      <c r="J70" s="122"/>
      <c r="K70" s="123"/>
    </row>
    <row r="71" spans="1:15" x14ac:dyDescent="0.25">
      <c r="A71" s="937" t="s">
        <v>1107</v>
      </c>
      <c r="B71" s="92" t="s">
        <v>267</v>
      </c>
      <c r="C71" s="6"/>
      <c r="D71" s="93"/>
      <c r="E71" s="122"/>
      <c r="F71" s="122"/>
      <c r="G71" s="122"/>
      <c r="H71" s="122"/>
      <c r="I71" s="122"/>
      <c r="J71" s="122"/>
      <c r="K71" s="123"/>
    </row>
    <row r="72" spans="1:15" ht="15.75" x14ac:dyDescent="0.25">
      <c r="A72" s="63"/>
      <c r="B72" s="92" t="s">
        <v>108</v>
      </c>
      <c r="C72" s="712"/>
      <c r="D72" s="93"/>
      <c r="E72" s="122"/>
      <c r="F72" s="122"/>
      <c r="G72" s="122"/>
      <c r="H72" s="122"/>
      <c r="I72" s="122"/>
      <c r="J72" s="122"/>
      <c r="K72" s="123"/>
    </row>
    <row r="73" spans="1:15" ht="15.75" x14ac:dyDescent="0.25">
      <c r="A73" s="63"/>
      <c r="B73" s="92" t="s">
        <v>109</v>
      </c>
      <c r="C73" s="712"/>
      <c r="D73" s="93"/>
      <c r="E73" s="122"/>
      <c r="F73" s="122"/>
      <c r="G73" s="122"/>
      <c r="H73" s="122"/>
      <c r="I73" s="122"/>
      <c r="J73" s="122"/>
      <c r="K73" s="123"/>
    </row>
    <row r="74" spans="1:15" ht="15.75" x14ac:dyDescent="0.25">
      <c r="A74" s="63"/>
      <c r="B74" s="92" t="s">
        <v>129</v>
      </c>
      <c r="C74" s="712"/>
      <c r="D74" s="93"/>
      <c r="E74" s="122"/>
      <c r="F74" s="122"/>
      <c r="G74" s="122"/>
      <c r="H74" s="122"/>
      <c r="I74" s="122"/>
      <c r="J74" s="122"/>
      <c r="K74" s="123"/>
      <c r="M74" s="17"/>
      <c r="N74" s="6"/>
      <c r="O74" s="25"/>
    </row>
    <row r="75" spans="1:15" x14ac:dyDescent="0.25">
      <c r="A75" s="121"/>
      <c r="B75" s="291"/>
      <c r="C75" s="93"/>
      <c r="D75" s="93"/>
      <c r="E75" s="122"/>
      <c r="F75" s="122"/>
      <c r="G75" s="122"/>
      <c r="H75" s="122"/>
      <c r="I75" s="122"/>
      <c r="J75" s="122"/>
      <c r="K75" s="123"/>
      <c r="M75" s="17"/>
      <c r="N75" s="6"/>
      <c r="O75" s="25"/>
    </row>
    <row r="76" spans="1:15" ht="15.75" x14ac:dyDescent="0.25">
      <c r="A76" s="121"/>
      <c r="B76" s="164" t="s">
        <v>258</v>
      </c>
      <c r="C76" s="93"/>
      <c r="D76" s="93"/>
      <c r="E76" s="122"/>
      <c r="F76" s="122"/>
      <c r="G76" s="122"/>
      <c r="H76" s="122"/>
      <c r="I76" s="122"/>
      <c r="J76" s="122"/>
      <c r="K76" s="123"/>
      <c r="M76" s="17"/>
      <c r="N76" s="6"/>
      <c r="O76" s="25"/>
    </row>
    <row r="77" spans="1:15" x14ac:dyDescent="0.25">
      <c r="A77" s="978" t="s">
        <v>1108</v>
      </c>
      <c r="B77" s="6" t="s">
        <v>2994</v>
      </c>
      <c r="C77" s="17"/>
      <c r="D77" s="6"/>
      <c r="I77" s="67"/>
      <c r="M77" s="17"/>
      <c r="N77" s="6"/>
      <c r="O77" s="25"/>
    </row>
    <row r="78" spans="1:15" x14ac:dyDescent="0.25">
      <c r="A78" s="121"/>
      <c r="B78" s="6" t="s">
        <v>2099</v>
      </c>
      <c r="C78" s="17"/>
      <c r="D78" s="6"/>
      <c r="I78" s="67"/>
      <c r="M78" s="17"/>
      <c r="N78" s="6"/>
      <c r="O78" s="25"/>
    </row>
    <row r="79" spans="1:15" x14ac:dyDescent="0.25">
      <c r="A79" s="121"/>
      <c r="B79" s="6" t="s">
        <v>2841</v>
      </c>
      <c r="C79" s="17"/>
      <c r="D79" s="6"/>
      <c r="I79" s="67"/>
      <c r="M79" s="17"/>
      <c r="N79" s="6"/>
      <c r="O79" s="25"/>
    </row>
    <row r="80" spans="1:15" x14ac:dyDescent="0.25">
      <c r="A80" s="121"/>
      <c r="B80" s="6" t="s">
        <v>2842</v>
      </c>
      <c r="C80" s="17"/>
      <c r="D80" s="6"/>
      <c r="I80" s="67"/>
      <c r="M80" s="17"/>
      <c r="N80" s="6"/>
      <c r="O80" s="25"/>
    </row>
    <row r="81" spans="1:15" x14ac:dyDescent="0.25">
      <c r="A81" s="121"/>
      <c r="B81" s="6" t="s">
        <v>2527</v>
      </c>
      <c r="C81" s="17"/>
      <c r="D81" s="6"/>
      <c r="I81" s="67"/>
      <c r="M81" s="17"/>
      <c r="N81" s="6"/>
      <c r="O81" s="25"/>
    </row>
    <row r="82" spans="1:15" x14ac:dyDescent="0.25">
      <c r="A82" s="121"/>
      <c r="B82" s="6" t="s">
        <v>2100</v>
      </c>
      <c r="C82" s="17"/>
      <c r="D82" s="6"/>
      <c r="I82" s="67"/>
      <c r="M82" s="17"/>
      <c r="N82" s="6"/>
      <c r="O82" s="25"/>
    </row>
    <row r="83" spans="1:15" x14ac:dyDescent="0.25">
      <c r="A83" s="121"/>
      <c r="B83" s="6" t="s">
        <v>2843</v>
      </c>
      <c r="C83" s="17"/>
      <c r="D83" s="6"/>
      <c r="I83" s="67"/>
      <c r="M83" s="695"/>
      <c r="N83" s="6"/>
      <c r="O83" s="695"/>
    </row>
    <row r="84" spans="1:15" x14ac:dyDescent="0.25">
      <c r="A84" s="121"/>
      <c r="B84" s="6" t="s">
        <v>2534</v>
      </c>
      <c r="C84" s="17"/>
      <c r="D84" s="6"/>
      <c r="I84" s="67"/>
      <c r="M84" s="695"/>
      <c r="N84" s="6"/>
      <c r="O84" s="695"/>
    </row>
    <row r="85" spans="1:15" x14ac:dyDescent="0.25">
      <c r="A85" s="121"/>
      <c r="B85" s="6" t="s">
        <v>2225</v>
      </c>
      <c r="C85" s="17"/>
      <c r="D85" s="6"/>
      <c r="I85" s="67"/>
      <c r="M85" s="696"/>
      <c r="N85" s="6"/>
      <c r="O85" s="697"/>
    </row>
    <row r="86" spans="1:15" x14ac:dyDescent="0.25">
      <c r="A86" s="121"/>
      <c r="B86" s="6" t="s">
        <v>2226</v>
      </c>
      <c r="C86" s="17"/>
      <c r="D86" s="6"/>
      <c r="I86" s="67"/>
      <c r="M86" s="696"/>
      <c r="N86" s="6"/>
      <c r="O86" s="697"/>
    </row>
    <row r="87" spans="1:15" x14ac:dyDescent="0.25">
      <c r="A87" s="121"/>
      <c r="B87" s="6" t="s">
        <v>2227</v>
      </c>
      <c r="C87" s="695"/>
      <c r="D87" s="6"/>
      <c r="I87" s="67"/>
      <c r="M87" s="696"/>
      <c r="N87" s="6"/>
      <c r="O87" s="697"/>
    </row>
    <row r="88" spans="1:15" x14ac:dyDescent="0.25">
      <c r="A88" s="121"/>
      <c r="B88" s="6" t="s">
        <v>2228</v>
      </c>
      <c r="C88" s="695"/>
      <c r="D88" s="6"/>
      <c r="I88" s="67"/>
      <c r="M88" s="696"/>
      <c r="N88" s="6"/>
      <c r="O88" s="697"/>
    </row>
    <row r="89" spans="1:15" x14ac:dyDescent="0.25">
      <c r="A89" s="121"/>
      <c r="B89" s="6" t="s">
        <v>2229</v>
      </c>
      <c r="C89" s="696"/>
      <c r="D89" s="6"/>
      <c r="I89" s="67"/>
      <c r="M89" s="696"/>
      <c r="N89" s="6"/>
      <c r="O89" s="697"/>
    </row>
    <row r="90" spans="1:15" x14ac:dyDescent="0.25">
      <c r="A90" s="121"/>
      <c r="B90" s="6" t="s">
        <v>2230</v>
      </c>
      <c r="C90" s="696"/>
      <c r="D90" s="6"/>
      <c r="I90" s="67"/>
      <c r="M90" s="696"/>
      <c r="N90" s="6"/>
      <c r="O90" s="697"/>
    </row>
    <row r="91" spans="1:15" x14ac:dyDescent="0.25">
      <c r="A91" s="121"/>
      <c r="B91" s="6" t="s">
        <v>2231</v>
      </c>
      <c r="C91" s="696"/>
      <c r="D91" s="6"/>
      <c r="I91" s="67"/>
      <c r="M91" s="696"/>
      <c r="N91" s="6"/>
      <c r="O91" s="697"/>
    </row>
    <row r="92" spans="1:15" x14ac:dyDescent="0.25">
      <c r="A92" s="121"/>
      <c r="B92" s="6" t="s">
        <v>2232</v>
      </c>
      <c r="C92" s="696"/>
      <c r="D92" s="6"/>
      <c r="I92" s="67"/>
      <c r="M92" s="6"/>
      <c r="N92" s="6"/>
      <c r="O92" s="697"/>
    </row>
    <row r="93" spans="1:15" x14ac:dyDescent="0.25">
      <c r="A93" s="121"/>
      <c r="B93" s="6" t="s">
        <v>2233</v>
      </c>
      <c r="C93" s="696"/>
      <c r="D93" s="6"/>
      <c r="I93" s="67"/>
      <c r="M93" s="6"/>
      <c r="N93" s="6"/>
      <c r="O93" s="697"/>
    </row>
    <row r="94" spans="1:15" x14ac:dyDescent="0.25">
      <c r="A94" s="121"/>
      <c r="B94" s="6" t="s">
        <v>2234</v>
      </c>
      <c r="C94" s="696"/>
      <c r="D94" s="6"/>
      <c r="I94" s="67"/>
      <c r="M94" s="6"/>
      <c r="N94" s="6"/>
      <c r="O94" s="697"/>
    </row>
    <row r="95" spans="1:15" x14ac:dyDescent="0.25">
      <c r="A95" s="121"/>
      <c r="B95" s="6" t="s">
        <v>2235</v>
      </c>
      <c r="C95" s="696"/>
      <c r="I95" s="67"/>
      <c r="M95" s="6"/>
      <c r="N95" s="6"/>
      <c r="O95" s="697"/>
    </row>
    <row r="96" spans="1:15" x14ac:dyDescent="0.25">
      <c r="A96" s="121"/>
      <c r="B96" s="6" t="s">
        <v>2236</v>
      </c>
      <c r="C96" s="6"/>
      <c r="I96" s="67"/>
    </row>
    <row r="97" spans="1:9" x14ac:dyDescent="0.25">
      <c r="A97" s="121"/>
      <c r="B97" s="6" t="s">
        <v>2237</v>
      </c>
      <c r="C97" s="6"/>
      <c r="I97" s="67"/>
    </row>
    <row r="98" spans="1:9" x14ac:dyDescent="0.25">
      <c r="A98" s="121"/>
      <c r="B98" s="6" t="s">
        <v>2238</v>
      </c>
      <c r="C98" s="6"/>
      <c r="I98" s="67"/>
    </row>
    <row r="99" spans="1:9" x14ac:dyDescent="0.25">
      <c r="A99" s="121"/>
      <c r="B99" s="698"/>
      <c r="C99" s="6"/>
      <c r="I99" s="67"/>
    </row>
    <row r="100" spans="1:9" x14ac:dyDescent="0.25">
      <c r="A100" s="978" t="s">
        <v>1100</v>
      </c>
      <c r="B100" s="6" t="s">
        <v>2044</v>
      </c>
      <c r="C100" s="748"/>
      <c r="I100" s="67"/>
    </row>
    <row r="101" spans="1:9" x14ac:dyDescent="0.25">
      <c r="A101" s="121"/>
      <c r="B101" s="6" t="s">
        <v>2045</v>
      </c>
      <c r="C101" s="748"/>
      <c r="I101" s="67"/>
    </row>
    <row r="102" spans="1:9" x14ac:dyDescent="0.25">
      <c r="A102" s="121"/>
      <c r="B102" s="6" t="s">
        <v>3361</v>
      </c>
      <c r="C102" s="748"/>
      <c r="I102" s="67"/>
    </row>
    <row r="103" spans="1:9" x14ac:dyDescent="0.25">
      <c r="A103" s="121"/>
      <c r="B103" s="6" t="s">
        <v>2047</v>
      </c>
      <c r="C103" s="748"/>
      <c r="I103" s="67"/>
    </row>
    <row r="104" spans="1:9" x14ac:dyDescent="0.25">
      <c r="A104" s="121"/>
      <c r="B104" s="6" t="s">
        <v>2046</v>
      </c>
      <c r="C104" s="748"/>
      <c r="I104" s="67"/>
    </row>
    <row r="105" spans="1:9" x14ac:dyDescent="0.25">
      <c r="A105" s="121"/>
      <c r="B105" s="1351" t="s">
        <v>2063</v>
      </c>
      <c r="C105" s="748"/>
      <c r="I105" s="67"/>
    </row>
    <row r="106" spans="1:9" x14ac:dyDescent="0.25">
      <c r="A106" s="121"/>
      <c r="B106" s="6" t="s">
        <v>2048</v>
      </c>
      <c r="C106" s="748"/>
      <c r="I106" s="67"/>
    </row>
    <row r="107" spans="1:9" x14ac:dyDescent="0.25">
      <c r="A107" s="121"/>
      <c r="B107" s="6" t="s">
        <v>2049</v>
      </c>
      <c r="C107" s="748"/>
      <c r="I107" s="67"/>
    </row>
    <row r="108" spans="1:9" x14ac:dyDescent="0.25">
      <c r="A108" s="121"/>
      <c r="B108" s="6" t="s">
        <v>2050</v>
      </c>
      <c r="C108" s="748"/>
      <c r="I108" s="67"/>
    </row>
    <row r="109" spans="1:9" x14ac:dyDescent="0.25">
      <c r="A109" s="121"/>
      <c r="B109" s="6" t="s">
        <v>2051</v>
      </c>
      <c r="C109" s="748"/>
      <c r="I109" s="67"/>
    </row>
    <row r="110" spans="1:9" x14ac:dyDescent="0.25">
      <c r="A110" s="121"/>
      <c r="B110" s="6" t="s">
        <v>2053</v>
      </c>
      <c r="C110" s="748"/>
      <c r="I110" s="67"/>
    </row>
    <row r="111" spans="1:9" x14ac:dyDescent="0.25">
      <c r="A111" s="121"/>
      <c r="B111" s="6" t="s">
        <v>2052</v>
      </c>
      <c r="C111" s="748"/>
      <c r="I111" s="67"/>
    </row>
    <row r="112" spans="1:9" x14ac:dyDescent="0.25">
      <c r="A112" s="121"/>
      <c r="B112" s="6" t="s">
        <v>2054</v>
      </c>
      <c r="C112" s="6"/>
      <c r="I112" s="67"/>
    </row>
    <row r="113" spans="1:9" x14ac:dyDescent="0.25">
      <c r="A113" s="121"/>
      <c r="B113" s="6" t="s">
        <v>2061</v>
      </c>
      <c r="C113" s="6"/>
      <c r="I113" s="67"/>
    </row>
    <row r="114" spans="1:9" x14ac:dyDescent="0.25">
      <c r="A114" s="121"/>
      <c r="B114" s="6" t="s">
        <v>2057</v>
      </c>
      <c r="C114" s="6"/>
      <c r="I114" s="67"/>
    </row>
    <row r="115" spans="1:9" x14ac:dyDescent="0.25">
      <c r="A115" s="121"/>
      <c r="B115" s="6" t="s">
        <v>2058</v>
      </c>
      <c r="C115" s="6"/>
      <c r="I115" s="67"/>
    </row>
    <row r="116" spans="1:9" x14ac:dyDescent="0.25">
      <c r="A116" s="121"/>
      <c r="B116" s="6" t="s">
        <v>2059</v>
      </c>
      <c r="C116" s="6"/>
      <c r="I116" s="67"/>
    </row>
    <row r="117" spans="1:9" x14ac:dyDescent="0.25">
      <c r="A117" s="121"/>
      <c r="B117" s="6" t="s">
        <v>2060</v>
      </c>
      <c r="C117" s="6"/>
      <c r="I117" s="67"/>
    </row>
    <row r="118" spans="1:9" x14ac:dyDescent="0.25">
      <c r="A118" s="121"/>
      <c r="B118" s="754"/>
      <c r="C118" s="6"/>
      <c r="I118" s="67"/>
    </row>
    <row r="119" spans="1:9" x14ac:dyDescent="0.25">
      <c r="A119" s="978" t="s">
        <v>1099</v>
      </c>
      <c r="B119" s="92" t="s">
        <v>117</v>
      </c>
      <c r="C119" s="748"/>
      <c r="D119" s="122"/>
      <c r="E119" s="66"/>
      <c r="F119" s="67"/>
      <c r="G119" s="67"/>
      <c r="H119" s="67"/>
      <c r="I119" s="67"/>
    </row>
    <row r="120" spans="1:9" x14ac:dyDescent="0.25">
      <c r="A120" s="121"/>
      <c r="B120" s="92" t="s">
        <v>78</v>
      </c>
      <c r="C120" s="748"/>
      <c r="D120" s="122"/>
      <c r="E120" s="66"/>
      <c r="F120" s="67"/>
      <c r="G120" s="67"/>
      <c r="H120" s="67"/>
      <c r="I120" s="67"/>
    </row>
    <row r="121" spans="1:9" x14ac:dyDescent="0.25">
      <c r="A121" s="1317"/>
      <c r="B121" s="64" t="s">
        <v>75</v>
      </c>
      <c r="C121" s="748"/>
      <c r="D121" s="122"/>
      <c r="E121" s="66"/>
      <c r="F121" s="67"/>
      <c r="G121" s="67"/>
      <c r="H121" s="67"/>
      <c r="I121" s="67"/>
    </row>
    <row r="122" spans="1:9" x14ac:dyDescent="0.25">
      <c r="A122" s="1317"/>
      <c r="B122" s="1296" t="s">
        <v>1172</v>
      </c>
      <c r="C122" s="748"/>
      <c r="D122" s="122"/>
      <c r="E122" s="66"/>
      <c r="F122" s="67"/>
      <c r="G122" s="67"/>
      <c r="H122" s="67"/>
      <c r="I122" s="67"/>
    </row>
    <row r="123" spans="1:9" x14ac:dyDescent="0.25">
      <c r="A123" s="1317"/>
      <c r="B123" s="64" t="s">
        <v>421</v>
      </c>
      <c r="C123" s="748"/>
      <c r="D123" s="122"/>
      <c r="E123" s="66"/>
      <c r="F123" s="67"/>
      <c r="G123" s="67"/>
      <c r="H123" s="67"/>
      <c r="I123" s="67"/>
    </row>
    <row r="124" spans="1:9" x14ac:dyDescent="0.25">
      <c r="A124" s="1317"/>
      <c r="B124" s="755" t="s">
        <v>83</v>
      </c>
      <c r="C124" s="66"/>
      <c r="D124" s="66"/>
      <c r="E124" s="66"/>
      <c r="F124" s="67"/>
      <c r="G124" s="67"/>
      <c r="H124" s="67"/>
      <c r="I124" s="67"/>
    </row>
    <row r="125" spans="1:9" x14ac:dyDescent="0.25">
      <c r="A125" s="1317"/>
      <c r="B125" s="755" t="s">
        <v>84</v>
      </c>
      <c r="C125" s="66"/>
      <c r="D125" s="66"/>
      <c r="E125" s="66"/>
      <c r="F125" s="67"/>
      <c r="G125" s="67"/>
      <c r="H125" s="67"/>
      <c r="I125" s="67"/>
    </row>
    <row r="126" spans="1:9" x14ac:dyDescent="0.25">
      <c r="A126" s="1317"/>
      <c r="B126" s="1296" t="s">
        <v>1213</v>
      </c>
      <c r="C126" s="66"/>
      <c r="D126" s="66"/>
      <c r="E126" s="66"/>
      <c r="F126" s="67"/>
      <c r="G126" s="67"/>
      <c r="H126" s="67"/>
      <c r="I126" s="67"/>
    </row>
    <row r="127" spans="1:9" x14ac:dyDescent="0.25">
      <c r="A127" s="1317"/>
      <c r="B127" s="64" t="s">
        <v>85</v>
      </c>
      <c r="C127" s="66"/>
      <c r="D127" s="66"/>
      <c r="E127" s="66"/>
      <c r="F127" s="67"/>
      <c r="G127" s="67"/>
      <c r="H127" s="67"/>
      <c r="I127" s="67"/>
    </row>
    <row r="128" spans="1:9" x14ac:dyDescent="0.25">
      <c r="A128" s="1317"/>
      <c r="B128" s="64" t="s">
        <v>605</v>
      </c>
      <c r="C128" s="66"/>
      <c r="D128" s="66"/>
      <c r="E128" s="66"/>
      <c r="F128" s="67"/>
      <c r="G128" s="67"/>
      <c r="H128" s="67"/>
      <c r="I128" s="67"/>
    </row>
    <row r="129" spans="1:11" x14ac:dyDescent="0.25">
      <c r="A129" s="1317"/>
      <c r="B129" s="1296" t="s">
        <v>1837</v>
      </c>
      <c r="C129" s="66"/>
      <c r="D129" s="66"/>
      <c r="E129" s="66"/>
      <c r="F129" s="67"/>
      <c r="G129" s="67"/>
      <c r="H129" s="67"/>
      <c r="I129" s="67"/>
    </row>
    <row r="130" spans="1:11" x14ac:dyDescent="0.25">
      <c r="A130" s="1317"/>
      <c r="B130" s="64" t="s">
        <v>313</v>
      </c>
      <c r="C130" s="6"/>
      <c r="D130" s="6"/>
      <c r="E130" s="66"/>
      <c r="F130" s="67"/>
      <c r="G130" s="67"/>
      <c r="H130" s="67"/>
      <c r="I130" s="67"/>
    </row>
    <row r="131" spans="1:11" x14ac:dyDescent="0.25">
      <c r="A131" s="1317"/>
      <c r="B131" s="64" t="s">
        <v>271</v>
      </c>
      <c r="C131" s="6"/>
      <c r="D131" s="6"/>
      <c r="E131" s="66"/>
      <c r="F131" s="67"/>
      <c r="G131" s="67"/>
      <c r="H131" s="67"/>
      <c r="I131" s="67"/>
    </row>
    <row r="132" spans="1:11" x14ac:dyDescent="0.25">
      <c r="A132" s="1317"/>
      <c r="B132" s="1296" t="s">
        <v>2914</v>
      </c>
      <c r="C132" s="6"/>
      <c r="D132" s="6"/>
      <c r="E132" s="66"/>
      <c r="F132" s="67"/>
      <c r="G132" s="67"/>
      <c r="H132" s="67"/>
      <c r="I132" s="67"/>
      <c r="J132" s="1296"/>
    </row>
    <row r="133" spans="1:11" x14ac:dyDescent="0.25">
      <c r="A133" s="1317"/>
      <c r="B133" s="1296" t="s">
        <v>2281</v>
      </c>
      <c r="C133" s="6"/>
      <c r="D133" s="6"/>
      <c r="E133" s="67"/>
      <c r="F133" s="67"/>
      <c r="G133" s="67"/>
      <c r="H133" s="67"/>
      <c r="I133" s="67"/>
      <c r="J133" s="1296"/>
    </row>
    <row r="134" spans="1:11" x14ac:dyDescent="0.25">
      <c r="A134" s="1317"/>
      <c r="B134" s="1296"/>
      <c r="C134" s="6"/>
      <c r="D134" s="6"/>
      <c r="E134" s="67"/>
      <c r="F134" s="67"/>
      <c r="G134" s="67"/>
      <c r="H134" s="67"/>
      <c r="I134" s="67"/>
      <c r="J134" s="1296"/>
    </row>
    <row r="135" spans="1:11" ht="18.75" x14ac:dyDescent="0.3">
      <c r="A135" s="978" t="s">
        <v>1098</v>
      </c>
      <c r="B135" s="164" t="s">
        <v>259</v>
      </c>
      <c r="C135" s="714"/>
      <c r="D135" s="66"/>
      <c r="E135" s="66"/>
      <c r="F135" s="66"/>
      <c r="G135" s="66"/>
      <c r="H135" s="67"/>
      <c r="I135" s="67"/>
      <c r="J135" s="1296"/>
    </row>
    <row r="136" spans="1:11" ht="18.75" x14ac:dyDescent="0.3">
      <c r="A136" s="1317"/>
      <c r="B136" s="92" t="s">
        <v>523</v>
      </c>
      <c r="C136" s="714"/>
      <c r="D136" s="66"/>
      <c r="E136" s="66"/>
      <c r="F136" s="66"/>
      <c r="G136" s="66"/>
      <c r="H136" s="67"/>
      <c r="I136" s="67"/>
      <c r="K136" s="215"/>
    </row>
    <row r="137" spans="1:11" ht="18.75" x14ac:dyDescent="0.3">
      <c r="A137" s="121"/>
      <c r="B137" s="92" t="s">
        <v>276</v>
      </c>
      <c r="C137" s="714"/>
      <c r="D137" s="66"/>
      <c r="E137" s="66"/>
      <c r="F137" s="66"/>
      <c r="G137" s="66"/>
      <c r="H137" s="67"/>
      <c r="I137" s="67"/>
    </row>
    <row r="138" spans="1:11" ht="18.75" x14ac:dyDescent="0.3">
      <c r="A138" s="121"/>
      <c r="B138" s="1366" t="s">
        <v>1198</v>
      </c>
      <c r="C138" s="714"/>
      <c r="D138" s="66"/>
      <c r="E138" s="66"/>
      <c r="F138" s="66"/>
      <c r="G138" s="66"/>
      <c r="H138" s="67"/>
      <c r="I138" s="67"/>
    </row>
    <row r="139" spans="1:11" ht="18.75" x14ac:dyDescent="0.3">
      <c r="A139" s="121"/>
      <c r="B139" s="1296" t="s">
        <v>1508</v>
      </c>
      <c r="C139" s="714"/>
      <c r="D139" s="66"/>
      <c r="E139" s="66"/>
      <c r="F139" s="66"/>
      <c r="G139" s="66"/>
      <c r="H139" s="67"/>
      <c r="I139" s="67"/>
    </row>
    <row r="140" spans="1:11" ht="18.75" x14ac:dyDescent="0.3">
      <c r="A140" s="121"/>
      <c r="B140" s="1296" t="s">
        <v>1509</v>
      </c>
      <c r="C140" s="714"/>
      <c r="D140" s="66"/>
      <c r="E140" s="66"/>
      <c r="F140" s="66"/>
      <c r="G140" s="66"/>
      <c r="H140" s="67"/>
      <c r="I140" s="67"/>
    </row>
    <row r="141" spans="1:11" ht="18.75" x14ac:dyDescent="0.3">
      <c r="A141" s="121"/>
      <c r="B141" s="1296" t="s">
        <v>1529</v>
      </c>
      <c r="C141" s="714"/>
      <c r="D141" s="66"/>
      <c r="E141" s="66"/>
      <c r="F141" s="66"/>
      <c r="G141" s="66"/>
      <c r="H141" s="67"/>
      <c r="I141" s="67"/>
    </row>
    <row r="142" spans="1:11" ht="18.75" x14ac:dyDescent="0.3">
      <c r="A142" s="121"/>
      <c r="B142" s="1296" t="s">
        <v>1530</v>
      </c>
      <c r="C142" s="714"/>
      <c r="D142" s="66"/>
      <c r="E142" s="66"/>
      <c r="F142" s="66"/>
      <c r="G142" s="66"/>
      <c r="H142" s="67"/>
      <c r="I142" s="67"/>
    </row>
    <row r="143" spans="1:11" ht="18.75" x14ac:dyDescent="0.3">
      <c r="A143" s="121"/>
      <c r="B143" s="1296" t="s">
        <v>1526</v>
      </c>
      <c r="C143" s="714"/>
      <c r="D143" s="66"/>
      <c r="E143" s="66"/>
      <c r="F143" s="66"/>
      <c r="G143" s="66"/>
      <c r="H143" s="67"/>
      <c r="I143" s="67"/>
    </row>
    <row r="144" spans="1:11" ht="18.75" x14ac:dyDescent="0.3">
      <c r="A144" s="121"/>
      <c r="B144" s="1296" t="s">
        <v>1523</v>
      </c>
      <c r="C144" s="714"/>
      <c r="D144" s="66"/>
      <c r="E144" s="66"/>
      <c r="F144" s="66"/>
      <c r="G144" s="66"/>
      <c r="H144" s="67"/>
      <c r="I144" s="67"/>
    </row>
    <row r="145" spans="1:9" ht="18.75" x14ac:dyDescent="0.3">
      <c r="A145" s="121"/>
      <c r="B145" s="1366" t="s">
        <v>1532</v>
      </c>
      <c r="C145" s="714"/>
      <c r="D145" s="66"/>
      <c r="E145" s="66"/>
      <c r="F145" s="66"/>
      <c r="G145" s="66"/>
      <c r="H145" s="67"/>
      <c r="I145" s="67"/>
    </row>
    <row r="146" spans="1:9" ht="18.75" x14ac:dyDescent="0.3">
      <c r="A146" s="121"/>
      <c r="B146" s="6"/>
      <c r="C146" s="714"/>
      <c r="D146" s="66"/>
      <c r="E146" s="66"/>
      <c r="F146" s="66"/>
      <c r="G146" s="66"/>
      <c r="H146" s="67"/>
      <c r="I146" s="67"/>
    </row>
    <row r="147" spans="1:9" x14ac:dyDescent="0.25">
      <c r="A147" s="121"/>
      <c r="B147" s="101"/>
      <c r="C147" s="90"/>
      <c r="D147" s="67"/>
      <c r="E147" s="67"/>
      <c r="F147" s="67"/>
      <c r="G147" s="67"/>
      <c r="H147" s="67"/>
      <c r="I147" s="67"/>
    </row>
    <row r="148" spans="1:9" ht="18.75" x14ac:dyDescent="0.3">
      <c r="A148" s="94" t="s">
        <v>1025</v>
      </c>
      <c r="C148" s="67"/>
      <c r="D148" s="67"/>
      <c r="E148" s="67"/>
      <c r="F148" s="63"/>
      <c r="G148" s="67"/>
      <c r="H148" s="67"/>
      <c r="I148" s="67"/>
    </row>
    <row r="149" spans="1:9" x14ac:dyDescent="0.25">
      <c r="A149" s="1317" t="s">
        <v>3164</v>
      </c>
      <c r="C149" s="67"/>
      <c r="D149" s="67"/>
      <c r="E149" s="67"/>
      <c r="F149" s="63"/>
      <c r="G149" s="67"/>
      <c r="H149" s="67"/>
      <c r="I149" s="67"/>
    </row>
    <row r="150" spans="1:9" x14ac:dyDescent="0.25">
      <c r="A150" s="828"/>
      <c r="C150" s="67"/>
      <c r="D150" s="67"/>
      <c r="E150" s="67"/>
      <c r="F150" s="63"/>
      <c r="G150" s="67"/>
      <c r="H150" s="67"/>
      <c r="I150" s="67"/>
    </row>
    <row r="151" spans="1:9" x14ac:dyDescent="0.25">
      <c r="A151" s="1375" t="s">
        <v>2915</v>
      </c>
      <c r="C151" s="67"/>
      <c r="D151" s="67"/>
      <c r="E151" s="67"/>
      <c r="F151" s="63"/>
      <c r="G151" s="67"/>
      <c r="H151" s="67"/>
      <c r="I151" s="67"/>
    </row>
    <row r="152" spans="1:9" x14ac:dyDescent="0.25">
      <c r="A152" s="978" t="s">
        <v>1106</v>
      </c>
      <c r="B152" s="1296" t="s">
        <v>888</v>
      </c>
      <c r="C152" s="67"/>
      <c r="D152" s="67"/>
      <c r="E152" s="67"/>
      <c r="F152" s="63"/>
      <c r="G152" s="67"/>
      <c r="H152" s="67"/>
      <c r="I152" s="67"/>
    </row>
    <row r="153" spans="1:9" x14ac:dyDescent="0.25">
      <c r="A153" s="978" t="s">
        <v>1101</v>
      </c>
      <c r="B153" s="1366" t="s">
        <v>925</v>
      </c>
      <c r="C153" s="67"/>
      <c r="D153" s="67"/>
      <c r="E153" s="67"/>
      <c r="F153" s="63"/>
      <c r="G153" s="67"/>
      <c r="H153" s="67"/>
      <c r="I153" s="67"/>
    </row>
    <row r="154" spans="1:9" x14ac:dyDescent="0.25">
      <c r="A154" s="828"/>
      <c r="B154" s="92"/>
      <c r="C154" s="67"/>
      <c r="D154" s="67"/>
      <c r="E154" s="67"/>
      <c r="F154" s="63"/>
      <c r="G154" s="67"/>
      <c r="H154" s="67"/>
      <c r="I154" s="67"/>
    </row>
    <row r="155" spans="1:9" x14ac:dyDescent="0.25">
      <c r="A155" s="828"/>
      <c r="B155" s="92"/>
      <c r="C155" s="67"/>
      <c r="D155" s="67"/>
      <c r="E155" s="67"/>
      <c r="F155" s="63"/>
      <c r="G155" s="67"/>
      <c r="H155" s="67"/>
      <c r="I155" s="67"/>
    </row>
    <row r="156" spans="1:9" ht="18.75" x14ac:dyDescent="0.3">
      <c r="A156" s="1078" t="s">
        <v>123</v>
      </c>
      <c r="B156" s="92"/>
      <c r="C156" s="67"/>
      <c r="D156" s="67"/>
      <c r="E156" s="67"/>
      <c r="F156" s="63"/>
      <c r="G156" s="67"/>
      <c r="H156" s="67"/>
      <c r="I156" s="67"/>
    </row>
    <row r="157" spans="1:9" ht="18.75" x14ac:dyDescent="0.3">
      <c r="A157" s="230" t="s">
        <v>124</v>
      </c>
      <c r="C157" s="67"/>
      <c r="D157" s="67"/>
      <c r="E157" s="67"/>
      <c r="F157" s="63" t="s">
        <v>3165</v>
      </c>
      <c r="G157" s="67"/>
      <c r="H157" s="67"/>
      <c r="I157" s="67"/>
    </row>
    <row r="158" spans="1:9" x14ac:dyDescent="0.25">
      <c r="A158" s="1375" t="s">
        <v>927</v>
      </c>
      <c r="B158" s="212"/>
      <c r="C158" s="67"/>
      <c r="D158" s="67"/>
      <c r="E158" s="67"/>
      <c r="F158" s="63"/>
      <c r="G158" s="67"/>
      <c r="H158" s="67"/>
      <c r="I158" s="67"/>
    </row>
    <row r="159" spans="1:9" x14ac:dyDescent="0.25">
      <c r="A159" s="978" t="s">
        <v>1097</v>
      </c>
      <c r="B159" s="92" t="s">
        <v>1190</v>
      </c>
      <c r="C159" s="67"/>
      <c r="D159" s="67"/>
      <c r="E159" s="67"/>
      <c r="F159" s="63"/>
      <c r="G159" s="67"/>
      <c r="H159" s="67"/>
      <c r="I159" s="67"/>
    </row>
    <row r="160" spans="1:9" x14ac:dyDescent="0.25">
      <c r="A160" s="885"/>
      <c r="B160" s="64" t="s">
        <v>279</v>
      </c>
      <c r="C160" s="67"/>
      <c r="D160" s="67"/>
      <c r="E160" s="67"/>
      <c r="F160" s="63"/>
      <c r="G160" s="67"/>
      <c r="H160" s="67"/>
      <c r="I160" s="67"/>
    </row>
    <row r="161" spans="1:9" x14ac:dyDescent="0.25">
      <c r="A161" s="885"/>
      <c r="B161" s="93" t="s">
        <v>125</v>
      </c>
      <c r="C161" s="67"/>
      <c r="D161" s="67"/>
      <c r="E161" s="67"/>
      <c r="F161" s="63"/>
      <c r="G161" s="67"/>
      <c r="H161" s="67"/>
      <c r="I161" s="67"/>
    </row>
    <row r="162" spans="1:9" ht="15.75" x14ac:dyDescent="0.25">
      <c r="A162" s="461"/>
      <c r="B162" s="93"/>
      <c r="C162" s="67"/>
      <c r="D162" s="67"/>
      <c r="E162" s="67"/>
      <c r="F162" s="63"/>
      <c r="G162" s="67"/>
      <c r="H162" s="67"/>
      <c r="I162" s="67"/>
    </row>
    <row r="163" spans="1:9" x14ac:dyDescent="0.25">
      <c r="A163" s="67"/>
      <c r="B163" s="93"/>
      <c r="C163" s="67"/>
      <c r="D163" s="67"/>
      <c r="E163" s="67"/>
      <c r="F163" s="63"/>
      <c r="G163" s="67"/>
      <c r="H163" s="67"/>
      <c r="I163" s="67"/>
    </row>
    <row r="164" spans="1:9" ht="18.75" x14ac:dyDescent="0.3">
      <c r="A164" s="94" t="s">
        <v>726</v>
      </c>
      <c r="B164" s="95"/>
      <c r="C164" s="96"/>
      <c r="D164" s="67"/>
      <c r="E164" s="119"/>
      <c r="F164" s="63"/>
      <c r="G164" s="67"/>
      <c r="H164" s="67"/>
      <c r="I164" s="67"/>
    </row>
    <row r="165" spans="1:9" ht="15.75" x14ac:dyDescent="0.25">
      <c r="A165" s="1317" t="s">
        <v>921</v>
      </c>
      <c r="B165" s="95"/>
      <c r="C165" s="96"/>
      <c r="D165" s="67"/>
      <c r="E165" s="119"/>
      <c r="F165" s="63"/>
      <c r="G165" s="67"/>
      <c r="H165" s="67"/>
      <c r="I165" s="67"/>
    </row>
    <row r="166" spans="1:9" ht="15.75" x14ac:dyDescent="0.25">
      <c r="A166" s="1317" t="s">
        <v>3166</v>
      </c>
      <c r="B166" s="95"/>
      <c r="C166" s="96"/>
      <c r="D166" s="67"/>
      <c r="E166" s="119"/>
      <c r="F166" s="63"/>
      <c r="G166" s="67"/>
      <c r="H166" s="67"/>
      <c r="I166" s="67"/>
    </row>
    <row r="167" spans="1:9" ht="15.75" x14ac:dyDescent="0.25">
      <c r="A167" s="1317" t="s">
        <v>3167</v>
      </c>
      <c r="B167" s="95"/>
      <c r="C167" s="96"/>
      <c r="D167" s="67"/>
      <c r="E167" s="119"/>
      <c r="F167" s="63"/>
      <c r="G167" s="67"/>
      <c r="H167" s="67"/>
      <c r="I167" s="67"/>
    </row>
    <row r="168" spans="1:9" ht="15.75" x14ac:dyDescent="0.25">
      <c r="A168" s="91"/>
      <c r="B168" s="95"/>
      <c r="C168" s="96"/>
      <c r="D168" s="67"/>
      <c r="E168" s="119"/>
      <c r="F168" s="63"/>
      <c r="G168" s="67"/>
      <c r="H168" s="67"/>
      <c r="I168" s="67"/>
    </row>
    <row r="169" spans="1:9" ht="15.75" x14ac:dyDescent="0.25">
      <c r="A169" s="1375" t="s">
        <v>926</v>
      </c>
      <c r="B169" s="95"/>
      <c r="C169" s="96"/>
      <c r="D169" s="67"/>
      <c r="E169" s="119"/>
      <c r="F169" s="63" t="s">
        <v>3168</v>
      </c>
      <c r="G169" s="67"/>
      <c r="H169" s="67"/>
      <c r="I169" s="67"/>
    </row>
    <row r="170" spans="1:9" ht="18.75" x14ac:dyDescent="0.3">
      <c r="A170" s="1025" t="s">
        <v>870</v>
      </c>
      <c r="B170" s="1351" t="s">
        <v>920</v>
      </c>
      <c r="C170" s="714"/>
      <c r="D170" s="66"/>
      <c r="E170" s="66"/>
      <c r="F170" s="66"/>
      <c r="G170" s="66"/>
      <c r="H170" s="67"/>
      <c r="I170" s="67"/>
    </row>
    <row r="171" spans="1:9" ht="18.75" x14ac:dyDescent="0.3">
      <c r="A171" s="1025"/>
      <c r="B171" s="1351"/>
      <c r="C171" s="714"/>
      <c r="D171" s="66"/>
      <c r="E171" s="66"/>
      <c r="F171" s="66"/>
      <c r="G171" s="66"/>
      <c r="H171" s="67"/>
      <c r="I171" s="67"/>
    </row>
    <row r="172" spans="1:9" ht="15.75" x14ac:dyDescent="0.25">
      <c r="A172" s="977" t="s">
        <v>400</v>
      </c>
      <c r="B172" s="1296" t="s">
        <v>2402</v>
      </c>
      <c r="C172" s="96"/>
      <c r="D172" s="67"/>
      <c r="E172" s="119"/>
      <c r="F172" s="63"/>
      <c r="H172" s="67"/>
      <c r="I172" s="67"/>
    </row>
    <row r="173" spans="1:9" x14ac:dyDescent="0.25">
      <c r="B173" t="s">
        <v>2091</v>
      </c>
      <c r="D173" s="67"/>
      <c r="E173" s="67"/>
      <c r="F173" s="63"/>
      <c r="G173" s="67"/>
      <c r="H173" s="67"/>
      <c r="I173" s="67"/>
    </row>
    <row r="174" spans="1:9" x14ac:dyDescent="0.25">
      <c r="A174" s="977"/>
      <c r="B174" s="1296" t="s">
        <v>2092</v>
      </c>
      <c r="D174" s="67"/>
      <c r="E174" s="67"/>
      <c r="F174" s="63"/>
      <c r="G174" s="67"/>
      <c r="H174" s="67"/>
      <c r="I174" s="67"/>
    </row>
    <row r="175" spans="1:9" x14ac:dyDescent="0.25">
      <c r="A175" s="885"/>
      <c r="B175" s="6" t="s">
        <v>1611</v>
      </c>
    </row>
    <row r="176" spans="1:9" x14ac:dyDescent="0.25">
      <c r="A176" s="1"/>
      <c r="B176" s="6" t="s">
        <v>1612</v>
      </c>
    </row>
    <row r="177" spans="1:2" x14ac:dyDescent="0.25">
      <c r="A177" s="1"/>
      <c r="B177" s="6" t="s">
        <v>1613</v>
      </c>
    </row>
    <row r="178" spans="1:2" x14ac:dyDescent="0.25">
      <c r="A178" s="1"/>
      <c r="B178" s="64" t="s">
        <v>434</v>
      </c>
    </row>
    <row r="179" spans="1:2" x14ac:dyDescent="0.25">
      <c r="A179" s="1"/>
      <c r="B179" s="6" t="s">
        <v>1610</v>
      </c>
    </row>
    <row r="180" spans="1:2" x14ac:dyDescent="0.25">
      <c r="A180" s="1"/>
      <c r="B180" s="64" t="s">
        <v>609</v>
      </c>
    </row>
    <row r="181" spans="1:2" x14ac:dyDescent="0.25">
      <c r="A181" s="1"/>
      <c r="B181" s="6" t="s">
        <v>1609</v>
      </c>
    </row>
    <row r="182" spans="1:2" x14ac:dyDescent="0.25">
      <c r="A182" s="1"/>
      <c r="B182" s="64" t="s">
        <v>1</v>
      </c>
    </row>
    <row r="183" spans="1:2" x14ac:dyDescent="0.25">
      <c r="A183" s="1"/>
      <c r="B183" s="1296" t="s">
        <v>1608</v>
      </c>
    </row>
    <row r="184" spans="1:2" x14ac:dyDescent="0.25">
      <c r="A184" s="1"/>
      <c r="B184" s="1296" t="s">
        <v>1607</v>
      </c>
    </row>
    <row r="185" spans="1:2" x14ac:dyDescent="0.25">
      <c r="A185" s="1"/>
      <c r="B185" s="1296" t="s">
        <v>3574</v>
      </c>
    </row>
    <row r="186" spans="1:2" x14ac:dyDescent="0.25">
      <c r="A186" s="1"/>
      <c r="B186" s="1296" t="s">
        <v>1604</v>
      </c>
    </row>
    <row r="187" spans="1:2" x14ac:dyDescent="0.25">
      <c r="A187" s="1"/>
      <c r="B187" s="1296" t="s">
        <v>1605</v>
      </c>
    </row>
    <row r="188" spans="1:2" x14ac:dyDescent="0.25">
      <c r="A188" s="1"/>
      <c r="B188" s="1296" t="s">
        <v>1606</v>
      </c>
    </row>
    <row r="189" spans="1:2" x14ac:dyDescent="0.25">
      <c r="A189" s="1"/>
      <c r="B189" s="64" t="s">
        <v>610</v>
      </c>
    </row>
    <row r="190" spans="1:2" x14ac:dyDescent="0.25">
      <c r="A190" s="1"/>
      <c r="B190" s="1296" t="s">
        <v>1602</v>
      </c>
    </row>
    <row r="191" spans="1:2" x14ac:dyDescent="0.25">
      <c r="A191" s="1"/>
      <c r="B191" s="1296" t="s">
        <v>1603</v>
      </c>
    </row>
    <row r="192" spans="1:2" x14ac:dyDescent="0.25">
      <c r="A192" s="1"/>
      <c r="B192" s="6" t="s">
        <v>2486</v>
      </c>
    </row>
    <row r="193" spans="1:3" x14ac:dyDescent="0.25">
      <c r="A193" s="1"/>
      <c r="B193" s="3245" t="s">
        <v>2487</v>
      </c>
    </row>
    <row r="194" spans="1:3" x14ac:dyDescent="0.25">
      <c r="A194" s="1"/>
      <c r="B194" s="3245" t="s">
        <v>2488</v>
      </c>
    </row>
    <row r="195" spans="1:3" x14ac:dyDescent="0.25">
      <c r="A195" s="1"/>
      <c r="B195" s="1351" t="s">
        <v>2485</v>
      </c>
    </row>
    <row r="196" spans="1:3" x14ac:dyDescent="0.25">
      <c r="A196" s="1"/>
      <c r="B196" s="64" t="s">
        <v>7</v>
      </c>
    </row>
    <row r="197" spans="1:3" x14ac:dyDescent="0.25">
      <c r="A197" s="1"/>
      <c r="B197" s="6" t="s">
        <v>1622</v>
      </c>
    </row>
    <row r="198" spans="1:3" x14ac:dyDescent="0.25">
      <c r="A198" s="1"/>
      <c r="B198" s="64" t="s">
        <v>127</v>
      </c>
    </row>
    <row r="199" spans="1:3" x14ac:dyDescent="0.25">
      <c r="A199" s="1"/>
      <c r="B199" s="1317" t="s">
        <v>1626</v>
      </c>
    </row>
    <row r="200" spans="1:3" x14ac:dyDescent="0.25">
      <c r="A200" s="1"/>
      <c r="B200" s="6" t="s">
        <v>0</v>
      </c>
    </row>
    <row r="201" spans="1:3" x14ac:dyDescent="0.25">
      <c r="A201" s="1"/>
      <c r="B201" s="64" t="s">
        <v>8</v>
      </c>
    </row>
    <row r="202" spans="1:3" x14ac:dyDescent="0.25">
      <c r="A202" s="1"/>
      <c r="B202" s="1296" t="s">
        <v>128</v>
      </c>
    </row>
    <row r="203" spans="1:3" s="1141" customFormat="1" x14ac:dyDescent="0.25">
      <c r="A203" s="1139"/>
      <c r="B203" s="165"/>
      <c r="C203" s="1140"/>
    </row>
    <row r="204" spans="1:3" x14ac:dyDescent="0.25">
      <c r="A204" s="1351" t="s">
        <v>3169</v>
      </c>
      <c r="C204" s="9"/>
    </row>
    <row r="205" spans="1:3" x14ac:dyDescent="0.25">
      <c r="A205" s="93"/>
      <c r="B205" t="s">
        <v>923</v>
      </c>
      <c r="C205" s="9"/>
    </row>
    <row r="206" spans="1:3" x14ac:dyDescent="0.25">
      <c r="A206" s="93"/>
      <c r="B206" t="s">
        <v>922</v>
      </c>
      <c r="C206" s="9"/>
    </row>
    <row r="207" spans="1:3" x14ac:dyDescent="0.25">
      <c r="A207" s="93"/>
      <c r="B207" t="s">
        <v>924</v>
      </c>
      <c r="C207" s="9"/>
    </row>
    <row r="208" spans="1:3" x14ac:dyDescent="0.25">
      <c r="A208" s="93"/>
      <c r="B208" s="1351" t="s">
        <v>2393</v>
      </c>
      <c r="C208" s="9"/>
    </row>
    <row r="209" spans="1:3" x14ac:dyDescent="0.25">
      <c r="A209" s="93"/>
      <c r="B209" s="1351"/>
      <c r="C209" s="9"/>
    </row>
    <row r="210" spans="1:3" ht="18.75" x14ac:dyDescent="0.3">
      <c r="A210" s="94" t="s">
        <v>1026</v>
      </c>
      <c r="B210" s="1351"/>
      <c r="C210" s="9"/>
    </row>
    <row r="211" spans="1:3" x14ac:dyDescent="0.25">
      <c r="A211" s="978" t="s">
        <v>326</v>
      </c>
      <c r="B211" s="1351" t="s">
        <v>966</v>
      </c>
      <c r="C211" s="9"/>
    </row>
    <row r="212" spans="1:3" x14ac:dyDescent="0.25">
      <c r="A212" s="121"/>
      <c r="B212" s="6" t="s">
        <v>1698</v>
      </c>
      <c r="C212" s="9"/>
    </row>
    <row r="213" spans="1:3" x14ac:dyDescent="0.25">
      <c r="A213" s="121"/>
      <c r="B213" s="6" t="s">
        <v>3111</v>
      </c>
      <c r="C213" s="9"/>
    </row>
    <row r="214" spans="1:3" x14ac:dyDescent="0.25">
      <c r="A214" s="121"/>
      <c r="B214" s="6" t="s">
        <v>3504</v>
      </c>
      <c r="C214" s="9"/>
    </row>
    <row r="215" spans="1:3" x14ac:dyDescent="0.25">
      <c r="A215" s="121"/>
      <c r="B215" s="6" t="s">
        <v>974</v>
      </c>
      <c r="C215" s="9"/>
    </row>
    <row r="216" spans="1:3" x14ac:dyDescent="0.25">
      <c r="A216" s="121"/>
      <c r="B216" s="6" t="s">
        <v>3085</v>
      </c>
      <c r="C216" s="9"/>
    </row>
    <row r="217" spans="1:3" x14ac:dyDescent="0.25">
      <c r="A217" s="121"/>
      <c r="B217" s="1296" t="s">
        <v>3087</v>
      </c>
      <c r="C217" s="9"/>
    </row>
    <row r="218" spans="1:3" x14ac:dyDescent="0.25">
      <c r="A218" s="121"/>
      <c r="B218" s="1296" t="s">
        <v>3088</v>
      </c>
      <c r="C218" s="9"/>
    </row>
    <row r="219" spans="1:3" x14ac:dyDescent="0.25">
      <c r="A219" s="121"/>
      <c r="B219" s="6" t="s">
        <v>3089</v>
      </c>
      <c r="C219" s="9"/>
    </row>
    <row r="220" spans="1:3" x14ac:dyDescent="0.25">
      <c r="A220" s="121"/>
      <c r="B220" s="6" t="s">
        <v>177</v>
      </c>
      <c r="C220" s="9"/>
    </row>
    <row r="221" spans="1:3" x14ac:dyDescent="0.25">
      <c r="A221" s="121"/>
      <c r="B221" s="6" t="s">
        <v>3128</v>
      </c>
      <c r="C221" s="9"/>
    </row>
    <row r="222" spans="1:3" x14ac:dyDescent="0.25">
      <c r="A222" s="121"/>
      <c r="B222" s="1296" t="s">
        <v>3129</v>
      </c>
      <c r="C222" s="9"/>
    </row>
    <row r="223" spans="1:3" x14ac:dyDescent="0.25">
      <c r="A223" s="1155"/>
      <c r="B223" s="1351"/>
      <c r="C223" s="9"/>
    </row>
    <row r="224" spans="1:3" x14ac:dyDescent="0.25">
      <c r="A224" s="978" t="s">
        <v>1102</v>
      </c>
      <c r="B224" s="1351" t="s">
        <v>969</v>
      </c>
      <c r="C224" s="9"/>
    </row>
    <row r="225" spans="1:3" x14ac:dyDescent="0.25">
      <c r="A225" s="1317"/>
      <c r="B225" t="s">
        <v>1057</v>
      </c>
      <c r="C225" s="9"/>
    </row>
    <row r="226" spans="1:3" x14ac:dyDescent="0.25">
      <c r="A226" s="1317"/>
      <c r="B226" t="s">
        <v>1058</v>
      </c>
      <c r="C226" s="9"/>
    </row>
    <row r="227" spans="1:3" x14ac:dyDescent="0.25">
      <c r="A227" s="1317"/>
      <c r="B227" t="s">
        <v>1059</v>
      </c>
      <c r="C227" s="9"/>
    </row>
    <row r="228" spans="1:3" x14ac:dyDescent="0.25">
      <c r="A228" s="1317"/>
      <c r="B228" t="s">
        <v>1060</v>
      </c>
      <c r="C228" s="9"/>
    </row>
    <row r="229" spans="1:3" x14ac:dyDescent="0.25">
      <c r="A229" s="1317"/>
      <c r="B229" t="s">
        <v>1061</v>
      </c>
      <c r="C229" s="9"/>
    </row>
    <row r="230" spans="1:3" x14ac:dyDescent="0.25">
      <c r="A230" s="1317"/>
      <c r="B230" t="s">
        <v>1062</v>
      </c>
      <c r="C230" s="9"/>
    </row>
    <row r="231" spans="1:3" x14ac:dyDescent="0.25">
      <c r="A231" s="1317"/>
      <c r="B231" t="s">
        <v>1063</v>
      </c>
      <c r="C231" s="9"/>
    </row>
    <row r="232" spans="1:3" x14ac:dyDescent="0.25">
      <c r="A232" s="1317"/>
      <c r="B232" t="s">
        <v>1650</v>
      </c>
      <c r="C232" s="9"/>
    </row>
    <row r="233" spans="1:3" x14ac:dyDescent="0.25">
      <c r="B233" t="s">
        <v>1649</v>
      </c>
    </row>
    <row r="235" spans="1:3" ht="18.75" x14ac:dyDescent="0.3">
      <c r="A235" s="94" t="s">
        <v>2916</v>
      </c>
    </row>
    <row r="236" spans="1:3" x14ac:dyDescent="0.25">
      <c r="A236" s="1317" t="s">
        <v>2389</v>
      </c>
    </row>
    <row r="237" spans="1:3" x14ac:dyDescent="0.25">
      <c r="A237" s="978" t="s">
        <v>1730</v>
      </c>
      <c r="B237" t="s">
        <v>2392</v>
      </c>
    </row>
    <row r="238" spans="1:3" x14ac:dyDescent="0.25">
      <c r="A238" s="1155"/>
    </row>
    <row r="239" spans="1:3" x14ac:dyDescent="0.25">
      <c r="A239" s="978" t="s">
        <v>2390</v>
      </c>
      <c r="B239" s="1317" t="s">
        <v>2391</v>
      </c>
    </row>
    <row r="240" spans="1:3" ht="18.75" x14ac:dyDescent="0.3">
      <c r="B240" s="6" t="s">
        <v>1282</v>
      </c>
      <c r="C240" s="1041"/>
    </row>
    <row r="241" spans="1:7" ht="18.75" x14ac:dyDescent="0.3">
      <c r="B241" s="6" t="s">
        <v>1283</v>
      </c>
      <c r="C241" s="1041"/>
    </row>
    <row r="242" spans="1:7" ht="18.75" x14ac:dyDescent="0.3">
      <c r="B242" s="6" t="s">
        <v>1284</v>
      </c>
      <c r="C242" s="1041"/>
    </row>
    <row r="243" spans="1:7" ht="18.75" x14ac:dyDescent="0.3">
      <c r="B243" s="6" t="s">
        <v>3170</v>
      </c>
      <c r="C243" s="1041"/>
    </row>
    <row r="244" spans="1:7" ht="18.75" x14ac:dyDescent="0.3">
      <c r="B244" s="6" t="s">
        <v>2364</v>
      </c>
      <c r="C244" s="1041"/>
    </row>
    <row r="245" spans="1:7" ht="18.75" x14ac:dyDescent="0.3">
      <c r="B245" s="33" t="s">
        <v>3576</v>
      </c>
      <c r="C245" s="1041"/>
    </row>
    <row r="246" spans="1:7" ht="18.75" x14ac:dyDescent="0.3">
      <c r="B246" s="33" t="s">
        <v>3575</v>
      </c>
      <c r="C246" s="1041"/>
    </row>
    <row r="247" spans="1:7" ht="18.75" x14ac:dyDescent="0.3">
      <c r="B247" s="33" t="s">
        <v>2367</v>
      </c>
      <c r="C247" s="1041"/>
    </row>
    <row r="248" spans="1:7" ht="18.75" x14ac:dyDescent="0.3">
      <c r="B248" s="33" t="s">
        <v>2368</v>
      </c>
      <c r="C248" s="1041"/>
    </row>
    <row r="249" spans="1:7" ht="18.75" x14ac:dyDescent="0.3">
      <c r="B249" t="s">
        <v>2917</v>
      </c>
      <c r="C249" s="1041"/>
    </row>
    <row r="250" spans="1:7" ht="18.75" x14ac:dyDescent="0.3">
      <c r="A250" s="1041"/>
      <c r="B250" s="3422" t="s">
        <v>2655</v>
      </c>
      <c r="C250" s="1041"/>
    </row>
    <row r="251" spans="1:7" ht="18.75" x14ac:dyDescent="0.3">
      <c r="B251" s="2716" t="s">
        <v>2656</v>
      </c>
      <c r="C251" s="1041"/>
    </row>
    <row r="252" spans="1:7" x14ac:dyDescent="0.25">
      <c r="B252" s="33" t="s">
        <v>2918</v>
      </c>
    </row>
    <row r="253" spans="1:7" ht="18.75" x14ac:dyDescent="0.3">
      <c r="B253" s="33"/>
      <c r="C253" s="1041"/>
    </row>
    <row r="254" spans="1:7" ht="18.75" x14ac:dyDescent="0.3">
      <c r="B254" s="33"/>
      <c r="C254" s="1041"/>
    </row>
    <row r="255" spans="1:7" s="1382" customFormat="1" ht="15.75" x14ac:dyDescent="0.25">
      <c r="B255" s="1383" t="s">
        <v>2913</v>
      </c>
      <c r="G255" s="1383" t="s">
        <v>956</v>
      </c>
    </row>
    <row r="256" spans="1:7" s="1382" customFormat="1" ht="16.5" thickBot="1" x14ac:dyDescent="0.3">
      <c r="B256" s="1383"/>
      <c r="G256" s="1383"/>
    </row>
    <row r="257" spans="1:8" ht="19.5" thickTop="1" x14ac:dyDescent="0.3">
      <c r="A257" s="960" t="s">
        <v>486</v>
      </c>
      <c r="B257" s="946"/>
      <c r="C257" s="946"/>
      <c r="D257" s="947"/>
      <c r="E257" s="947"/>
      <c r="F257" s="946"/>
      <c r="G257" s="946"/>
      <c r="H257" s="949"/>
    </row>
    <row r="258" spans="1:8" ht="15.75" x14ac:dyDescent="0.25">
      <c r="A258" s="964" t="s">
        <v>736</v>
      </c>
      <c r="B258" s="944"/>
      <c r="C258" s="944"/>
      <c r="D258" s="945"/>
      <c r="E258" s="945"/>
      <c r="F258" s="944"/>
      <c r="G258" s="944"/>
      <c r="H258" s="950"/>
    </row>
    <row r="259" spans="1:8" x14ac:dyDescent="0.25">
      <c r="A259" s="1054"/>
      <c r="B259" s="943" t="s">
        <v>326</v>
      </c>
      <c r="C259" s="945"/>
      <c r="D259" s="945"/>
      <c r="E259" s="945"/>
      <c r="F259" s="944"/>
      <c r="G259" s="944"/>
      <c r="H259" s="950"/>
    </row>
    <row r="260" spans="1:8" x14ac:dyDescent="0.25">
      <c r="A260" s="1054"/>
      <c r="B260" s="1356" t="s">
        <v>870</v>
      </c>
      <c r="C260" s="1357"/>
      <c r="D260" s="1357"/>
      <c r="E260" s="945"/>
      <c r="F260" s="944"/>
      <c r="G260" s="944"/>
      <c r="H260" s="950"/>
    </row>
    <row r="261" spans="1:8" x14ac:dyDescent="0.25">
      <c r="A261" s="1054"/>
      <c r="B261" s="942" t="s">
        <v>1103</v>
      </c>
      <c r="C261" s="945"/>
      <c r="D261" s="945"/>
      <c r="E261" s="945"/>
      <c r="F261" s="944"/>
      <c r="G261" s="944"/>
      <c r="H261" s="950"/>
    </row>
    <row r="262" spans="1:8" x14ac:dyDescent="0.25">
      <c r="A262" s="1054" t="s">
        <v>154</v>
      </c>
      <c r="B262" s="942" t="s">
        <v>1104</v>
      </c>
      <c r="C262" s="945"/>
      <c r="D262" s="945"/>
      <c r="E262" s="945"/>
      <c r="F262" s="944"/>
      <c r="G262" s="944"/>
      <c r="H262" s="950"/>
    </row>
    <row r="263" spans="1:8" x14ac:dyDescent="0.25">
      <c r="A263" s="1054"/>
      <c r="B263" s="942" t="s">
        <v>1105</v>
      </c>
      <c r="C263" s="945"/>
      <c r="D263" s="945"/>
      <c r="E263" s="945"/>
      <c r="F263" s="944"/>
      <c r="G263" s="944"/>
      <c r="H263" s="950"/>
    </row>
    <row r="264" spans="1:8" x14ac:dyDescent="0.25">
      <c r="A264" s="1890"/>
      <c r="B264" s="942" t="s">
        <v>1106</v>
      </c>
      <c r="C264" s="1019"/>
      <c r="D264" s="945"/>
      <c r="E264" s="945"/>
      <c r="F264" s="944"/>
      <c r="G264" s="944"/>
      <c r="H264" s="950"/>
    </row>
    <row r="265" spans="1:8" x14ac:dyDescent="0.25">
      <c r="A265" s="1890"/>
      <c r="B265" s="942" t="s">
        <v>1449</v>
      </c>
      <c r="C265" s="1019"/>
      <c r="D265" s="945"/>
      <c r="E265" s="945"/>
      <c r="F265" s="944"/>
      <c r="G265" s="944"/>
      <c r="H265" s="950"/>
    </row>
    <row r="266" spans="1:8" x14ac:dyDescent="0.25">
      <c r="A266" s="1890"/>
      <c r="B266" s="942" t="s">
        <v>1462</v>
      </c>
      <c r="C266" s="1019"/>
      <c r="D266" s="945"/>
      <c r="E266" s="945"/>
      <c r="F266" s="944"/>
      <c r="G266" s="944"/>
      <c r="H266" s="950"/>
    </row>
    <row r="267" spans="1:8" x14ac:dyDescent="0.25">
      <c r="A267" s="1890"/>
      <c r="B267" s="942" t="s">
        <v>1450</v>
      </c>
      <c r="C267" s="1019"/>
      <c r="D267" s="945"/>
      <c r="E267" s="945"/>
      <c r="F267" s="944"/>
      <c r="G267" s="944"/>
      <c r="H267" s="950"/>
    </row>
    <row r="268" spans="1:8" x14ac:dyDescent="0.25">
      <c r="A268" s="1890"/>
      <c r="B268" s="942" t="s">
        <v>1107</v>
      </c>
      <c r="C268" s="1019"/>
      <c r="D268" s="945"/>
      <c r="E268" s="945"/>
      <c r="F268" s="944"/>
      <c r="G268" s="944"/>
      <c r="H268" s="950"/>
    </row>
    <row r="269" spans="1:8" x14ac:dyDescent="0.25">
      <c r="A269" s="1890"/>
      <c r="B269" s="943" t="s">
        <v>1108</v>
      </c>
      <c r="C269" s="1019"/>
      <c r="D269" s="945"/>
      <c r="E269" s="945"/>
      <c r="F269" s="944"/>
      <c r="G269" s="944"/>
      <c r="H269" s="950"/>
    </row>
    <row r="270" spans="1:8" x14ac:dyDescent="0.25">
      <c r="A270" s="1890"/>
      <c r="B270" s="943" t="s">
        <v>1100</v>
      </c>
      <c r="C270" s="1019"/>
      <c r="D270" s="945"/>
      <c r="E270" s="945"/>
      <c r="F270" s="944"/>
      <c r="G270" s="944"/>
      <c r="H270" s="950"/>
    </row>
    <row r="271" spans="1:8" x14ac:dyDescent="0.25">
      <c r="A271" s="1054"/>
      <c r="B271" s="943" t="s">
        <v>1099</v>
      </c>
      <c r="C271" s="945"/>
      <c r="D271" s="945"/>
      <c r="E271" s="945"/>
      <c r="F271" s="944"/>
      <c r="G271" s="944"/>
      <c r="H271" s="950"/>
    </row>
    <row r="272" spans="1:8" x14ac:dyDescent="0.25">
      <c r="A272" s="1054"/>
      <c r="B272" s="943" t="s">
        <v>1098</v>
      </c>
      <c r="C272" s="945"/>
      <c r="D272" s="945"/>
      <c r="E272" s="945"/>
      <c r="F272" s="944"/>
      <c r="G272" s="944"/>
      <c r="H272" s="950"/>
    </row>
    <row r="273" spans="1:8" x14ac:dyDescent="0.25">
      <c r="A273" s="1054"/>
      <c r="B273" s="942" t="s">
        <v>1097</v>
      </c>
      <c r="C273" s="945"/>
      <c r="D273" s="945"/>
      <c r="E273" s="945"/>
      <c r="F273" s="944"/>
      <c r="G273" s="944"/>
      <c r="H273" s="950"/>
    </row>
    <row r="274" spans="1:8" x14ac:dyDescent="0.25">
      <c r="A274" s="1054"/>
      <c r="B274" s="943" t="s">
        <v>1101</v>
      </c>
      <c r="C274" s="945"/>
      <c r="D274" s="945"/>
      <c r="E274" s="945"/>
      <c r="F274" s="944"/>
      <c r="G274" s="944"/>
      <c r="H274" s="950"/>
    </row>
    <row r="275" spans="1:8" x14ac:dyDescent="0.25">
      <c r="A275" s="1054"/>
      <c r="B275" s="943" t="s">
        <v>1102</v>
      </c>
      <c r="C275" s="945"/>
      <c r="D275" s="1019" t="s">
        <v>1762</v>
      </c>
      <c r="E275" s="945"/>
      <c r="F275" s="944"/>
      <c r="G275" s="944"/>
      <c r="H275" s="950"/>
    </row>
    <row r="276" spans="1:8" x14ac:dyDescent="0.25">
      <c r="A276" s="1083"/>
      <c r="B276" s="1081" t="s">
        <v>719</v>
      </c>
      <c r="C276" s="945"/>
      <c r="D276" s="1019" t="s">
        <v>1764</v>
      </c>
      <c r="E276" s="945"/>
      <c r="F276" s="944"/>
      <c r="G276" s="944"/>
      <c r="H276" s="950"/>
    </row>
    <row r="277" spans="1:8" x14ac:dyDescent="0.25">
      <c r="A277" s="1083"/>
      <c r="B277" s="1081" t="s">
        <v>720</v>
      </c>
      <c r="C277" s="945"/>
      <c r="D277" s="1019" t="s">
        <v>1289</v>
      </c>
      <c r="E277" s="945"/>
      <c r="F277" s="945"/>
      <c r="G277" s="945"/>
      <c r="H277" s="950"/>
    </row>
    <row r="278" spans="1:8" x14ac:dyDescent="0.25">
      <c r="A278" s="1083"/>
      <c r="B278" s="1081" t="s">
        <v>721</v>
      </c>
      <c r="C278" s="945"/>
      <c r="D278" s="945" t="s">
        <v>722</v>
      </c>
      <c r="E278" s="945"/>
      <c r="F278" s="945"/>
      <c r="G278" s="945"/>
      <c r="H278" s="950"/>
    </row>
    <row r="279" spans="1:8" x14ac:dyDescent="0.25">
      <c r="A279" s="1083"/>
      <c r="B279" s="1081" t="s">
        <v>725</v>
      </c>
      <c r="C279" s="945"/>
      <c r="D279" s="1019" t="s">
        <v>1763</v>
      </c>
      <c r="E279" s="945"/>
      <c r="F279" s="945"/>
      <c r="G279" s="945"/>
      <c r="H279" s="950"/>
    </row>
    <row r="280" spans="1:8" ht="15.75" thickBot="1" x14ac:dyDescent="0.3">
      <c r="A280" s="1088"/>
      <c r="B280" s="1089" t="s">
        <v>577</v>
      </c>
      <c r="C280" s="948"/>
      <c r="D280" s="1087" t="s">
        <v>578</v>
      </c>
      <c r="E280" s="948"/>
      <c r="F280" s="948"/>
      <c r="G280" s="948"/>
      <c r="H280" s="951"/>
    </row>
    <row r="281" spans="1:8" ht="15.75" thickTop="1" x14ac:dyDescent="0.25"/>
  </sheetData>
  <sheetProtection sheet="1" objects="1" scenarios="1"/>
  <phoneticPr fontId="0" type="noConversion"/>
  <dataValidations count="1">
    <dataValidation allowBlank="1" showInputMessage="1" showErrorMessage="1" promptTitle="How to get Results calculations " prompt="Click on each of the worksheets AgeData through SavingsData and enter your information. Then click on the Results sheet to see the analysis for your data." sqref="A174 A172"/>
  </dataValidations>
  <hyperlinks>
    <hyperlink ref="A172" location="Results!A1" display="Results"/>
    <hyperlink ref="A152" location="'2. TaxData'!A1" display="2. TaxData"/>
    <hyperlink ref="A153" location="'12. RMDtable'!A1" display="12. RMDtable"/>
    <hyperlink ref="A159" location="'11. CashData'!A1" display="11. CashData"/>
    <hyperlink ref="A135" location="'10. ExpensesData'!A1" display="10. ExpensesData"/>
    <hyperlink ref="A119" location="'9. SavingsData'!A1" display="9. SavingsData"/>
    <hyperlink ref="A100" location="'8. RothData'!A1" display="8. RothData"/>
    <hyperlink ref="A60" location="'5. SocSecData'!A1" display="5. SocSecData"/>
    <hyperlink ref="A52" location="'3. WorkData'!A1" display="3. WorkData"/>
    <hyperlink ref="A71" location="'6. AnnuityData'!A1" display="6. AnnuityData"/>
    <hyperlink ref="A77" location="'7. IRAdata'!A1" display="7. IRAdata"/>
    <hyperlink ref="A29" location="'S. Setup'!A1" display="S. Setup"/>
    <hyperlink ref="A35" location="'1. AgeData'!A1" display="1. AgeData"/>
    <hyperlink ref="A41" location="'2. TaxData'!A1" display="2. TaxData"/>
    <hyperlink ref="G255" location="'Appendix B'!A1" display="Next worksheet (Appendix B)"/>
    <hyperlink ref="B1" location="'RS. Resources'!A1" display="Previous worksheet (RS. Resources)"/>
    <hyperlink ref="G1" location="'Appendix B'!A1" display="Next worksheet (Appendix B)"/>
    <hyperlink ref="A224" location="'RS. Resources'!A1" display="RS. Resources"/>
    <hyperlink ref="A211" location="Introduction!A1" display="Introduction"/>
    <hyperlink ref="B262" location="'S. Setup'!A1" display="Setup"/>
    <hyperlink ref="B263" location="'1. AgeData'!A1" display="AgeData"/>
    <hyperlink ref="B264" location="'2. TaxData'!A1" display="TaxData"/>
    <hyperlink ref="B266" location="'4. PensionData'!A1" display="4. PensionData"/>
    <hyperlink ref="B267" location="'5. SocSecData'!A1" display="5. SocSecData"/>
    <hyperlink ref="B265" location="'3. WorkData'!A1" display="3. WorkData"/>
    <hyperlink ref="B268" location="'6. AnnuityData'!A1" display="AnnuityData"/>
    <hyperlink ref="B269" location="'7. IRAdata'!A1" display="IRAdata"/>
    <hyperlink ref="B270" location="'8. RothData'!A1" display="RothData"/>
    <hyperlink ref="B271" location="'9. SavingsData'!A1" display="SavingsData"/>
    <hyperlink ref="B261" location="'R. Results'!A1" display="Results"/>
    <hyperlink ref="B273" location="'11. CashData'!A1" display="CashData"/>
    <hyperlink ref="B272" location="'10. ExpensesData'!A1" display="ExpensesData"/>
    <hyperlink ref="B274" location="'12. RMDtable'!A1" display="RMDtable"/>
    <hyperlink ref="B259" location="Introduction!A1" display="Introduction"/>
    <hyperlink ref="B279" location="'Appendix D'!A1" display="Appendix D"/>
    <hyperlink ref="B276" location="'Appendix A'!A1" display="Appendix A"/>
    <hyperlink ref="B277" location="'Appendix B'!A1" display="Appendix B"/>
    <hyperlink ref="B278" location="'Appendix C'!A1" display="Appendix C"/>
    <hyperlink ref="B280" location="FAQ!A1" display="FAQ"/>
    <hyperlink ref="B260" location="Assumptions!A1" display="Assumptions"/>
    <hyperlink ref="B275" location="'RS. Resources'!A1" display="Resources"/>
    <hyperlink ref="A237" location="SimpleCalc!A1" display="SimpleCalc"/>
    <hyperlink ref="A239" location="'Appendix B'!A1" display="Appendix B."/>
    <hyperlink ref="B255" location="'RS. Resources'!A1" display="Previous worksheet (RS. Resources)"/>
  </hyperlinks>
  <printOptions headings="1" gridLines="1"/>
  <pageMargins left="0.7" right="0.7" top="0.75" bottom="0.75" header="0.3" footer="0.3"/>
  <pageSetup orientation="landscape" horizontalDpi="1200" verticalDpi="1200" r:id="rId1"/>
  <headerFooter>
    <oddHeader>&amp;L&amp;F&amp;C  &amp;D &amp;T &amp;R&amp;A &amp;P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72D88"/>
  </sheetPr>
  <dimension ref="A1:M154"/>
  <sheetViews>
    <sheetView zoomScaleNormal="100" workbookViewId="0">
      <selection activeCell="F19" sqref="F19"/>
    </sheetView>
  </sheetViews>
  <sheetFormatPr defaultRowHeight="15" x14ac:dyDescent="0.25"/>
  <cols>
    <col min="1" max="1" width="5.7109375" style="1671" customWidth="1"/>
    <col min="2" max="2" width="5.140625" style="1671" customWidth="1"/>
    <col min="3" max="3" width="10.5703125" style="1671" customWidth="1"/>
    <col min="4" max="4" width="10.42578125" style="1671" customWidth="1"/>
    <col min="5" max="5" width="13.28515625" style="1671" customWidth="1"/>
    <col min="6" max="6" width="10" style="1671" customWidth="1"/>
    <col min="7" max="7" width="8.42578125" style="1671" customWidth="1"/>
    <col min="8" max="8" width="10.140625" style="1671" customWidth="1"/>
    <col min="9" max="9" width="7" style="1671" customWidth="1"/>
    <col min="10" max="10" width="9.140625" style="1671"/>
    <col min="11" max="11" width="11.140625" style="1671" customWidth="1"/>
    <col min="12" max="12" width="9.85546875" style="1671" bestFit="1" customWidth="1"/>
    <col min="13" max="13" width="9.42578125" style="1671" customWidth="1"/>
    <col min="14" max="16384" width="9.140625" style="1671"/>
  </cols>
  <sheetData>
    <row r="1" spans="1:12" s="2812" customFormat="1" ht="15.75" x14ac:dyDescent="0.25">
      <c r="A1" s="2809"/>
      <c r="B1" s="1383" t="s">
        <v>953</v>
      </c>
      <c r="C1" s="2809"/>
      <c r="D1" s="2809"/>
      <c r="E1" s="2809"/>
      <c r="F1" s="1471" t="s">
        <v>952</v>
      </c>
      <c r="G1" s="2809"/>
      <c r="H1" s="2809"/>
    </row>
    <row r="2" spans="1:12" x14ac:dyDescent="0.25">
      <c r="A2" s="3550"/>
      <c r="B2" s="3550"/>
      <c r="C2" s="3550"/>
      <c r="D2" s="3550"/>
      <c r="E2" s="3550"/>
      <c r="F2" s="3550"/>
      <c r="G2" s="3550"/>
      <c r="H2" s="3550"/>
      <c r="I2" s="3550"/>
      <c r="J2" s="3550"/>
      <c r="K2" s="3550"/>
      <c r="L2" s="3550"/>
    </row>
    <row r="4" spans="1:12" ht="18.75" x14ac:dyDescent="0.3">
      <c r="A4" s="2813" t="s">
        <v>3027</v>
      </c>
    </row>
    <row r="5" spans="1:12" ht="18.75" x14ac:dyDescent="0.3">
      <c r="A5" s="2813"/>
    </row>
    <row r="6" spans="1:12" ht="15.75" x14ac:dyDescent="0.25">
      <c r="A6" s="1582" t="s">
        <v>2989</v>
      </c>
    </row>
    <row r="7" spans="1:12" x14ac:dyDescent="0.25">
      <c r="A7" s="1671" t="s">
        <v>3124</v>
      </c>
    </row>
    <row r="8" spans="1:12" x14ac:dyDescent="0.25">
      <c r="A8" s="1671" t="s">
        <v>2990</v>
      </c>
    </row>
    <row r="10" spans="1:12" x14ac:dyDescent="0.25">
      <c r="A10" s="1727" t="s">
        <v>3646</v>
      </c>
    </row>
    <row r="11" spans="1:12" x14ac:dyDescent="0.25">
      <c r="A11" s="1727" t="s">
        <v>3660</v>
      </c>
    </row>
    <row r="12" spans="1:12" x14ac:dyDescent="0.25">
      <c r="A12" s="1671" t="s">
        <v>3647</v>
      </c>
    </row>
    <row r="13" spans="1:12" x14ac:dyDescent="0.25">
      <c r="A13" s="1671" t="s">
        <v>3648</v>
      </c>
    </row>
    <row r="14" spans="1:12" x14ac:dyDescent="0.25">
      <c r="A14" s="1671" t="s">
        <v>3649</v>
      </c>
    </row>
    <row r="15" spans="1:12" x14ac:dyDescent="0.25">
      <c r="A15" s="1671" t="s">
        <v>1848</v>
      </c>
      <c r="J15" s="978" t="s">
        <v>1721</v>
      </c>
    </row>
    <row r="16" spans="1:12" x14ac:dyDescent="0.25">
      <c r="A16" s="3436" t="s">
        <v>3023</v>
      </c>
    </row>
    <row r="17" spans="1:12" x14ac:dyDescent="0.25">
      <c r="A17" s="1671" t="s">
        <v>3024</v>
      </c>
    </row>
    <row r="18" spans="1:12" x14ac:dyDescent="0.25">
      <c r="A18" s="1671" t="s">
        <v>3123</v>
      </c>
    </row>
    <row r="19" spans="1:12" x14ac:dyDescent="0.25">
      <c r="A19" s="3351" t="s">
        <v>3028</v>
      </c>
    </row>
    <row r="20" spans="1:12" x14ac:dyDescent="0.25">
      <c r="A20" s="1671" t="s">
        <v>3025</v>
      </c>
    </row>
    <row r="21" spans="1:12" x14ac:dyDescent="0.25">
      <c r="A21" s="1671" t="s">
        <v>3026</v>
      </c>
    </row>
    <row r="23" spans="1:12" x14ac:dyDescent="0.25">
      <c r="A23" s="1671" t="s">
        <v>3132</v>
      </c>
      <c r="H23" s="180" t="s">
        <v>3131</v>
      </c>
      <c r="L23" s="1671" t="s">
        <v>2535</v>
      </c>
    </row>
    <row r="24" spans="1:12" x14ac:dyDescent="0.25">
      <c r="A24" s="1671" t="s">
        <v>3650</v>
      </c>
      <c r="G24" s="180" t="s">
        <v>2215</v>
      </c>
      <c r="H24" s="180"/>
      <c r="L24" s="1671" t="s">
        <v>3651</v>
      </c>
    </row>
    <row r="25" spans="1:12" x14ac:dyDescent="0.25">
      <c r="A25" s="1671" t="s">
        <v>3652</v>
      </c>
      <c r="G25" s="180"/>
      <c r="H25" s="180"/>
    </row>
    <row r="26" spans="1:12" x14ac:dyDescent="0.25">
      <c r="A26" s="1671" t="s">
        <v>3653</v>
      </c>
    </row>
    <row r="27" spans="1:12" x14ac:dyDescent="0.25">
      <c r="A27" s="1671" t="s">
        <v>3654</v>
      </c>
    </row>
    <row r="28" spans="1:12" x14ac:dyDescent="0.25">
      <c r="A28" s="1671" t="s">
        <v>3655</v>
      </c>
    </row>
    <row r="29" spans="1:12" x14ac:dyDescent="0.25">
      <c r="A29" s="1671" t="s">
        <v>3656</v>
      </c>
    </row>
    <row r="30" spans="1:12" x14ac:dyDescent="0.25">
      <c r="A30" s="1671" t="s">
        <v>3657</v>
      </c>
    </row>
    <row r="31" spans="1:12" x14ac:dyDescent="0.25">
      <c r="A31" s="1671" t="s">
        <v>3658</v>
      </c>
    </row>
    <row r="32" spans="1:12" x14ac:dyDescent="0.25">
      <c r="A32" s="1671" t="s">
        <v>3659</v>
      </c>
    </row>
    <row r="33" spans="1:7" ht="15.75" thickBot="1" x14ac:dyDescent="0.3"/>
    <row r="34" spans="1:7" ht="15.75" thickTop="1" x14ac:dyDescent="0.25">
      <c r="A34" s="3551" t="s">
        <v>1694</v>
      </c>
      <c r="B34" s="3552"/>
      <c r="C34" s="3552"/>
      <c r="D34" s="3552"/>
      <c r="E34" s="3552"/>
      <c r="F34" s="3553"/>
      <c r="G34" s="3554"/>
    </row>
    <row r="35" spans="1:7" x14ac:dyDescent="0.25">
      <c r="A35" s="3555" t="s">
        <v>1755</v>
      </c>
      <c r="B35" s="3554"/>
      <c r="C35" s="3554"/>
      <c r="D35" s="3554"/>
      <c r="E35" s="3554"/>
      <c r="F35" s="3083">
        <v>25</v>
      </c>
    </row>
    <row r="36" spans="1:7" x14ac:dyDescent="0.25">
      <c r="A36" s="3555" t="s">
        <v>1684</v>
      </c>
      <c r="B36" s="3554"/>
      <c r="C36" s="3554"/>
      <c r="D36" s="3554"/>
      <c r="E36" s="3554"/>
      <c r="F36" s="3083">
        <v>67</v>
      </c>
    </row>
    <row r="37" spans="1:7" x14ac:dyDescent="0.25">
      <c r="A37" s="3555" t="s">
        <v>1685</v>
      </c>
      <c r="B37" s="3554"/>
      <c r="C37" s="3554"/>
      <c r="D37" s="3554"/>
      <c r="E37" s="3554"/>
      <c r="F37" s="3084">
        <v>30000</v>
      </c>
    </row>
    <row r="38" spans="1:7" x14ac:dyDescent="0.25">
      <c r="A38" s="3555" t="s">
        <v>1756</v>
      </c>
      <c r="B38" s="3554"/>
      <c r="C38" s="3554"/>
      <c r="D38" s="3554"/>
      <c r="E38" s="3554"/>
      <c r="F38" s="3084">
        <v>25000</v>
      </c>
    </row>
    <row r="39" spans="1:7" x14ac:dyDescent="0.25">
      <c r="A39" s="3555" t="s">
        <v>2830</v>
      </c>
      <c r="B39" s="3554"/>
      <c r="C39" s="3554"/>
      <c r="D39" s="3554"/>
      <c r="E39" s="3554"/>
      <c r="F39" s="3084">
        <v>3750</v>
      </c>
    </row>
    <row r="40" spans="1:7" ht="15.75" thickBot="1" x14ac:dyDescent="0.3">
      <c r="A40" s="3079" t="s">
        <v>2716</v>
      </c>
      <c r="B40" s="3080"/>
      <c r="C40" s="3081"/>
      <c r="D40" s="3081"/>
      <c r="E40" s="3081"/>
      <c r="F40" s="3082">
        <v>6000</v>
      </c>
    </row>
    <row r="41" spans="1:7" ht="16.5" thickTop="1" thickBot="1" x14ac:dyDescent="0.3">
      <c r="A41" s="3556"/>
      <c r="B41" s="3556"/>
      <c r="C41" s="3556"/>
      <c r="D41" s="3556"/>
      <c r="E41" s="3556"/>
      <c r="F41" s="3557"/>
    </row>
    <row r="42" spans="1:7" x14ac:dyDescent="0.25">
      <c r="A42" s="3558" t="s">
        <v>1706</v>
      </c>
      <c r="B42" s="3559"/>
      <c r="C42" s="3559"/>
      <c r="D42" s="3559"/>
      <c r="E42" s="3559"/>
      <c r="F42" s="3560"/>
    </row>
    <row r="43" spans="1:7" x14ac:dyDescent="0.25">
      <c r="A43" s="3561" t="s">
        <v>1690</v>
      </c>
      <c r="B43" s="1730"/>
      <c r="C43" s="3554"/>
      <c r="D43" s="3554"/>
      <c r="E43" s="3554"/>
      <c r="F43" s="3085">
        <v>4.4999999999999998E-2</v>
      </c>
    </row>
    <row r="44" spans="1:7" x14ac:dyDescent="0.25">
      <c r="A44" s="3561" t="s">
        <v>1689</v>
      </c>
      <c r="B44" s="1730"/>
      <c r="C44" s="3554"/>
      <c r="D44" s="3554"/>
      <c r="E44" s="3554"/>
      <c r="F44" s="3085">
        <v>2.5000000000000001E-2</v>
      </c>
    </row>
    <row r="45" spans="1:7" x14ac:dyDescent="0.25">
      <c r="A45" s="3561" t="s">
        <v>1691</v>
      </c>
      <c r="B45" s="1730"/>
      <c r="C45" s="3554"/>
      <c r="D45" s="3554"/>
      <c r="E45" s="3554"/>
      <c r="F45" s="3085">
        <v>0.02</v>
      </c>
    </row>
    <row r="46" spans="1:7" x14ac:dyDescent="0.25">
      <c r="A46" s="3561" t="s">
        <v>2715</v>
      </c>
      <c r="B46" s="1730"/>
      <c r="C46" s="3554"/>
      <c r="D46" s="3554"/>
      <c r="E46" s="3554"/>
      <c r="F46" s="3085">
        <v>0.03</v>
      </c>
    </row>
    <row r="47" spans="1:7" x14ac:dyDescent="0.25">
      <c r="A47" s="3561" t="s">
        <v>1688</v>
      </c>
      <c r="B47" s="1730"/>
      <c r="C47" s="3554"/>
      <c r="D47" s="3554"/>
      <c r="E47" s="3554"/>
      <c r="F47" s="3085">
        <v>0.02</v>
      </c>
    </row>
    <row r="48" spans="1:7" ht="15.75" thickBot="1" x14ac:dyDescent="0.3">
      <c r="A48" s="3079" t="s">
        <v>1757</v>
      </c>
      <c r="B48" s="3080"/>
      <c r="C48" s="3081"/>
      <c r="D48" s="3081"/>
      <c r="E48" s="3081"/>
      <c r="F48" s="3086">
        <v>0.8</v>
      </c>
    </row>
    <row r="49" spans="1:13" ht="16.5" thickTop="1" thickBot="1" x14ac:dyDescent="0.3">
      <c r="A49" s="1730"/>
      <c r="B49" s="1730"/>
      <c r="C49" s="3554"/>
      <c r="D49" s="3554"/>
      <c r="E49" s="3554"/>
      <c r="F49" s="3562"/>
    </row>
    <row r="50" spans="1:13" x14ac:dyDescent="0.25">
      <c r="A50" s="1727"/>
      <c r="B50" s="1727"/>
      <c r="C50" s="1727"/>
      <c r="D50" s="1727"/>
      <c r="E50" s="1727"/>
      <c r="F50" s="3554"/>
      <c r="G50" s="3563" t="s">
        <v>1849</v>
      </c>
      <c r="H50" s="3564"/>
      <c r="I50" s="3564"/>
      <c r="J50" s="3565"/>
      <c r="K50" s="3565"/>
      <c r="L50" s="3566">
        <f>SUMIF(C57:C125,"&lt;0",B57:B125)</f>
        <v>86</v>
      </c>
    </row>
    <row r="51" spans="1:13" x14ac:dyDescent="0.25">
      <c r="A51" s="1727"/>
      <c r="B51" s="1727"/>
      <c r="C51" s="1727"/>
      <c r="D51" s="1727"/>
      <c r="E51" s="1727"/>
      <c r="F51" s="1727"/>
      <c r="G51" s="3567" t="s">
        <v>1850</v>
      </c>
      <c r="H51" s="2885"/>
      <c r="I51" s="2885"/>
      <c r="J51" s="1727"/>
      <c r="K51" s="1727"/>
      <c r="L51" s="3568">
        <f>LOOKUP(F36,B57:B125,C57:C125)</f>
        <v>770241.03863362281</v>
      </c>
    </row>
    <row r="52" spans="1:13" ht="15.75" x14ac:dyDescent="0.25">
      <c r="A52" s="1727"/>
      <c r="B52" s="1727"/>
      <c r="C52" s="1727"/>
      <c r="D52" s="1727"/>
      <c r="E52" s="1727"/>
      <c r="F52" s="1727"/>
      <c r="G52" s="3567" t="s">
        <v>1846</v>
      </c>
      <c r="H52" s="3569"/>
      <c r="I52" s="3569"/>
      <c r="J52" s="3570"/>
      <c r="K52" s="1727"/>
      <c r="L52" s="3571">
        <f>IF(F38&gt;0,F39/F38,0%)</f>
        <v>0.15</v>
      </c>
    </row>
    <row r="53" spans="1:13" ht="15.75" x14ac:dyDescent="0.25">
      <c r="A53" s="1727"/>
      <c r="B53" s="1727"/>
      <c r="C53" s="1727"/>
      <c r="D53" s="1727"/>
      <c r="E53" s="1727"/>
      <c r="F53" s="3376"/>
      <c r="G53" s="3567" t="s">
        <v>2301</v>
      </c>
      <c r="H53" s="3569"/>
      <c r="I53" s="3569"/>
      <c r="J53" s="3570"/>
      <c r="K53" s="1727"/>
      <c r="L53" s="3572">
        <f>L50-F36</f>
        <v>19</v>
      </c>
    </row>
    <row r="54" spans="1:13" ht="16.5" thickBot="1" x14ac:dyDescent="0.3">
      <c r="A54" s="1727"/>
      <c r="B54" s="1727"/>
      <c r="C54" s="1727"/>
      <c r="D54" s="1727"/>
      <c r="E54" s="1727"/>
      <c r="F54" s="3376"/>
      <c r="G54" s="3072" t="s">
        <v>2339</v>
      </c>
      <c r="H54" s="3073"/>
      <c r="I54" s="3073"/>
      <c r="J54" s="3074"/>
      <c r="K54" s="3075"/>
      <c r="L54" s="3076">
        <f>LOOKUP(F36,B56:B124,F56:F124)/LOOKUP(F36,B56:B124,G56:G124)</f>
        <v>0.1332030632897753</v>
      </c>
    </row>
    <row r="55" spans="1:13" ht="19.5" thickBot="1" x14ac:dyDescent="0.35">
      <c r="A55" s="3573" t="s">
        <v>1695</v>
      </c>
    </row>
    <row r="56" spans="1:13" s="3578" customFormat="1" ht="65.25" thickTop="1" thickBot="1" x14ac:dyDescent="0.25">
      <c r="A56" s="3574" t="s">
        <v>1292</v>
      </c>
      <c r="B56" s="3575" t="s">
        <v>144</v>
      </c>
      <c r="C56" s="3576" t="s">
        <v>1686</v>
      </c>
      <c r="D56" s="2731" t="s">
        <v>1687</v>
      </c>
      <c r="E56" s="3078" t="s">
        <v>1692</v>
      </c>
      <c r="F56" s="2705" t="s">
        <v>2341</v>
      </c>
      <c r="G56" s="3577" t="s">
        <v>1693</v>
      </c>
      <c r="H56" s="3077" t="s">
        <v>2340</v>
      </c>
      <c r="J56" s="3579"/>
    </row>
    <row r="57" spans="1:13" ht="15.75" thickTop="1" x14ac:dyDescent="0.25">
      <c r="A57" s="3580">
        <v>1</v>
      </c>
      <c r="B57" s="3554">
        <f>F35</f>
        <v>25</v>
      </c>
      <c r="C57" s="3581">
        <f>F37</f>
        <v>30000</v>
      </c>
      <c r="D57" s="3581">
        <f>F39</f>
        <v>3750</v>
      </c>
      <c r="E57" s="3582">
        <f>F38</f>
        <v>25000</v>
      </c>
      <c r="F57" s="3581">
        <f>IF(B57&lt;$F$36,0,$F$40*POWER((1+$F$45),($B57-$F$36)))</f>
        <v>0</v>
      </c>
      <c r="G57" s="3583">
        <f t="shared" ref="G57:G88" si="0">IF(C56&lt;=0,0,IF((B57=$F$36), $F$48*IF(A57=1,$E$57,E56), IF(B57&gt;$F$36,G56*(1+$F$46),0)))*IF(B57&gt;0,1,0)</f>
        <v>0</v>
      </c>
      <c r="H57" s="3584">
        <f>IF(G57&lt;=0,0%, F57/G57)</f>
        <v>0</v>
      </c>
    </row>
    <row r="58" spans="1:13" x14ac:dyDescent="0.25">
      <c r="A58" s="3580">
        <v>2</v>
      </c>
      <c r="B58" s="3554">
        <f>B57+1</f>
        <v>26</v>
      </c>
      <c r="C58" s="3581">
        <f>IF(C57&gt;0,(C57+D57-G58+F58),0)*(1+IF(B58&lt;$F$36,$F$43,$F$44))</f>
        <v>35268.75</v>
      </c>
      <c r="D58" s="3583">
        <f t="shared" ref="D58:D89" si="1">IF(B58&lt;$F$36,(D57*(1+$F$47)),0)</f>
        <v>3825</v>
      </c>
      <c r="E58" s="3583">
        <f>IF(B58&lt;$F$36,E57*(1+$F$45),0)</f>
        <v>25500</v>
      </c>
      <c r="F58" s="3581">
        <f t="shared" ref="F58:F121" si="2">IF(B58&lt;$F$36,0,$F$40*POWER((1+$F$45),($B58-$F$36)))</f>
        <v>0</v>
      </c>
      <c r="G58" s="3583">
        <f t="shared" si="0"/>
        <v>0</v>
      </c>
      <c r="H58" s="3585">
        <f t="shared" ref="H58:H121" si="3">IF(G58&lt;=0,0%, F58/G58)</f>
        <v>0</v>
      </c>
      <c r="L58" s="3586"/>
    </row>
    <row r="59" spans="1:13" x14ac:dyDescent="0.25">
      <c r="A59" s="3580">
        <v>3</v>
      </c>
      <c r="B59" s="3554">
        <f>B58+1</f>
        <v>27</v>
      </c>
      <c r="C59" s="3581">
        <f t="shared" ref="C59:C122" si="4">IF(C58&gt;0,(C58+D58-G59+F59),0)*(1+IF(B59&lt;$F$36,$F$43,$F$44))</f>
        <v>40852.96875</v>
      </c>
      <c r="D59" s="3583">
        <f t="shared" si="1"/>
        <v>3901.5</v>
      </c>
      <c r="E59" s="3583">
        <f t="shared" ref="E59:E122" si="5">IF(B59&lt;$F$36,E58*(1+$F$45),0)</f>
        <v>26010</v>
      </c>
      <c r="F59" s="3581">
        <f t="shared" si="2"/>
        <v>0</v>
      </c>
      <c r="G59" s="3583">
        <f t="shared" si="0"/>
        <v>0</v>
      </c>
      <c r="H59" s="3585">
        <f t="shared" si="3"/>
        <v>0</v>
      </c>
      <c r="M59" s="3586"/>
    </row>
    <row r="60" spans="1:13" x14ac:dyDescent="0.25">
      <c r="A60" s="3580">
        <v>4</v>
      </c>
      <c r="B60" s="3554">
        <f t="shared" ref="B60:B93" si="6">B59+1</f>
        <v>28</v>
      </c>
      <c r="C60" s="3581">
        <f t="shared" si="4"/>
        <v>46768.419843749994</v>
      </c>
      <c r="D60" s="3583">
        <f t="shared" si="1"/>
        <v>3979.53</v>
      </c>
      <c r="E60" s="3583">
        <f t="shared" si="5"/>
        <v>26530.2</v>
      </c>
      <c r="F60" s="3581">
        <f t="shared" si="2"/>
        <v>0</v>
      </c>
      <c r="G60" s="3583">
        <f t="shared" si="0"/>
        <v>0</v>
      </c>
      <c r="H60" s="3585">
        <f t="shared" si="3"/>
        <v>0</v>
      </c>
    </row>
    <row r="61" spans="1:13" x14ac:dyDescent="0.25">
      <c r="A61" s="3580">
        <v>5</v>
      </c>
      <c r="B61" s="3554">
        <f t="shared" si="6"/>
        <v>29</v>
      </c>
      <c r="C61" s="3581">
        <f t="shared" si="4"/>
        <v>53031.607586718739</v>
      </c>
      <c r="D61" s="3583">
        <f t="shared" si="1"/>
        <v>4059.1206000000002</v>
      </c>
      <c r="E61" s="3583">
        <f t="shared" si="5"/>
        <v>27060.804</v>
      </c>
      <c r="F61" s="3581">
        <f t="shared" si="2"/>
        <v>0</v>
      </c>
      <c r="G61" s="3583">
        <f t="shared" si="0"/>
        <v>0</v>
      </c>
      <c r="H61" s="3585">
        <f t="shared" si="3"/>
        <v>0</v>
      </c>
    </row>
    <row r="62" spans="1:13" x14ac:dyDescent="0.25">
      <c r="A62" s="3580">
        <v>6</v>
      </c>
      <c r="B62" s="3554">
        <f t="shared" si="6"/>
        <v>30</v>
      </c>
      <c r="C62" s="3581">
        <f t="shared" si="4"/>
        <v>59659.81095512108</v>
      </c>
      <c r="D62" s="3583">
        <f t="shared" si="1"/>
        <v>4140.3030120000003</v>
      </c>
      <c r="E62" s="3583">
        <f t="shared" si="5"/>
        <v>27602.020080000002</v>
      </c>
      <c r="F62" s="3581">
        <f t="shared" si="2"/>
        <v>0</v>
      </c>
      <c r="G62" s="3583">
        <f t="shared" si="0"/>
        <v>0</v>
      </c>
      <c r="H62" s="3585">
        <f t="shared" si="3"/>
        <v>0</v>
      </c>
    </row>
    <row r="63" spans="1:13" x14ac:dyDescent="0.25">
      <c r="A63" s="3580">
        <v>7</v>
      </c>
      <c r="B63" s="3554">
        <f t="shared" si="6"/>
        <v>31</v>
      </c>
      <c r="C63" s="3581">
        <f t="shared" si="4"/>
        <v>66671.119095641523</v>
      </c>
      <c r="D63" s="3583">
        <f t="shared" si="1"/>
        <v>4223.1090722400004</v>
      </c>
      <c r="E63" s="3583">
        <f t="shared" si="5"/>
        <v>28154.060481600001</v>
      </c>
      <c r="F63" s="3581">
        <f t="shared" si="2"/>
        <v>0</v>
      </c>
      <c r="G63" s="3583">
        <f t="shared" si="0"/>
        <v>0</v>
      </c>
      <c r="H63" s="3585">
        <f t="shared" si="3"/>
        <v>0</v>
      </c>
    </row>
    <row r="64" spans="1:13" x14ac:dyDescent="0.25">
      <c r="A64" s="3580">
        <v>8</v>
      </c>
      <c r="B64" s="3554">
        <f t="shared" si="6"/>
        <v>32</v>
      </c>
      <c r="C64" s="3581">
        <f t="shared" si="4"/>
        <v>74084.468435436182</v>
      </c>
      <c r="D64" s="3583">
        <f t="shared" si="1"/>
        <v>4307.5712536848005</v>
      </c>
      <c r="E64" s="3583">
        <f t="shared" si="5"/>
        <v>28717.141691232002</v>
      </c>
      <c r="F64" s="3581">
        <f t="shared" si="2"/>
        <v>0</v>
      </c>
      <c r="G64" s="3583">
        <f t="shared" si="0"/>
        <v>0</v>
      </c>
      <c r="H64" s="3585">
        <f t="shared" si="3"/>
        <v>0</v>
      </c>
      <c r="L64" s="3586"/>
    </row>
    <row r="65" spans="1:13" x14ac:dyDescent="0.25">
      <c r="A65" s="3580">
        <v>9</v>
      </c>
      <c r="B65" s="3554">
        <f t="shared" si="6"/>
        <v>33</v>
      </c>
      <c r="C65" s="3581">
        <f t="shared" si="4"/>
        <v>81919.681475131423</v>
      </c>
      <c r="D65" s="3583">
        <f t="shared" si="1"/>
        <v>4393.7226787584968</v>
      </c>
      <c r="E65" s="3583">
        <f t="shared" si="5"/>
        <v>29291.484525056643</v>
      </c>
      <c r="F65" s="3581">
        <f t="shared" si="2"/>
        <v>0</v>
      </c>
      <c r="G65" s="3583">
        <f t="shared" si="0"/>
        <v>0</v>
      </c>
      <c r="H65" s="3585">
        <f t="shared" si="3"/>
        <v>0</v>
      </c>
      <c r="M65" s="3586"/>
    </row>
    <row r="66" spans="1:13" x14ac:dyDescent="0.25">
      <c r="A66" s="3580">
        <v>10</v>
      </c>
      <c r="B66" s="3554">
        <f t="shared" si="6"/>
        <v>34</v>
      </c>
      <c r="C66" s="3581">
        <f t="shared" si="4"/>
        <v>90197.507340814962</v>
      </c>
      <c r="D66" s="3583">
        <f t="shared" si="1"/>
        <v>4481.5971323336671</v>
      </c>
      <c r="E66" s="3583">
        <f t="shared" si="5"/>
        <v>29877.314215557777</v>
      </c>
      <c r="F66" s="3581">
        <f t="shared" si="2"/>
        <v>0</v>
      </c>
      <c r="G66" s="3583">
        <f t="shared" si="0"/>
        <v>0</v>
      </c>
      <c r="H66" s="3585">
        <f t="shared" si="3"/>
        <v>0</v>
      </c>
    </row>
    <row r="67" spans="1:13" x14ac:dyDescent="0.25">
      <c r="A67" s="3580">
        <v>11</v>
      </c>
      <c r="B67" s="3554">
        <f t="shared" si="6"/>
        <v>35</v>
      </c>
      <c r="C67" s="3581">
        <f t="shared" si="4"/>
        <v>98939.664174440317</v>
      </c>
      <c r="D67" s="3583">
        <f t="shared" si="1"/>
        <v>4571.2290749803406</v>
      </c>
      <c r="E67" s="3583">
        <f t="shared" si="5"/>
        <v>30474.860499868933</v>
      </c>
      <c r="F67" s="3581">
        <f t="shared" si="2"/>
        <v>0</v>
      </c>
      <c r="G67" s="3583">
        <f t="shared" si="0"/>
        <v>0</v>
      </c>
      <c r="H67" s="3585">
        <f t="shared" si="3"/>
        <v>0</v>
      </c>
    </row>
    <row r="68" spans="1:13" x14ac:dyDescent="0.25">
      <c r="A68" s="3580">
        <v>12</v>
      </c>
      <c r="B68" s="3554">
        <f t="shared" si="6"/>
        <v>36</v>
      </c>
      <c r="C68" s="3581">
        <f t="shared" si="4"/>
        <v>108168.88344564458</v>
      </c>
      <c r="D68" s="3583">
        <f t="shared" si="1"/>
        <v>4662.6536564799471</v>
      </c>
      <c r="E68" s="3583">
        <f t="shared" si="5"/>
        <v>31084.357709866312</v>
      </c>
      <c r="F68" s="3581">
        <f t="shared" si="2"/>
        <v>0</v>
      </c>
      <c r="G68" s="3583">
        <f t="shared" si="0"/>
        <v>0</v>
      </c>
      <c r="H68" s="3585">
        <f t="shared" si="3"/>
        <v>0</v>
      </c>
    </row>
    <row r="69" spans="1:13" x14ac:dyDescent="0.25">
      <c r="A69" s="3580">
        <v>13</v>
      </c>
      <c r="B69" s="3554">
        <f t="shared" si="6"/>
        <v>37</v>
      </c>
      <c r="C69" s="3581">
        <f t="shared" si="4"/>
        <v>117908.95627172012</v>
      </c>
      <c r="D69" s="3583">
        <f t="shared" si="1"/>
        <v>4755.9067296095463</v>
      </c>
      <c r="E69" s="3583">
        <f t="shared" si="5"/>
        <v>31706.044864063639</v>
      </c>
      <c r="F69" s="3581">
        <f t="shared" si="2"/>
        <v>0</v>
      </c>
      <c r="G69" s="3583">
        <f t="shared" si="0"/>
        <v>0</v>
      </c>
      <c r="H69" s="3585">
        <f t="shared" si="3"/>
        <v>0</v>
      </c>
    </row>
    <row r="70" spans="1:13" x14ac:dyDescent="0.25">
      <c r="A70" s="3580">
        <v>14</v>
      </c>
      <c r="B70" s="3554">
        <f t="shared" si="6"/>
        <v>38</v>
      </c>
      <c r="C70" s="3581">
        <f t="shared" si="4"/>
        <v>128184.78183638949</v>
      </c>
      <c r="D70" s="3583">
        <f t="shared" si="1"/>
        <v>4851.0248642017377</v>
      </c>
      <c r="E70" s="3583">
        <f t="shared" si="5"/>
        <v>32340.165761344913</v>
      </c>
      <c r="F70" s="3581">
        <f t="shared" si="2"/>
        <v>0</v>
      </c>
      <c r="G70" s="3583">
        <f t="shared" si="0"/>
        <v>0</v>
      </c>
      <c r="H70" s="3585">
        <f t="shared" si="3"/>
        <v>0</v>
      </c>
    </row>
    <row r="71" spans="1:13" x14ac:dyDescent="0.25">
      <c r="A71" s="3580">
        <v>15</v>
      </c>
      <c r="B71" s="3554">
        <f t="shared" si="6"/>
        <v>39</v>
      </c>
      <c r="C71" s="3581">
        <f t="shared" si="4"/>
        <v>139022.41800211783</v>
      </c>
      <c r="D71" s="3583">
        <f t="shared" si="1"/>
        <v>4948.0453614857724</v>
      </c>
      <c r="E71" s="3583">
        <f t="shared" si="5"/>
        <v>32986.969076571811</v>
      </c>
      <c r="F71" s="3581">
        <f t="shared" si="2"/>
        <v>0</v>
      </c>
      <c r="G71" s="3583">
        <f t="shared" si="0"/>
        <v>0</v>
      </c>
      <c r="H71" s="3585">
        <f t="shared" si="3"/>
        <v>0</v>
      </c>
    </row>
    <row r="72" spans="1:13" x14ac:dyDescent="0.25">
      <c r="A72" s="3580">
        <v>16</v>
      </c>
      <c r="B72" s="3554">
        <f t="shared" si="6"/>
        <v>40</v>
      </c>
      <c r="C72" s="3581">
        <f t="shared" si="4"/>
        <v>150449.13421496574</v>
      </c>
      <c r="D72" s="3583">
        <f t="shared" si="1"/>
        <v>5047.0062687154877</v>
      </c>
      <c r="E72" s="3583">
        <f t="shared" si="5"/>
        <v>33646.708458103247</v>
      </c>
      <c r="F72" s="3581">
        <f t="shared" si="2"/>
        <v>0</v>
      </c>
      <c r="G72" s="3583">
        <f t="shared" si="0"/>
        <v>0</v>
      </c>
      <c r="H72" s="3585">
        <f t="shared" si="3"/>
        <v>0</v>
      </c>
    </row>
    <row r="73" spans="1:13" x14ac:dyDescent="0.25">
      <c r="A73" s="3580">
        <v>17</v>
      </c>
      <c r="B73" s="3554">
        <f t="shared" si="6"/>
        <v>41</v>
      </c>
      <c r="C73" s="3581">
        <f t="shared" si="4"/>
        <v>162493.46680544686</v>
      </c>
      <c r="D73" s="3583">
        <f t="shared" si="1"/>
        <v>5147.9463940897976</v>
      </c>
      <c r="E73" s="3583">
        <f t="shared" si="5"/>
        <v>34319.642627265312</v>
      </c>
      <c r="F73" s="3581">
        <f t="shared" si="2"/>
        <v>0</v>
      </c>
      <c r="G73" s="3583">
        <f t="shared" si="0"/>
        <v>0</v>
      </c>
      <c r="H73" s="3585">
        <f t="shared" si="3"/>
        <v>0</v>
      </c>
    </row>
    <row r="74" spans="1:13" x14ac:dyDescent="0.25">
      <c r="A74" s="3580">
        <v>18</v>
      </c>
      <c r="B74" s="3554">
        <f t="shared" si="6"/>
        <v>42</v>
      </c>
      <c r="C74" s="3581">
        <f t="shared" si="4"/>
        <v>175185.27679351578</v>
      </c>
      <c r="D74" s="3583">
        <f t="shared" si="1"/>
        <v>5250.9053219715934</v>
      </c>
      <c r="E74" s="3583">
        <f t="shared" si="5"/>
        <v>35006.03547981062</v>
      </c>
      <c r="F74" s="3581">
        <f t="shared" si="2"/>
        <v>0</v>
      </c>
      <c r="G74" s="3583">
        <f t="shared" si="0"/>
        <v>0</v>
      </c>
      <c r="H74" s="3585">
        <f t="shared" si="3"/>
        <v>0</v>
      </c>
    </row>
    <row r="75" spans="1:13" x14ac:dyDescent="0.25">
      <c r="A75" s="3580">
        <v>19</v>
      </c>
      <c r="B75" s="3554">
        <f t="shared" si="6"/>
        <v>43</v>
      </c>
      <c r="C75" s="3581">
        <f t="shared" si="4"/>
        <v>188555.81031068429</v>
      </c>
      <c r="D75" s="3583">
        <f t="shared" si="1"/>
        <v>5355.9234284110253</v>
      </c>
      <c r="E75" s="3583">
        <f t="shared" si="5"/>
        <v>35706.156189406836</v>
      </c>
      <c r="F75" s="3581">
        <f t="shared" si="2"/>
        <v>0</v>
      </c>
      <c r="G75" s="3583">
        <f t="shared" si="0"/>
        <v>0</v>
      </c>
      <c r="H75" s="3585">
        <f t="shared" si="3"/>
        <v>0</v>
      </c>
    </row>
    <row r="76" spans="1:13" x14ac:dyDescent="0.25">
      <c r="A76" s="3580">
        <v>20</v>
      </c>
      <c r="B76" s="3554">
        <f t="shared" si="6"/>
        <v>44</v>
      </c>
      <c r="C76" s="3581">
        <f t="shared" si="4"/>
        <v>202637.76175735457</v>
      </c>
      <c r="D76" s="3583">
        <f t="shared" si="1"/>
        <v>5463.0418969792463</v>
      </c>
      <c r="E76" s="3583">
        <f t="shared" si="5"/>
        <v>36420.279313194973</v>
      </c>
      <c r="F76" s="3581">
        <f t="shared" si="2"/>
        <v>0</v>
      </c>
      <c r="G76" s="3583">
        <f t="shared" si="0"/>
        <v>0</v>
      </c>
      <c r="H76" s="3585">
        <f t="shared" si="3"/>
        <v>0</v>
      </c>
    </row>
    <row r="77" spans="1:13" x14ac:dyDescent="0.25">
      <c r="A77" s="3580">
        <v>21</v>
      </c>
      <c r="B77" s="3554">
        <f t="shared" si="6"/>
        <v>45</v>
      </c>
      <c r="C77" s="3581">
        <f t="shared" si="4"/>
        <v>217465.33981877883</v>
      </c>
      <c r="D77" s="3583">
        <f t="shared" si="1"/>
        <v>5572.3027349188314</v>
      </c>
      <c r="E77" s="3583">
        <f t="shared" si="5"/>
        <v>37148.684899458873</v>
      </c>
      <c r="F77" s="3581">
        <f t="shared" si="2"/>
        <v>0</v>
      </c>
      <c r="G77" s="3583">
        <f t="shared" si="0"/>
        <v>0</v>
      </c>
      <c r="H77" s="3585">
        <f t="shared" si="3"/>
        <v>0</v>
      </c>
    </row>
    <row r="78" spans="1:13" x14ac:dyDescent="0.25">
      <c r="A78" s="3580">
        <v>22</v>
      </c>
      <c r="B78" s="3554">
        <f t="shared" si="6"/>
        <v>46</v>
      </c>
      <c r="C78" s="3581">
        <f t="shared" si="4"/>
        <v>233074.33646861403</v>
      </c>
      <c r="D78" s="3583">
        <f t="shared" si="1"/>
        <v>5683.7487896172079</v>
      </c>
      <c r="E78" s="3583">
        <f t="shared" si="5"/>
        <v>37891.658597448048</v>
      </c>
      <c r="F78" s="3581">
        <f t="shared" si="2"/>
        <v>0</v>
      </c>
      <c r="G78" s="3583">
        <f t="shared" si="0"/>
        <v>0</v>
      </c>
      <c r="H78" s="3585">
        <f t="shared" si="3"/>
        <v>0</v>
      </c>
    </row>
    <row r="79" spans="1:13" x14ac:dyDescent="0.25">
      <c r="A79" s="3580">
        <v>23</v>
      </c>
      <c r="B79" s="3554">
        <f t="shared" si="6"/>
        <v>47</v>
      </c>
      <c r="C79" s="3581">
        <f t="shared" si="4"/>
        <v>249502.19909485162</v>
      </c>
      <c r="D79" s="3583">
        <f t="shared" si="1"/>
        <v>5797.4237654095523</v>
      </c>
      <c r="E79" s="3583">
        <f t="shared" si="5"/>
        <v>38649.491769397013</v>
      </c>
      <c r="F79" s="3581">
        <f t="shared" si="2"/>
        <v>0</v>
      </c>
      <c r="G79" s="3583">
        <f t="shared" si="0"/>
        <v>0</v>
      </c>
      <c r="H79" s="3585">
        <f t="shared" si="3"/>
        <v>0</v>
      </c>
    </row>
    <row r="80" spans="1:13" x14ac:dyDescent="0.25">
      <c r="A80" s="3580">
        <v>24</v>
      </c>
      <c r="B80" s="3554">
        <f t="shared" si="6"/>
        <v>48</v>
      </c>
      <c r="C80" s="3581">
        <f t="shared" si="4"/>
        <v>266788.10588897293</v>
      </c>
      <c r="D80" s="3583">
        <f t="shared" si="1"/>
        <v>5913.3722407177438</v>
      </c>
      <c r="E80" s="3583">
        <f t="shared" si="5"/>
        <v>39422.481604784953</v>
      </c>
      <c r="F80" s="3581">
        <f t="shared" si="2"/>
        <v>0</v>
      </c>
      <c r="G80" s="3583">
        <f t="shared" si="0"/>
        <v>0</v>
      </c>
      <c r="H80" s="3585">
        <f t="shared" si="3"/>
        <v>0</v>
      </c>
    </row>
    <row r="81" spans="1:8" x14ac:dyDescent="0.25">
      <c r="A81" s="3580">
        <v>25</v>
      </c>
      <c r="B81" s="3554">
        <f t="shared" si="6"/>
        <v>49</v>
      </c>
      <c r="C81" s="3581">
        <f t="shared" si="4"/>
        <v>284973.04464552674</v>
      </c>
      <c r="D81" s="3583">
        <f t="shared" si="1"/>
        <v>6031.6396855320991</v>
      </c>
      <c r="E81" s="3583">
        <f t="shared" si="5"/>
        <v>40210.93123688065</v>
      </c>
      <c r="F81" s="3581">
        <f t="shared" si="2"/>
        <v>0</v>
      </c>
      <c r="G81" s="3583">
        <f t="shared" si="0"/>
        <v>0</v>
      </c>
      <c r="H81" s="3585">
        <f t="shared" si="3"/>
        <v>0</v>
      </c>
    </row>
    <row r="82" spans="1:8" x14ac:dyDescent="0.25">
      <c r="A82" s="3580">
        <v>26</v>
      </c>
      <c r="B82" s="3554">
        <f t="shared" si="6"/>
        <v>50</v>
      </c>
      <c r="C82" s="3581">
        <f t="shared" si="4"/>
        <v>304099.89512595645</v>
      </c>
      <c r="D82" s="3583">
        <f t="shared" si="1"/>
        <v>6152.2724792427407</v>
      </c>
      <c r="E82" s="3583">
        <f t="shared" si="5"/>
        <v>41015.149861618265</v>
      </c>
      <c r="F82" s="3581">
        <f t="shared" si="2"/>
        <v>0</v>
      </c>
      <c r="G82" s="3583">
        <f t="shared" si="0"/>
        <v>0</v>
      </c>
      <c r="H82" s="3585">
        <f t="shared" si="3"/>
        <v>0</v>
      </c>
    </row>
    <row r="83" spans="1:8" x14ac:dyDescent="0.25">
      <c r="A83" s="3580">
        <v>27</v>
      </c>
      <c r="B83" s="3554">
        <f t="shared" si="6"/>
        <v>51</v>
      </c>
      <c r="C83" s="3581">
        <f t="shared" si="4"/>
        <v>324213.51514743315</v>
      </c>
      <c r="D83" s="3583">
        <f t="shared" si="1"/>
        <v>6275.317928827596</v>
      </c>
      <c r="E83" s="3583">
        <f t="shared" si="5"/>
        <v>41835.452858850629</v>
      </c>
      <c r="F83" s="3581">
        <f t="shared" si="2"/>
        <v>0</v>
      </c>
      <c r="G83" s="3583">
        <f t="shared" si="0"/>
        <v>0</v>
      </c>
      <c r="H83" s="3585">
        <f t="shared" si="3"/>
        <v>0</v>
      </c>
    </row>
    <row r="84" spans="1:8" x14ac:dyDescent="0.25">
      <c r="A84" s="3580">
        <v>28</v>
      </c>
      <c r="B84" s="3554">
        <f t="shared" si="6"/>
        <v>52</v>
      </c>
      <c r="C84" s="3581">
        <f t="shared" si="4"/>
        <v>345360.83056469244</v>
      </c>
      <c r="D84" s="3583">
        <f t="shared" si="1"/>
        <v>6400.824287404148</v>
      </c>
      <c r="E84" s="3583">
        <f t="shared" si="5"/>
        <v>42672.161916027646</v>
      </c>
      <c r="F84" s="3581">
        <f t="shared" si="2"/>
        <v>0</v>
      </c>
      <c r="G84" s="3583">
        <f t="shared" si="0"/>
        <v>0</v>
      </c>
      <c r="H84" s="3585">
        <f t="shared" si="3"/>
        <v>0</v>
      </c>
    </row>
    <row r="85" spans="1:8" x14ac:dyDescent="0.25">
      <c r="A85" s="3580">
        <v>29</v>
      </c>
      <c r="B85" s="3554">
        <f t="shared" si="6"/>
        <v>53</v>
      </c>
      <c r="C85" s="3581">
        <f t="shared" si="4"/>
        <v>367590.92932044092</v>
      </c>
      <c r="D85" s="3583">
        <f t="shared" si="1"/>
        <v>6528.8407731522311</v>
      </c>
      <c r="E85" s="3583">
        <f t="shared" si="5"/>
        <v>43525.605154348203</v>
      </c>
      <c r="F85" s="3581">
        <f t="shared" si="2"/>
        <v>0</v>
      </c>
      <c r="G85" s="3583">
        <f t="shared" si="0"/>
        <v>0</v>
      </c>
      <c r="H85" s="3585">
        <f t="shared" si="3"/>
        <v>0</v>
      </c>
    </row>
    <row r="86" spans="1:8" x14ac:dyDescent="0.25">
      <c r="A86" s="3580">
        <v>30</v>
      </c>
      <c r="B86" s="3554">
        <f t="shared" si="6"/>
        <v>54</v>
      </c>
      <c r="C86" s="3581">
        <f t="shared" si="4"/>
        <v>390955.15974780481</v>
      </c>
      <c r="D86" s="3583">
        <f t="shared" si="1"/>
        <v>6659.4175886152761</v>
      </c>
      <c r="E86" s="3583">
        <f t="shared" si="5"/>
        <v>44396.117257435166</v>
      </c>
      <c r="F86" s="3581">
        <f t="shared" si="2"/>
        <v>0</v>
      </c>
      <c r="G86" s="3583">
        <f t="shared" si="0"/>
        <v>0</v>
      </c>
      <c r="H86" s="3585">
        <f t="shared" si="3"/>
        <v>0</v>
      </c>
    </row>
    <row r="87" spans="1:8" x14ac:dyDescent="0.25">
      <c r="A87" s="3580">
        <v>31</v>
      </c>
      <c r="B87" s="3554">
        <f t="shared" si="6"/>
        <v>55</v>
      </c>
      <c r="C87" s="3581">
        <f t="shared" si="4"/>
        <v>415507.23331655894</v>
      </c>
      <c r="D87" s="3583">
        <f t="shared" si="1"/>
        <v>6792.6059403875815</v>
      </c>
      <c r="E87" s="3583">
        <f t="shared" si="5"/>
        <v>45284.039602583871</v>
      </c>
      <c r="F87" s="3581">
        <f t="shared" si="2"/>
        <v>0</v>
      </c>
      <c r="G87" s="3583">
        <f t="shared" si="0"/>
        <v>0</v>
      </c>
      <c r="H87" s="3585">
        <f t="shared" si="3"/>
        <v>0</v>
      </c>
    </row>
    <row r="88" spans="1:8" x14ac:dyDescent="0.25">
      <c r="A88" s="3580">
        <v>32</v>
      </c>
      <c r="B88" s="3554">
        <f t="shared" si="6"/>
        <v>56</v>
      </c>
      <c r="C88" s="3581">
        <f t="shared" si="4"/>
        <v>441303.33202350908</v>
      </c>
      <c r="D88" s="3583">
        <f t="shared" si="1"/>
        <v>6928.4580591953336</v>
      </c>
      <c r="E88" s="3583">
        <f t="shared" si="5"/>
        <v>46189.720394635551</v>
      </c>
      <c r="F88" s="3581">
        <f t="shared" si="2"/>
        <v>0</v>
      </c>
      <c r="G88" s="3583">
        <f t="shared" si="0"/>
        <v>0</v>
      </c>
      <c r="H88" s="3585">
        <f t="shared" si="3"/>
        <v>0</v>
      </c>
    </row>
    <row r="89" spans="1:8" x14ac:dyDescent="0.25">
      <c r="A89" s="3580">
        <v>33</v>
      </c>
      <c r="B89" s="3554">
        <f t="shared" si="6"/>
        <v>57</v>
      </c>
      <c r="C89" s="3581">
        <f t="shared" si="4"/>
        <v>468402.22063642606</v>
      </c>
      <c r="D89" s="3583">
        <f t="shared" si="1"/>
        <v>7067.0272203792401</v>
      </c>
      <c r="E89" s="3583">
        <f t="shared" si="5"/>
        <v>47113.514802528261</v>
      </c>
      <c r="F89" s="3581">
        <f t="shared" si="2"/>
        <v>0</v>
      </c>
      <c r="G89" s="3583">
        <f t="shared" ref="G89:G125" si="7">IF(C88&lt;=0,0,IF((B89=$F$36), $F$48*IF(A89=1,$E$57,E88), IF(B89&gt;$F$36,G88*(1+$F$46),0)))*IF(B89&gt;0,1,0)</f>
        <v>0</v>
      </c>
      <c r="H89" s="3585">
        <f t="shared" si="3"/>
        <v>0</v>
      </c>
    </row>
    <row r="90" spans="1:8" x14ac:dyDescent="0.25">
      <c r="A90" s="3580">
        <v>34</v>
      </c>
      <c r="B90" s="3554">
        <f t="shared" si="6"/>
        <v>58</v>
      </c>
      <c r="C90" s="3581">
        <f t="shared" si="4"/>
        <v>496865.36401036149</v>
      </c>
      <c r="D90" s="3583">
        <f t="shared" ref="D90:D125" si="8">IF(B90&lt;$F$36,(D89*(1+$F$47)),0)</f>
        <v>7208.3677647868253</v>
      </c>
      <c r="E90" s="3583">
        <f t="shared" si="5"/>
        <v>48055.785098578825</v>
      </c>
      <c r="F90" s="3581">
        <f t="shared" si="2"/>
        <v>0</v>
      </c>
      <c r="G90" s="3583">
        <f t="shared" si="7"/>
        <v>0</v>
      </c>
      <c r="H90" s="3585">
        <f t="shared" si="3"/>
        <v>0</v>
      </c>
    </row>
    <row r="91" spans="1:8" x14ac:dyDescent="0.25">
      <c r="A91" s="3580">
        <v>35</v>
      </c>
      <c r="B91" s="3554">
        <f t="shared" si="6"/>
        <v>59</v>
      </c>
      <c r="C91" s="3581">
        <f t="shared" si="4"/>
        <v>526757.04970502993</v>
      </c>
      <c r="D91" s="3583">
        <f t="shared" si="8"/>
        <v>7352.5351200825617</v>
      </c>
      <c r="E91" s="3583">
        <f t="shared" si="5"/>
        <v>49016.9008005504</v>
      </c>
      <c r="F91" s="3581">
        <f t="shared" si="2"/>
        <v>0</v>
      </c>
      <c r="G91" s="3583">
        <f t="shared" si="7"/>
        <v>0</v>
      </c>
      <c r="H91" s="3585">
        <f t="shared" si="3"/>
        <v>0</v>
      </c>
    </row>
    <row r="92" spans="1:8" x14ac:dyDescent="0.25">
      <c r="A92" s="3580">
        <v>36</v>
      </c>
      <c r="B92" s="3554">
        <f t="shared" si="6"/>
        <v>60</v>
      </c>
      <c r="C92" s="3581">
        <f t="shared" si="4"/>
        <v>558144.51614224247</v>
      </c>
      <c r="D92" s="3583">
        <f t="shared" si="8"/>
        <v>7499.5858224842132</v>
      </c>
      <c r="E92" s="3583">
        <f t="shared" si="5"/>
        <v>49997.23881656141</v>
      </c>
      <c r="F92" s="3581">
        <f t="shared" si="2"/>
        <v>0</v>
      </c>
      <c r="G92" s="3583">
        <f t="shared" si="7"/>
        <v>0</v>
      </c>
      <c r="H92" s="3585">
        <f t="shared" si="3"/>
        <v>0</v>
      </c>
    </row>
    <row r="93" spans="1:8" x14ac:dyDescent="0.25">
      <c r="A93" s="3580">
        <v>37</v>
      </c>
      <c r="B93" s="3554">
        <f t="shared" si="6"/>
        <v>61</v>
      </c>
      <c r="C93" s="3581">
        <f t="shared" si="4"/>
        <v>591098.08655313938</v>
      </c>
      <c r="D93" s="3583">
        <f t="shared" si="8"/>
        <v>7649.5775389338978</v>
      </c>
      <c r="E93" s="3583">
        <f t="shared" si="5"/>
        <v>50997.183592892638</v>
      </c>
      <c r="F93" s="3581">
        <f t="shared" si="2"/>
        <v>0</v>
      </c>
      <c r="G93" s="3583">
        <f t="shared" si="7"/>
        <v>0</v>
      </c>
      <c r="H93" s="3585">
        <f t="shared" si="3"/>
        <v>0</v>
      </c>
    </row>
    <row r="94" spans="1:8" x14ac:dyDescent="0.25">
      <c r="A94" s="3580">
        <v>38</v>
      </c>
      <c r="B94" s="3554">
        <f t="shared" ref="B94:B115" si="9">B93+1</f>
        <v>62</v>
      </c>
      <c r="C94" s="3581">
        <f t="shared" si="4"/>
        <v>625691.30897621659</v>
      </c>
      <c r="D94" s="3583">
        <f t="shared" si="8"/>
        <v>7802.569089712576</v>
      </c>
      <c r="E94" s="3583">
        <f t="shared" si="5"/>
        <v>52017.127264750488</v>
      </c>
      <c r="F94" s="3581">
        <f t="shared" si="2"/>
        <v>0</v>
      </c>
      <c r="G94" s="3583">
        <f t="shared" si="7"/>
        <v>0</v>
      </c>
      <c r="H94" s="3585">
        <f t="shared" si="3"/>
        <v>0</v>
      </c>
    </row>
    <row r="95" spans="1:8" x14ac:dyDescent="0.25">
      <c r="A95" s="3580">
        <v>39</v>
      </c>
      <c r="B95" s="3554">
        <f t="shared" si="9"/>
        <v>63</v>
      </c>
      <c r="C95" s="3581">
        <f t="shared" si="4"/>
        <v>662001.10257889598</v>
      </c>
      <c r="D95" s="3583">
        <f t="shared" si="8"/>
        <v>7958.6204715068279</v>
      </c>
      <c r="E95" s="3583">
        <f t="shared" si="5"/>
        <v>53057.469810045499</v>
      </c>
      <c r="F95" s="3581">
        <f t="shared" si="2"/>
        <v>0</v>
      </c>
      <c r="G95" s="3583">
        <f t="shared" si="7"/>
        <v>0</v>
      </c>
      <c r="H95" s="3585">
        <f t="shared" si="3"/>
        <v>0</v>
      </c>
    </row>
    <row r="96" spans="1:8" x14ac:dyDescent="0.25">
      <c r="A96" s="3580">
        <v>40</v>
      </c>
      <c r="B96" s="3554">
        <f t="shared" si="9"/>
        <v>64</v>
      </c>
      <c r="C96" s="3581">
        <f t="shared" si="4"/>
        <v>700107.91058767086</v>
      </c>
      <c r="D96" s="3583">
        <f t="shared" si="8"/>
        <v>8117.792880936965</v>
      </c>
      <c r="E96" s="3583">
        <f t="shared" si="5"/>
        <v>54118.619206246411</v>
      </c>
      <c r="F96" s="3581">
        <f t="shared" si="2"/>
        <v>0</v>
      </c>
      <c r="G96" s="3583">
        <f t="shared" si="7"/>
        <v>0</v>
      </c>
      <c r="H96" s="3585">
        <f t="shared" si="3"/>
        <v>0</v>
      </c>
    </row>
    <row r="97" spans="1:8" x14ac:dyDescent="0.25">
      <c r="A97" s="3580">
        <v>41</v>
      </c>
      <c r="B97" s="3554">
        <f t="shared" si="9"/>
        <v>65</v>
      </c>
      <c r="C97" s="3581">
        <f t="shared" si="4"/>
        <v>740095.86012469511</v>
      </c>
      <c r="D97" s="3583">
        <f t="shared" si="8"/>
        <v>8280.1487385557048</v>
      </c>
      <c r="E97" s="3583">
        <f t="shared" si="5"/>
        <v>55200.991590371341</v>
      </c>
      <c r="F97" s="3581">
        <f t="shared" si="2"/>
        <v>0</v>
      </c>
      <c r="G97" s="3583">
        <f t="shared" si="7"/>
        <v>0</v>
      </c>
      <c r="H97" s="3585">
        <f t="shared" si="3"/>
        <v>0</v>
      </c>
    </row>
    <row r="98" spans="1:8" x14ac:dyDescent="0.25">
      <c r="A98" s="3580">
        <v>42</v>
      </c>
      <c r="B98" s="3554">
        <f t="shared" si="9"/>
        <v>66</v>
      </c>
      <c r="C98" s="3581">
        <f t="shared" si="4"/>
        <v>782052.92926209711</v>
      </c>
      <c r="D98" s="3583">
        <f t="shared" si="8"/>
        <v>8445.7517133268193</v>
      </c>
      <c r="E98" s="3583">
        <f t="shared" si="5"/>
        <v>56305.011422178766</v>
      </c>
      <c r="F98" s="3581">
        <f t="shared" si="2"/>
        <v>0</v>
      </c>
      <c r="G98" s="3583">
        <f t="shared" si="7"/>
        <v>0</v>
      </c>
      <c r="H98" s="3585">
        <f t="shared" si="3"/>
        <v>0</v>
      </c>
    </row>
    <row r="99" spans="1:8" x14ac:dyDescent="0.25">
      <c r="A99" s="3580">
        <v>43</v>
      </c>
      <c r="B99" s="3554">
        <f t="shared" si="9"/>
        <v>67</v>
      </c>
      <c r="C99" s="3581">
        <f t="shared" si="4"/>
        <v>770241.03863362281</v>
      </c>
      <c r="D99" s="3583">
        <f t="shared" si="8"/>
        <v>0</v>
      </c>
      <c r="E99" s="3583">
        <f t="shared" si="5"/>
        <v>0</v>
      </c>
      <c r="F99" s="3581">
        <f t="shared" si="2"/>
        <v>6000</v>
      </c>
      <c r="G99" s="3583">
        <f t="shared" si="7"/>
        <v>45044.009137743014</v>
      </c>
      <c r="H99" s="3585">
        <f t="shared" si="3"/>
        <v>0.1332030632897753</v>
      </c>
    </row>
    <row r="100" spans="1:8" x14ac:dyDescent="0.25">
      <c r="A100" s="3580">
        <v>44</v>
      </c>
      <c r="B100" s="3554">
        <f t="shared" si="9"/>
        <v>68</v>
      </c>
      <c r="C100" s="3581">
        <f t="shared" si="4"/>
        <v>748214.85195229109</v>
      </c>
      <c r="D100" s="3583">
        <f t="shared" si="8"/>
        <v>0</v>
      </c>
      <c r="E100" s="3583">
        <f t="shared" si="5"/>
        <v>0</v>
      </c>
      <c r="F100" s="3581">
        <f t="shared" si="2"/>
        <v>6120</v>
      </c>
      <c r="G100" s="3583">
        <f t="shared" si="7"/>
        <v>46395.329411875304</v>
      </c>
      <c r="H100" s="3585">
        <f t="shared" si="3"/>
        <v>0.13190982966560275</v>
      </c>
    </row>
    <row r="101" spans="1:8" x14ac:dyDescent="0.25">
      <c r="A101" s="3580">
        <v>45</v>
      </c>
      <c r="B101" s="3554">
        <f t="shared" si="9"/>
        <v>69</v>
      </c>
      <c r="C101" s="3581">
        <f t="shared" si="4"/>
        <v>724336.81422451092</v>
      </c>
      <c r="D101" s="3583">
        <f t="shared" si="8"/>
        <v>0</v>
      </c>
      <c r="E101" s="3583">
        <f t="shared" si="5"/>
        <v>0</v>
      </c>
      <c r="F101" s="3581">
        <f t="shared" si="2"/>
        <v>6242.4</v>
      </c>
      <c r="G101" s="3583">
        <f t="shared" si="7"/>
        <v>47787.189294231561</v>
      </c>
      <c r="H101" s="3585">
        <f t="shared" si="3"/>
        <v>0.13062915170768427</v>
      </c>
    </row>
    <row r="102" spans="1:8" x14ac:dyDescent="0.25">
      <c r="A102" s="3580">
        <v>46</v>
      </c>
      <c r="B102" s="3554">
        <f t="shared" si="9"/>
        <v>70</v>
      </c>
      <c r="C102" s="3581">
        <f t="shared" si="4"/>
        <v>698520.33868273871</v>
      </c>
      <c r="D102" s="3583">
        <f t="shared" si="8"/>
        <v>0</v>
      </c>
      <c r="E102" s="3583">
        <f t="shared" si="5"/>
        <v>0</v>
      </c>
      <c r="F102" s="3581">
        <f t="shared" si="2"/>
        <v>6367.2479999999996</v>
      </c>
      <c r="G102" s="3583">
        <f t="shared" si="7"/>
        <v>49220.804973058512</v>
      </c>
      <c r="H102" s="3585">
        <f t="shared" si="3"/>
        <v>0.12936090751634752</v>
      </c>
    </row>
    <row r="103" spans="1:8" x14ac:dyDescent="0.25">
      <c r="A103" s="3580">
        <v>47</v>
      </c>
      <c r="B103" s="3554">
        <f t="shared" si="9"/>
        <v>71</v>
      </c>
      <c r="C103" s="3581">
        <f t="shared" si="4"/>
        <v>670675.44008350058</v>
      </c>
      <c r="D103" s="3583">
        <f t="shared" si="8"/>
        <v>0</v>
      </c>
      <c r="E103" s="3583">
        <f t="shared" si="5"/>
        <v>0</v>
      </c>
      <c r="F103" s="3581">
        <f t="shared" si="2"/>
        <v>6494.5929599999999</v>
      </c>
      <c r="G103" s="3583">
        <f t="shared" si="7"/>
        <v>50697.429122250265</v>
      </c>
      <c r="H103" s="3585">
        <f t="shared" si="3"/>
        <v>0.1281049763754121</v>
      </c>
    </row>
    <row r="104" spans="1:8" x14ac:dyDescent="0.25">
      <c r="A104" s="3580">
        <v>48</v>
      </c>
      <c r="B104" s="3554">
        <f t="shared" si="9"/>
        <v>72</v>
      </c>
      <c r="C104" s="3581">
        <f t="shared" si="4"/>
        <v>640708.61222945235</v>
      </c>
      <c r="D104" s="3583">
        <f t="shared" si="8"/>
        <v>0</v>
      </c>
      <c r="E104" s="3583">
        <f t="shared" si="5"/>
        <v>0</v>
      </c>
      <c r="F104" s="3581">
        <f t="shared" si="2"/>
        <v>6624.4848191999999</v>
      </c>
      <c r="G104" s="3583">
        <f t="shared" si="7"/>
        <v>52218.351995917772</v>
      </c>
      <c r="H104" s="3585">
        <f t="shared" si="3"/>
        <v>0.12686123874069938</v>
      </c>
    </row>
    <row r="105" spans="1:8" x14ac:dyDescent="0.25">
      <c r="A105" s="3580">
        <v>49</v>
      </c>
      <c r="B105" s="3554">
        <f t="shared" si="9"/>
        <v>73</v>
      </c>
      <c r="C105" s="3581">
        <f t="shared" si="4"/>
        <v>608522.70129397197</v>
      </c>
      <c r="D105" s="3583">
        <f t="shared" si="8"/>
        <v>0</v>
      </c>
      <c r="E105" s="3583">
        <f t="shared" si="5"/>
        <v>0</v>
      </c>
      <c r="F105" s="3581">
        <f t="shared" si="2"/>
        <v>6756.9745155840001</v>
      </c>
      <c r="G105" s="3583">
        <f t="shared" si="7"/>
        <v>53784.902555795306</v>
      </c>
      <c r="H105" s="3585">
        <f t="shared" si="3"/>
        <v>0.12562957622865376</v>
      </c>
    </row>
    <row r="106" spans="1:8" x14ac:dyDescent="0.25">
      <c r="A106" s="3580">
        <v>50</v>
      </c>
      <c r="B106" s="3554">
        <f t="shared" si="9"/>
        <v>74</v>
      </c>
      <c r="C106" s="3581">
        <f t="shared" si="4"/>
        <v>574016.77480908332</v>
      </c>
      <c r="D106" s="3583">
        <f t="shared" si="8"/>
        <v>0</v>
      </c>
      <c r="E106" s="3583">
        <f t="shared" si="5"/>
        <v>0</v>
      </c>
      <c r="F106" s="3581">
        <f t="shared" si="2"/>
        <v>6892.1140058956789</v>
      </c>
      <c r="G106" s="3583">
        <f t="shared" si="7"/>
        <v>55398.449632469164</v>
      </c>
      <c r="H106" s="3585">
        <f t="shared" si="3"/>
        <v>0.12440987160507457</v>
      </c>
    </row>
    <row r="107" spans="1:8" x14ac:dyDescent="0.25">
      <c r="A107" s="3580">
        <v>51</v>
      </c>
      <c r="B107" s="3554">
        <f t="shared" si="9"/>
        <v>75</v>
      </c>
      <c r="C107" s="3581">
        <f t="shared" si="4"/>
        <v>537085.98617299495</v>
      </c>
      <c r="D107" s="3583">
        <f t="shared" si="8"/>
        <v>0</v>
      </c>
      <c r="E107" s="3583">
        <f t="shared" si="5"/>
        <v>0</v>
      </c>
      <c r="F107" s="3581">
        <f t="shared" si="2"/>
        <v>7029.9562860135929</v>
      </c>
      <c r="G107" s="3583">
        <f t="shared" si="7"/>
        <v>57060.40312144324</v>
      </c>
      <c r="H107" s="3585">
        <f t="shared" si="3"/>
        <v>0.12320200877395734</v>
      </c>
    </row>
    <row r="108" spans="1:8" x14ac:dyDescent="0.25">
      <c r="A108" s="3580">
        <v>52</v>
      </c>
      <c r="B108" s="3554">
        <f t="shared" si="9"/>
        <v>76</v>
      </c>
      <c r="C108" s="3581">
        <f t="shared" si="4"/>
        <v>497621.43452888331</v>
      </c>
      <c r="D108" s="3583">
        <f t="shared" si="8"/>
        <v>0</v>
      </c>
      <c r="E108" s="3583">
        <f t="shared" si="5"/>
        <v>0</v>
      </c>
      <c r="F108" s="3581">
        <f t="shared" si="2"/>
        <v>7170.5554117338652</v>
      </c>
      <c r="G108" s="3583">
        <f t="shared" si="7"/>
        <v>58772.215215086537</v>
      </c>
      <c r="H108" s="3585">
        <f t="shared" si="3"/>
        <v>0.1220058727664432</v>
      </c>
    </row>
    <row r="109" spans="1:8" x14ac:dyDescent="0.25">
      <c r="A109" s="3580">
        <v>53</v>
      </c>
      <c r="B109" s="3554">
        <f t="shared" si="9"/>
        <v>77</v>
      </c>
      <c r="C109" s="3581">
        <f t="shared" si="4"/>
        <v>455510.01986174547</v>
      </c>
      <c r="D109" s="3583">
        <f t="shared" si="8"/>
        <v>0</v>
      </c>
      <c r="E109" s="3583">
        <f t="shared" si="5"/>
        <v>0</v>
      </c>
      <c r="F109" s="3581">
        <f t="shared" si="2"/>
        <v>7313.9665199685423</v>
      </c>
      <c r="G109" s="3583">
        <f t="shared" si="7"/>
        <v>60535.381671539137</v>
      </c>
      <c r="H109" s="3585">
        <f t="shared" si="3"/>
        <v>0.12082134972987578</v>
      </c>
    </row>
    <row r="110" spans="1:8" x14ac:dyDescent="0.25">
      <c r="A110" s="3580">
        <v>54</v>
      </c>
      <c r="B110" s="3554">
        <f t="shared" si="9"/>
        <v>78</v>
      </c>
      <c r="C110" s="3581">
        <f t="shared" si="4"/>
        <v>410634.29315518879</v>
      </c>
      <c r="D110" s="3583">
        <f t="shared" si="8"/>
        <v>0</v>
      </c>
      <c r="E110" s="3583">
        <f t="shared" si="5"/>
        <v>0</v>
      </c>
      <c r="F110" s="3581">
        <f t="shared" si="2"/>
        <v>7460.2458503679118</v>
      </c>
      <c r="G110" s="3583">
        <f t="shared" si="7"/>
        <v>62351.443121685312</v>
      </c>
      <c r="H110" s="3585">
        <f t="shared" si="3"/>
        <v>0.11964832691696434</v>
      </c>
    </row>
    <row r="111" spans="1:8" x14ac:dyDescent="0.25">
      <c r="A111" s="3580">
        <v>55</v>
      </c>
      <c r="B111" s="3554">
        <f t="shared" si="9"/>
        <v>79</v>
      </c>
      <c r="C111" s="3581">
        <f t="shared" si="4"/>
        <v>362872.3014449089</v>
      </c>
      <c r="D111" s="3583">
        <f t="shared" si="8"/>
        <v>0</v>
      </c>
      <c r="E111" s="3583">
        <f t="shared" si="5"/>
        <v>0</v>
      </c>
      <c r="F111" s="3581">
        <f t="shared" si="2"/>
        <v>7609.4507673752714</v>
      </c>
      <c r="G111" s="3583">
        <f t="shared" si="7"/>
        <v>64221.986415335872</v>
      </c>
      <c r="H111" s="3585">
        <f t="shared" si="3"/>
        <v>0.11848669267505209</v>
      </c>
    </row>
    <row r="112" spans="1:8" x14ac:dyDescent="0.25">
      <c r="A112" s="3580">
        <v>56</v>
      </c>
      <c r="B112" s="3554">
        <f t="shared" si="9"/>
        <v>80</v>
      </c>
      <c r="C112" s="3581">
        <f t="shared" si="4"/>
        <v>312097.42760033155</v>
      </c>
      <c r="D112" s="3583">
        <f t="shared" si="8"/>
        <v>0</v>
      </c>
      <c r="E112" s="3583">
        <f t="shared" si="5"/>
        <v>0</v>
      </c>
      <c r="F112" s="3581">
        <f t="shared" si="2"/>
        <v>7761.6397827227765</v>
      </c>
      <c r="G112" s="3583">
        <f t="shared" si="7"/>
        <v>66148.646007795949</v>
      </c>
      <c r="H112" s="3585">
        <f t="shared" si="3"/>
        <v>0.11733633643548846</v>
      </c>
    </row>
    <row r="113" spans="1:8" x14ac:dyDescent="0.25">
      <c r="A113" s="3580">
        <v>57</v>
      </c>
      <c r="B113" s="3554">
        <f t="shared" si="9"/>
        <v>81</v>
      </c>
      <c r="C113" s="3581">
        <f t="shared" si="4"/>
        <v>258178.22466044591</v>
      </c>
      <c r="D113" s="3583">
        <f t="shared" si="8"/>
        <v>0</v>
      </c>
      <c r="E113" s="3583">
        <f t="shared" si="5"/>
        <v>0</v>
      </c>
      <c r="F113" s="3581">
        <f t="shared" si="2"/>
        <v>7916.8725783772325</v>
      </c>
      <c r="G113" s="3583">
        <f t="shared" si="7"/>
        <v>68133.105388029828</v>
      </c>
      <c r="H113" s="3585">
        <f t="shared" si="3"/>
        <v>0.11619714870310509</v>
      </c>
    </row>
    <row r="114" spans="1:8" x14ac:dyDescent="0.25">
      <c r="A114" s="3580">
        <v>58</v>
      </c>
      <c r="B114" s="3554">
        <f t="shared" si="9"/>
        <v>82</v>
      </c>
      <c r="C114" s="3581">
        <f t="shared" si="4"/>
        <v>200978.24454423791</v>
      </c>
      <c r="D114" s="3583">
        <f t="shared" si="8"/>
        <v>0</v>
      </c>
      <c r="E114" s="3583">
        <f t="shared" si="5"/>
        <v>0</v>
      </c>
      <c r="F114" s="3581">
        <f t="shared" si="2"/>
        <v>8075.2100299447757</v>
      </c>
      <c r="G114" s="3583">
        <f t="shared" si="7"/>
        <v>70177.098549670729</v>
      </c>
      <c r="H114" s="3585">
        <f t="shared" si="3"/>
        <v>0.11506902104579336</v>
      </c>
    </row>
    <row r="115" spans="1:8" x14ac:dyDescent="0.25">
      <c r="A115" s="3580">
        <v>59</v>
      </c>
      <c r="B115" s="3554">
        <f t="shared" si="9"/>
        <v>83</v>
      </c>
      <c r="C115" s="3581">
        <f t="shared" si="4"/>
        <v>140355.86095033627</v>
      </c>
      <c r="D115" s="3583">
        <f t="shared" si="8"/>
        <v>0</v>
      </c>
      <c r="E115" s="3583">
        <f t="shared" si="5"/>
        <v>0</v>
      </c>
      <c r="F115" s="3581">
        <f t="shared" si="2"/>
        <v>8236.7142305436719</v>
      </c>
      <c r="G115" s="3583">
        <f t="shared" si="7"/>
        <v>72282.411506160846</v>
      </c>
      <c r="H115" s="3585">
        <f t="shared" si="3"/>
        <v>0.11395184608418372</v>
      </c>
    </row>
    <row r="116" spans="1:8" x14ac:dyDescent="0.25">
      <c r="A116" s="3580">
        <v>60</v>
      </c>
      <c r="B116" s="3554">
        <f t="shared" ref="B116:B125" si="10">B115+1</f>
        <v>84</v>
      </c>
      <c r="C116" s="3581">
        <f t="shared" si="4"/>
        <v>76164.086254498776</v>
      </c>
      <c r="D116" s="3583">
        <f t="shared" si="8"/>
        <v>0</v>
      </c>
      <c r="E116" s="3583">
        <f t="shared" si="5"/>
        <v>0</v>
      </c>
      <c r="F116" s="3581">
        <f t="shared" si="2"/>
        <v>8401.4485151545468</v>
      </c>
      <c r="G116" s="3583">
        <f t="shared" si="7"/>
        <v>74450.883851345672</v>
      </c>
      <c r="H116" s="3585">
        <f t="shared" si="3"/>
        <v>0.11284551748142468</v>
      </c>
    </row>
    <row r="117" spans="1:8" x14ac:dyDescent="0.25">
      <c r="A117" s="3580">
        <v>61</v>
      </c>
      <c r="B117" s="3554">
        <f t="shared" si="10"/>
        <v>85</v>
      </c>
      <c r="C117" s="3581">
        <f t="shared" si="4"/>
        <v>8250.3822073971241</v>
      </c>
      <c r="D117" s="3583">
        <f t="shared" si="8"/>
        <v>0</v>
      </c>
      <c r="E117" s="3583">
        <f t="shared" si="5"/>
        <v>0</v>
      </c>
      <c r="F117" s="3581">
        <f t="shared" si="2"/>
        <v>8569.4774854576372</v>
      </c>
      <c r="G117" s="3583">
        <f t="shared" si="7"/>
        <v>76684.410366886048</v>
      </c>
      <c r="H117" s="3585">
        <f t="shared" si="3"/>
        <v>0.11174992993306132</v>
      </c>
    </row>
    <row r="118" spans="1:8" x14ac:dyDescent="0.25">
      <c r="A118" s="3580">
        <v>62</v>
      </c>
      <c r="B118" s="3554">
        <f t="shared" si="10"/>
        <v>86</v>
      </c>
      <c r="C118" s="3581">
        <f t="shared" si="4"/>
        <v>-63543.535771211929</v>
      </c>
      <c r="D118" s="3583">
        <f t="shared" si="8"/>
        <v>0</v>
      </c>
      <c r="E118" s="3583">
        <f t="shared" si="5"/>
        <v>0</v>
      </c>
      <c r="F118" s="3581">
        <f t="shared" si="2"/>
        <v>8740.8670351667879</v>
      </c>
      <c r="G118" s="3583">
        <f t="shared" si="7"/>
        <v>78984.942677892628</v>
      </c>
      <c r="H118" s="3585">
        <f t="shared" si="3"/>
        <v>0.11066497915701216</v>
      </c>
    </row>
    <row r="119" spans="1:8" x14ac:dyDescent="0.25">
      <c r="A119" s="3580">
        <v>63</v>
      </c>
      <c r="B119" s="3554">
        <f t="shared" si="10"/>
        <v>87</v>
      </c>
      <c r="C119" s="3581">
        <f t="shared" si="4"/>
        <v>0</v>
      </c>
      <c r="D119" s="3583">
        <f t="shared" si="8"/>
        <v>0</v>
      </c>
      <c r="E119" s="3583">
        <f t="shared" si="5"/>
        <v>0</v>
      </c>
      <c r="F119" s="3581">
        <f t="shared" si="2"/>
        <v>8915.6843758701252</v>
      </c>
      <c r="G119" s="3583">
        <f t="shared" si="7"/>
        <v>0</v>
      </c>
      <c r="H119" s="3585">
        <f t="shared" si="3"/>
        <v>0</v>
      </c>
    </row>
    <row r="120" spans="1:8" x14ac:dyDescent="0.25">
      <c r="A120" s="3580">
        <v>64</v>
      </c>
      <c r="B120" s="3554">
        <f t="shared" si="10"/>
        <v>88</v>
      </c>
      <c r="C120" s="3581">
        <f t="shared" si="4"/>
        <v>0</v>
      </c>
      <c r="D120" s="3583">
        <f t="shared" si="8"/>
        <v>0</v>
      </c>
      <c r="E120" s="3583">
        <f t="shared" si="5"/>
        <v>0</v>
      </c>
      <c r="F120" s="3581">
        <f t="shared" si="2"/>
        <v>9093.9980633875275</v>
      </c>
      <c r="G120" s="3583">
        <f t="shared" si="7"/>
        <v>0</v>
      </c>
      <c r="H120" s="3585">
        <f t="shared" si="3"/>
        <v>0</v>
      </c>
    </row>
    <row r="121" spans="1:8" x14ac:dyDescent="0.25">
      <c r="A121" s="3580">
        <v>65</v>
      </c>
      <c r="B121" s="3554">
        <f t="shared" si="10"/>
        <v>89</v>
      </c>
      <c r="C121" s="3581">
        <f t="shared" si="4"/>
        <v>0</v>
      </c>
      <c r="D121" s="3583">
        <f t="shared" si="8"/>
        <v>0</v>
      </c>
      <c r="E121" s="3583">
        <f t="shared" si="5"/>
        <v>0</v>
      </c>
      <c r="F121" s="3581">
        <f t="shared" si="2"/>
        <v>9275.8780246552778</v>
      </c>
      <c r="G121" s="3583">
        <f t="shared" si="7"/>
        <v>0</v>
      </c>
      <c r="H121" s="3585">
        <f t="shared" si="3"/>
        <v>0</v>
      </c>
    </row>
    <row r="122" spans="1:8" x14ac:dyDescent="0.25">
      <c r="A122" s="3580">
        <v>66</v>
      </c>
      <c r="B122" s="3554">
        <f t="shared" si="10"/>
        <v>90</v>
      </c>
      <c r="C122" s="3581">
        <f t="shared" si="4"/>
        <v>0</v>
      </c>
      <c r="D122" s="3583">
        <f t="shared" si="8"/>
        <v>0</v>
      </c>
      <c r="E122" s="3583">
        <f t="shared" si="5"/>
        <v>0</v>
      </c>
      <c r="F122" s="3581">
        <f t="shared" ref="F122:F125" si="11">IF(B122&lt;$F$36,0,$F$40*POWER((1+$F$45),($B122-$F$36)))</f>
        <v>9461.3955851483825</v>
      </c>
      <c r="G122" s="3583">
        <f t="shared" si="7"/>
        <v>0</v>
      </c>
      <c r="H122" s="3585">
        <f t="shared" ref="H122:H125" si="12">IF(G122&lt;=0,0%, F122/G122)</f>
        <v>0</v>
      </c>
    </row>
    <row r="123" spans="1:8" x14ac:dyDescent="0.25">
      <c r="A123" s="3580">
        <v>67</v>
      </c>
      <c r="B123" s="3554">
        <f t="shared" si="10"/>
        <v>91</v>
      </c>
      <c r="C123" s="3581">
        <f t="shared" ref="C123:C125" si="13">IF(C122&gt;0,(C122+D122-G123+F123),0)*(1+IF(B123&lt;$F$36,$F$43,$F$44))</f>
        <v>0</v>
      </c>
      <c r="D123" s="3583">
        <f t="shared" si="8"/>
        <v>0</v>
      </c>
      <c r="E123" s="3583">
        <f t="shared" ref="E123:E125" si="14">IF(B123&lt;$F$36,E122*(1+$F$45),0)</f>
        <v>0</v>
      </c>
      <c r="F123" s="3581">
        <f t="shared" si="11"/>
        <v>9650.6234968513509</v>
      </c>
      <c r="G123" s="3583">
        <f t="shared" si="7"/>
        <v>0</v>
      </c>
      <c r="H123" s="3585">
        <f t="shared" si="12"/>
        <v>0</v>
      </c>
    </row>
    <row r="124" spans="1:8" x14ac:dyDescent="0.25">
      <c r="A124" s="3580">
        <v>68</v>
      </c>
      <c r="B124" s="3554">
        <f t="shared" si="10"/>
        <v>92</v>
      </c>
      <c r="C124" s="3581">
        <f t="shared" si="13"/>
        <v>0</v>
      </c>
      <c r="D124" s="3583">
        <f t="shared" si="8"/>
        <v>0</v>
      </c>
      <c r="E124" s="3583">
        <f t="shared" si="14"/>
        <v>0</v>
      </c>
      <c r="F124" s="3581">
        <f t="shared" si="11"/>
        <v>9843.6359667883771</v>
      </c>
      <c r="G124" s="3583">
        <f t="shared" si="7"/>
        <v>0</v>
      </c>
      <c r="H124" s="3585">
        <f t="shared" si="12"/>
        <v>0</v>
      </c>
    </row>
    <row r="125" spans="1:8" ht="15.75" thickBot="1" x14ac:dyDescent="0.3">
      <c r="A125" s="3587">
        <v>69</v>
      </c>
      <c r="B125" s="3081">
        <f t="shared" si="10"/>
        <v>93</v>
      </c>
      <c r="C125" s="3588">
        <f t="shared" si="13"/>
        <v>0</v>
      </c>
      <c r="D125" s="3589">
        <f t="shared" si="8"/>
        <v>0</v>
      </c>
      <c r="E125" s="3589">
        <f t="shared" si="14"/>
        <v>0</v>
      </c>
      <c r="F125" s="3588">
        <f t="shared" si="11"/>
        <v>10040.508686124145</v>
      </c>
      <c r="G125" s="3589">
        <f t="shared" si="7"/>
        <v>0</v>
      </c>
      <c r="H125" s="3590">
        <f t="shared" si="12"/>
        <v>0</v>
      </c>
    </row>
    <row r="126" spans="1:8" ht="15.75" thickTop="1" x14ac:dyDescent="0.25"/>
    <row r="128" spans="1:8" s="2812" customFormat="1" ht="15.75" x14ac:dyDescent="0.25">
      <c r="A128" s="2809"/>
      <c r="B128" s="1383" t="s">
        <v>953</v>
      </c>
      <c r="C128" s="2809"/>
      <c r="D128" s="2809"/>
      <c r="E128" s="2809"/>
      <c r="F128" s="1471" t="s">
        <v>952</v>
      </c>
      <c r="G128" s="2809"/>
      <c r="H128" s="2809"/>
    </row>
    <row r="129" spans="1:8" ht="15.75" thickBot="1" x14ac:dyDescent="0.3"/>
    <row r="130" spans="1:8" ht="19.5" thickTop="1" x14ac:dyDescent="0.3">
      <c r="A130" s="3018" t="s">
        <v>486</v>
      </c>
      <c r="B130" s="3019"/>
      <c r="C130" s="3019"/>
      <c r="D130" s="3020"/>
      <c r="E130" s="3020"/>
      <c r="F130" s="3019"/>
      <c r="G130" s="3019"/>
      <c r="H130" s="3021"/>
    </row>
    <row r="131" spans="1:8" ht="15.75" x14ac:dyDescent="0.25">
      <c r="A131" s="3022" t="s">
        <v>736</v>
      </c>
      <c r="B131" s="3023"/>
      <c r="C131" s="3023"/>
      <c r="D131" s="3024"/>
      <c r="E131" s="3024"/>
      <c r="F131" s="3023"/>
      <c r="G131" s="3023"/>
      <c r="H131" s="3025"/>
    </row>
    <row r="132" spans="1:8" x14ac:dyDescent="0.25">
      <c r="A132" s="3026"/>
      <c r="B132" s="943" t="s">
        <v>326</v>
      </c>
      <c r="C132" s="3024"/>
      <c r="D132" s="3024"/>
      <c r="E132" s="3024"/>
      <c r="F132" s="3023"/>
      <c r="G132" s="3023"/>
      <c r="H132" s="3025"/>
    </row>
    <row r="133" spans="1:8" x14ac:dyDescent="0.25">
      <c r="A133" s="3026"/>
      <c r="B133" s="1356" t="s">
        <v>870</v>
      </c>
      <c r="C133" s="3027"/>
      <c r="D133" s="3027"/>
      <c r="E133" s="3024"/>
      <c r="F133" s="3023"/>
      <c r="G133" s="3023"/>
      <c r="H133" s="3025"/>
    </row>
    <row r="134" spans="1:8" x14ac:dyDescent="0.25">
      <c r="A134" s="3026"/>
      <c r="B134" s="942" t="s">
        <v>1103</v>
      </c>
      <c r="C134" s="3024"/>
      <c r="D134" s="3024"/>
      <c r="E134" s="3024"/>
      <c r="F134" s="3023"/>
      <c r="G134" s="3023"/>
      <c r="H134" s="3025"/>
    </row>
    <row r="135" spans="1:8" x14ac:dyDescent="0.25">
      <c r="A135" s="3026" t="s">
        <v>154</v>
      </c>
      <c r="B135" s="942" t="s">
        <v>1104</v>
      </c>
      <c r="C135" s="3024"/>
      <c r="D135" s="3024"/>
      <c r="E135" s="3024"/>
      <c r="F135" s="3023"/>
      <c r="G135" s="3023"/>
      <c r="H135" s="3025"/>
    </row>
    <row r="136" spans="1:8" x14ac:dyDescent="0.25">
      <c r="A136" s="3026"/>
      <c r="B136" s="942" t="s">
        <v>1105</v>
      </c>
      <c r="C136" s="3024"/>
      <c r="D136" s="3024"/>
      <c r="E136" s="3024"/>
      <c r="F136" s="3023"/>
      <c r="G136" s="3023"/>
      <c r="H136" s="3025"/>
    </row>
    <row r="137" spans="1:8" x14ac:dyDescent="0.25">
      <c r="A137" s="3028"/>
      <c r="B137" s="942" t="s">
        <v>1106</v>
      </c>
      <c r="C137" s="3029"/>
      <c r="D137" s="3024"/>
      <c r="E137" s="3024"/>
      <c r="F137" s="3023"/>
      <c r="G137" s="3023"/>
      <c r="H137" s="3025"/>
    </row>
    <row r="138" spans="1:8" x14ac:dyDescent="0.25">
      <c r="A138" s="3028"/>
      <c r="B138" s="942" t="s">
        <v>1449</v>
      </c>
      <c r="C138" s="3029"/>
      <c r="D138" s="3024"/>
      <c r="E138" s="3024"/>
      <c r="F138" s="3023"/>
      <c r="G138" s="3023"/>
      <c r="H138" s="3025"/>
    </row>
    <row r="139" spans="1:8" x14ac:dyDescent="0.25">
      <c r="A139" s="3028"/>
      <c r="B139" s="942" t="s">
        <v>1462</v>
      </c>
      <c r="C139" s="3029"/>
      <c r="D139" s="3024"/>
      <c r="E139" s="3024"/>
      <c r="F139" s="3023"/>
      <c r="G139" s="3023"/>
      <c r="H139" s="3025"/>
    </row>
    <row r="140" spans="1:8" x14ac:dyDescent="0.25">
      <c r="A140" s="3028"/>
      <c r="B140" s="942" t="s">
        <v>1450</v>
      </c>
      <c r="C140" s="3029"/>
      <c r="D140" s="3024"/>
      <c r="E140" s="3024"/>
      <c r="F140" s="3023"/>
      <c r="G140" s="3023"/>
      <c r="H140" s="3025"/>
    </row>
    <row r="141" spans="1:8" x14ac:dyDescent="0.25">
      <c r="A141" s="3028"/>
      <c r="B141" s="942" t="s">
        <v>1107</v>
      </c>
      <c r="C141" s="3029"/>
      <c r="D141" s="3024"/>
      <c r="E141" s="3024"/>
      <c r="F141" s="3023"/>
      <c r="G141" s="3023"/>
      <c r="H141" s="3025"/>
    </row>
    <row r="142" spans="1:8" x14ac:dyDescent="0.25">
      <c r="A142" s="3028"/>
      <c r="B142" s="943" t="s">
        <v>1108</v>
      </c>
      <c r="C142" s="3029"/>
      <c r="D142" s="3024"/>
      <c r="E142" s="3024"/>
      <c r="F142" s="3023"/>
      <c r="G142" s="3023"/>
      <c r="H142" s="3025"/>
    </row>
    <row r="143" spans="1:8" x14ac:dyDescent="0.25">
      <c r="A143" s="3028"/>
      <c r="B143" s="943" t="s">
        <v>1100</v>
      </c>
      <c r="C143" s="3029"/>
      <c r="D143" s="3024"/>
      <c r="E143" s="3024"/>
      <c r="F143" s="3023"/>
      <c r="G143" s="3023"/>
      <c r="H143" s="3025"/>
    </row>
    <row r="144" spans="1:8" x14ac:dyDescent="0.25">
      <c r="A144" s="3026"/>
      <c r="B144" s="943" t="s">
        <v>1099</v>
      </c>
      <c r="C144" s="3024"/>
      <c r="D144" s="3024"/>
      <c r="E144" s="3024"/>
      <c r="F144" s="3023"/>
      <c r="G144" s="3023"/>
      <c r="H144" s="3025"/>
    </row>
    <row r="145" spans="1:8" x14ac:dyDescent="0.25">
      <c r="A145" s="3026"/>
      <c r="B145" s="943" t="s">
        <v>1098</v>
      </c>
      <c r="C145" s="3024"/>
      <c r="D145" s="3024"/>
      <c r="E145" s="3024"/>
      <c r="F145" s="3023"/>
      <c r="G145" s="3023"/>
      <c r="H145" s="3025"/>
    </row>
    <row r="146" spans="1:8" x14ac:dyDescent="0.25">
      <c r="A146" s="3026"/>
      <c r="B146" s="942" t="s">
        <v>1097</v>
      </c>
      <c r="C146" s="3024"/>
      <c r="D146" s="3024"/>
      <c r="E146" s="3024"/>
      <c r="F146" s="3023"/>
      <c r="G146" s="3023"/>
      <c r="H146" s="3025"/>
    </row>
    <row r="147" spans="1:8" x14ac:dyDescent="0.25">
      <c r="A147" s="3026"/>
      <c r="B147" s="943" t="s">
        <v>1101</v>
      </c>
      <c r="C147" s="3024"/>
      <c r="D147" s="3024"/>
      <c r="E147" s="3024"/>
      <c r="F147" s="3023"/>
      <c r="G147" s="3023"/>
      <c r="H147" s="3025"/>
    </row>
    <row r="148" spans="1:8" x14ac:dyDescent="0.25">
      <c r="A148" s="3026"/>
      <c r="B148" s="943" t="s">
        <v>1102</v>
      </c>
      <c r="C148" s="3024"/>
      <c r="D148" s="3029" t="s">
        <v>1762</v>
      </c>
      <c r="E148" s="3024"/>
      <c r="F148" s="3023"/>
      <c r="G148" s="3023"/>
      <c r="H148" s="3025"/>
    </row>
    <row r="149" spans="1:8" x14ac:dyDescent="0.25">
      <c r="A149" s="3030"/>
      <c r="B149" s="1081" t="s">
        <v>719</v>
      </c>
      <c r="C149" s="3024"/>
      <c r="D149" s="3029" t="s">
        <v>1764</v>
      </c>
      <c r="E149" s="3024"/>
      <c r="F149" s="3023"/>
      <c r="G149" s="3023"/>
      <c r="H149" s="3025"/>
    </row>
    <row r="150" spans="1:8" x14ac:dyDescent="0.25">
      <c r="A150" s="3030"/>
      <c r="B150" s="1081" t="s">
        <v>720</v>
      </c>
      <c r="C150" s="3024"/>
      <c r="D150" s="3029" t="s">
        <v>1289</v>
      </c>
      <c r="E150" s="3024"/>
      <c r="F150" s="3024"/>
      <c r="G150" s="3024"/>
      <c r="H150" s="3025"/>
    </row>
    <row r="151" spans="1:8" x14ac:dyDescent="0.25">
      <c r="A151" s="3030"/>
      <c r="B151" s="1081" t="s">
        <v>721</v>
      </c>
      <c r="C151" s="3024"/>
      <c r="D151" s="3024" t="s">
        <v>722</v>
      </c>
      <c r="E151" s="3024"/>
      <c r="F151" s="3024"/>
      <c r="G151" s="3024"/>
      <c r="H151" s="3025"/>
    </row>
    <row r="152" spans="1:8" x14ac:dyDescent="0.25">
      <c r="A152" s="3030"/>
      <c r="B152" s="1081" t="s">
        <v>725</v>
      </c>
      <c r="C152" s="3024"/>
      <c r="D152" s="3029" t="s">
        <v>1763</v>
      </c>
      <c r="E152" s="3024"/>
      <c r="F152" s="3024"/>
      <c r="G152" s="3024"/>
      <c r="H152" s="3025"/>
    </row>
    <row r="153" spans="1:8" ht="15.75" thickBot="1" x14ac:dyDescent="0.3">
      <c r="A153" s="3031"/>
      <c r="B153" s="1089" t="s">
        <v>577</v>
      </c>
      <c r="C153" s="3032"/>
      <c r="D153" s="3033" t="s">
        <v>578</v>
      </c>
      <c r="E153" s="3032"/>
      <c r="F153" s="3032"/>
      <c r="G153" s="3032"/>
      <c r="H153" s="3034"/>
    </row>
    <row r="154" spans="1:8" ht="15.75" thickTop="1" x14ac:dyDescent="0.25"/>
  </sheetData>
  <sheetProtection sheet="1" objects="1" scenarios="1"/>
  <hyperlinks>
    <hyperlink ref="B1" location="Introduction!A1" display="Previous worksheet (Introduction)"/>
    <hyperlink ref="F1" location="Assumptions!A1" display="Next worksheet (Assumptions)"/>
    <hyperlink ref="J15" location="'RS. Resources'!A1" display=" RS. Resources"/>
    <hyperlink ref="B128" location="Introduction!A1" display="Previous worksheet (Introduction)"/>
    <hyperlink ref="F128" location="Assumptions!A1" display="Next worksheet (Assumptions)"/>
    <hyperlink ref="B135" location="'S. Setup'!A1" display="Setup"/>
    <hyperlink ref="B136" location="'1. AgeData'!A1" display="AgeData"/>
    <hyperlink ref="B137" location="'2. TaxData'!A1" display="TaxData"/>
    <hyperlink ref="B139" location="'4. PensionData'!A1" display="4. PensionData"/>
    <hyperlink ref="B140" location="'5. SocSecData'!A1" display="5. SocSecData"/>
    <hyperlink ref="B138" location="'3. WorkData'!A1" display="3. WorkData"/>
    <hyperlink ref="B141" location="'6. AnnuityData'!A1" display="AnnuityData"/>
    <hyperlink ref="B142" location="'7. IRAdata'!A1" display="IRAdata"/>
    <hyperlink ref="B143" location="'8. RothData'!A1" display="RothData"/>
    <hyperlink ref="B144" location="'9. SavingsData'!A1" display="SavingsData"/>
    <hyperlink ref="B134" location="'R. Results'!A1" display="Results"/>
    <hyperlink ref="B146" location="'11. CashData'!A1" display="CashData"/>
    <hyperlink ref="B145" location="'10. ExpensesData'!A1" display="ExpensesData"/>
    <hyperlink ref="B147" location="'12. RMDtable'!A1" display="RMDtable"/>
    <hyperlink ref="B132" location="Introduction!A1" display="Introduction"/>
    <hyperlink ref="B152" location="'Appendix D'!A1" display="Appendix D"/>
    <hyperlink ref="B149" location="'Appendix A'!A1" display="Appendix A"/>
    <hyperlink ref="B150" location="'Appendix B'!A1" display="Appendix B"/>
    <hyperlink ref="B151" location="'Appendix C'!A1" display="Appendix C"/>
    <hyperlink ref="B153" location="FAQ!A1" display="FAQ"/>
    <hyperlink ref="B133" location="Assumptions!A1" display="Assumptions"/>
    <hyperlink ref="B148" location="'RS. Resources'!A1" display="Resources"/>
    <hyperlink ref="G24" r:id="rId1"/>
    <hyperlink ref="H23" r:id="rId2"/>
  </hyperlinks>
  <printOptions headings="1" gridLines="1"/>
  <pageMargins left="0.7" right="0.7" top="0.75" bottom="0.75" header="0.3" footer="0.3"/>
  <pageSetup orientation="landscape" horizontalDpi="0" verticalDpi="0" r:id="rId3"/>
  <headerFooter>
    <oddHeader>&amp;L&amp;F&amp;C&amp;D &amp;D&amp;R&amp;A    &amp;P</oddHeader>
  </headerFooter>
  <drawing r:id="rId4"/>
  <legacyDrawing r:id="rId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V340"/>
  <sheetViews>
    <sheetView workbookViewId="0">
      <selection activeCell="J9" sqref="J9"/>
    </sheetView>
  </sheetViews>
  <sheetFormatPr defaultRowHeight="15" x14ac:dyDescent="0.25"/>
  <cols>
    <col min="1" max="1" width="13.140625" customWidth="1"/>
    <col min="2" max="2" width="12.42578125" customWidth="1"/>
    <col min="3" max="3" width="11.85546875" customWidth="1"/>
    <col min="4" max="4" width="10.140625" customWidth="1"/>
    <col min="5" max="5" width="11" customWidth="1"/>
    <col min="6" max="6" width="11.5703125" customWidth="1"/>
    <col min="7" max="7" width="11" customWidth="1"/>
    <col min="11" max="11" width="9.85546875" customWidth="1"/>
  </cols>
  <sheetData>
    <row r="1" spans="1:11" s="1382" customFormat="1" ht="15.75" x14ac:dyDescent="0.25">
      <c r="B1" s="1383" t="s">
        <v>957</v>
      </c>
      <c r="G1" s="1383" t="s">
        <v>958</v>
      </c>
    </row>
    <row r="2" spans="1:11" s="1382" customFormat="1" ht="15.75" x14ac:dyDescent="0.25">
      <c r="A2" s="1417"/>
      <c r="B2" s="1420"/>
      <c r="C2" s="1417"/>
      <c r="D2" s="1417"/>
      <c r="E2" s="1417"/>
      <c r="F2" s="1417"/>
      <c r="G2" s="1420"/>
      <c r="H2" s="1417"/>
      <c r="I2" s="1417"/>
      <c r="J2" s="1417"/>
      <c r="K2" s="1417"/>
    </row>
    <row r="4" spans="1:11" ht="18.75" x14ac:dyDescent="0.3">
      <c r="A4" s="94" t="s">
        <v>1288</v>
      </c>
      <c r="B4" s="130"/>
      <c r="C4" s="415"/>
      <c r="D4" s="416"/>
      <c r="E4" s="416"/>
      <c r="F4" s="416"/>
      <c r="G4" s="416"/>
      <c r="H4" s="417"/>
      <c r="I4" s="410"/>
      <c r="J4" s="411"/>
      <c r="K4" s="394"/>
    </row>
    <row r="5" spans="1:11" ht="18.75" x14ac:dyDescent="0.3">
      <c r="A5" s="94"/>
      <c r="B5" s="130"/>
      <c r="C5" s="415"/>
      <c r="D5" s="416"/>
      <c r="E5" s="416"/>
      <c r="F5" s="416"/>
      <c r="G5" s="416"/>
      <c r="H5" s="417"/>
      <c r="I5" s="410"/>
      <c r="J5" s="411"/>
      <c r="K5" s="394"/>
    </row>
    <row r="6" spans="1:11" ht="15.75" x14ac:dyDescent="0.25">
      <c r="A6" s="1582" t="s">
        <v>2989</v>
      </c>
      <c r="B6" s="130"/>
      <c r="C6" s="415"/>
      <c r="D6" s="416"/>
      <c r="E6" s="416"/>
      <c r="F6" s="416"/>
      <c r="G6" s="416"/>
      <c r="H6" s="417"/>
      <c r="I6" s="410"/>
      <c r="J6" s="411"/>
      <c r="K6" s="394"/>
    </row>
    <row r="7" spans="1:11" ht="15.75" x14ac:dyDescent="0.25">
      <c r="A7" s="3298" t="s">
        <v>3002</v>
      </c>
      <c r="B7" s="130"/>
      <c r="C7" s="415"/>
      <c r="D7" s="416"/>
      <c r="E7" s="416"/>
      <c r="F7" s="416"/>
      <c r="G7" s="416"/>
      <c r="H7" s="417"/>
      <c r="I7" s="410"/>
      <c r="J7" s="411"/>
      <c r="K7" s="394"/>
    </row>
    <row r="8" spans="1:11" ht="15.75" x14ac:dyDescent="0.25">
      <c r="A8" s="767" t="s">
        <v>3003</v>
      </c>
      <c r="B8" s="130"/>
      <c r="C8" s="415"/>
      <c r="D8" s="416"/>
      <c r="E8" s="416"/>
      <c r="F8" s="416"/>
      <c r="G8" s="416"/>
      <c r="H8" s="417"/>
      <c r="I8" s="410"/>
      <c r="J8" s="411"/>
      <c r="K8" s="394"/>
    </row>
    <row r="9" spans="1:11" ht="15.75" x14ac:dyDescent="0.25">
      <c r="A9" s="767" t="s">
        <v>3004</v>
      </c>
      <c r="B9" s="130"/>
      <c r="C9" s="415"/>
      <c r="D9" s="416"/>
      <c r="E9" s="416"/>
      <c r="F9" s="416"/>
      <c r="G9" s="416"/>
      <c r="H9" s="417"/>
      <c r="I9" s="410"/>
      <c r="J9" s="411"/>
      <c r="K9" s="394"/>
    </row>
    <row r="10" spans="1:11" ht="15.75" x14ac:dyDescent="0.25">
      <c r="A10" s="1582"/>
      <c r="B10" s="130"/>
      <c r="C10" s="415"/>
      <c r="D10" s="416"/>
      <c r="E10" s="416"/>
      <c r="F10" s="416"/>
      <c r="G10" s="416"/>
      <c r="H10" s="417"/>
      <c r="I10" s="410"/>
      <c r="J10" s="411"/>
      <c r="K10" s="394"/>
    </row>
    <row r="11" spans="1:11" ht="18.75" x14ac:dyDescent="0.3">
      <c r="A11" s="671" t="s">
        <v>253</v>
      </c>
      <c r="B11" s="1038"/>
      <c r="C11" s="1038"/>
      <c r="D11" s="1039"/>
      <c r="E11" s="1039"/>
      <c r="F11" s="1039"/>
      <c r="G11" s="1039"/>
      <c r="H11" s="1039"/>
      <c r="I11" s="1787"/>
      <c r="J11" s="1788"/>
      <c r="K11" s="1789"/>
    </row>
    <row r="12" spans="1:11" ht="18.75" x14ac:dyDescent="0.3">
      <c r="A12" s="676" t="s">
        <v>1282</v>
      </c>
      <c r="B12" s="1041"/>
      <c r="C12" s="1041"/>
      <c r="D12" s="1042"/>
      <c r="E12" s="1042"/>
      <c r="F12" s="1042"/>
      <c r="G12" s="1042"/>
      <c r="H12" s="1042"/>
      <c r="I12" s="410"/>
      <c r="J12" s="411"/>
      <c r="K12" s="1790"/>
    </row>
    <row r="13" spans="1:11" ht="18.75" x14ac:dyDescent="0.3">
      <c r="A13" s="676" t="s">
        <v>1283</v>
      </c>
      <c r="B13" s="1041"/>
      <c r="C13" s="1041"/>
      <c r="D13" s="1042"/>
      <c r="E13" s="1042"/>
      <c r="F13" s="1042"/>
      <c r="G13" s="1042"/>
      <c r="H13" s="1042"/>
      <c r="I13" s="410"/>
      <c r="J13" s="411"/>
      <c r="K13" s="1790"/>
    </row>
    <row r="14" spans="1:11" ht="18.75" x14ac:dyDescent="0.3">
      <c r="A14" s="676" t="s">
        <v>1284</v>
      </c>
      <c r="B14" s="1041"/>
      <c r="C14" s="1041"/>
      <c r="D14" s="1042"/>
      <c r="E14" s="1042"/>
      <c r="F14" s="1042"/>
      <c r="G14" s="1042"/>
      <c r="H14" s="1042"/>
      <c r="I14" s="410"/>
      <c r="J14" s="411"/>
      <c r="K14" s="1790"/>
    </row>
    <row r="15" spans="1:11" ht="18.75" x14ac:dyDescent="0.3">
      <c r="A15" s="676" t="s">
        <v>3170</v>
      </c>
      <c r="B15" s="1041"/>
      <c r="C15" s="1041"/>
      <c r="D15" s="1042"/>
      <c r="E15" s="1042"/>
      <c r="F15" s="1042"/>
      <c r="G15" s="1042"/>
      <c r="H15" s="1042"/>
      <c r="I15" s="410"/>
      <c r="J15" s="411"/>
      <c r="K15" s="1790"/>
    </row>
    <row r="16" spans="1:11" ht="18.75" x14ac:dyDescent="0.3">
      <c r="A16" s="676" t="s">
        <v>2364</v>
      </c>
      <c r="B16" s="1041"/>
      <c r="C16" s="1041"/>
      <c r="D16" s="1042"/>
      <c r="E16" s="1042"/>
      <c r="F16" s="1042"/>
      <c r="G16" s="1042"/>
      <c r="H16" s="1042"/>
      <c r="I16" s="410"/>
      <c r="J16" s="411"/>
      <c r="K16" s="1790"/>
    </row>
    <row r="17" spans="1:12" ht="18.75" x14ac:dyDescent="0.3">
      <c r="A17" s="1786" t="s">
        <v>2366</v>
      </c>
      <c r="B17" s="1041"/>
      <c r="C17" s="1041"/>
      <c r="D17" s="1042"/>
      <c r="E17" s="1042"/>
      <c r="F17" s="1042"/>
      <c r="G17" s="1042"/>
      <c r="H17" s="1042"/>
      <c r="I17" s="410"/>
      <c r="J17" s="411"/>
      <c r="K17" s="1790"/>
    </row>
    <row r="18" spans="1:12" ht="18.75" x14ac:dyDescent="0.3">
      <c r="A18" s="1786" t="s">
        <v>2367</v>
      </c>
      <c r="B18" s="1041"/>
      <c r="C18" s="1041"/>
      <c r="D18" s="1042"/>
      <c r="E18" s="1042"/>
      <c r="F18" s="1042"/>
      <c r="G18" s="1042"/>
      <c r="H18" s="1042"/>
      <c r="I18" s="410"/>
      <c r="J18" s="411"/>
      <c r="K18" s="1790"/>
    </row>
    <row r="19" spans="1:12" ht="18.75" x14ac:dyDescent="0.3">
      <c r="A19" s="1786" t="s">
        <v>2368</v>
      </c>
      <c r="B19" s="1041"/>
      <c r="C19" s="1041"/>
      <c r="D19" s="1042"/>
      <c r="E19" s="1042"/>
      <c r="F19" s="1042"/>
      <c r="G19" s="1042"/>
      <c r="H19" s="1042"/>
      <c r="I19" s="410"/>
      <c r="J19" s="411"/>
      <c r="K19" s="1790"/>
    </row>
    <row r="20" spans="1:12" ht="18.75" x14ac:dyDescent="0.3">
      <c r="A20" s="676" t="s">
        <v>2917</v>
      </c>
      <c r="B20" s="1041"/>
      <c r="C20" s="1041"/>
      <c r="D20" s="1042"/>
      <c r="E20" s="1042"/>
      <c r="F20" s="1042"/>
      <c r="G20" s="1042"/>
      <c r="H20" s="1042"/>
      <c r="I20" s="410"/>
      <c r="J20" s="411"/>
      <c r="K20" s="1790"/>
    </row>
    <row r="21" spans="1:12" ht="18.75" x14ac:dyDescent="0.3">
      <c r="A21" s="3476" t="s">
        <v>2655</v>
      </c>
      <c r="B21" s="1041"/>
      <c r="C21" s="1041"/>
      <c r="D21" s="1042"/>
      <c r="E21" s="1042"/>
      <c r="F21" s="1042"/>
      <c r="G21" s="1042"/>
      <c r="H21" s="1042"/>
      <c r="I21" s="410"/>
      <c r="J21" s="411"/>
      <c r="K21" s="1790"/>
    </row>
    <row r="22" spans="1:12" ht="18.75" x14ac:dyDescent="0.3">
      <c r="A22" s="3477" t="s">
        <v>2656</v>
      </c>
      <c r="B22" s="1041"/>
      <c r="C22" s="1041"/>
      <c r="D22" s="1042"/>
      <c r="E22" s="1042"/>
      <c r="F22" s="1042"/>
      <c r="G22" s="1042"/>
      <c r="H22" s="1042"/>
      <c r="I22" s="410"/>
      <c r="J22" s="411"/>
      <c r="K22" s="1790"/>
    </row>
    <row r="23" spans="1:12" ht="18.75" x14ac:dyDescent="0.3">
      <c r="A23" s="1791" t="s">
        <v>2918</v>
      </c>
      <c r="B23" s="1047"/>
      <c r="C23" s="1047"/>
      <c r="D23" s="1048"/>
      <c r="E23" s="1048"/>
      <c r="F23" s="1048"/>
      <c r="G23" s="1048"/>
      <c r="H23" s="1048"/>
      <c r="I23" s="1792"/>
      <c r="J23" s="1793"/>
      <c r="K23" s="1794"/>
    </row>
    <row r="24" spans="1:12" ht="15.75" x14ac:dyDescent="0.25">
      <c r="B24" s="130"/>
      <c r="C24" s="415"/>
      <c r="D24" s="416"/>
      <c r="E24" s="416"/>
      <c r="F24" s="416"/>
      <c r="G24" s="416"/>
      <c r="H24" s="417"/>
      <c r="I24" s="410"/>
      <c r="J24" s="411"/>
      <c r="K24" s="394"/>
    </row>
    <row r="25" spans="1:12" ht="15.75" x14ac:dyDescent="0.25">
      <c r="A25" s="767"/>
      <c r="B25" s="130"/>
      <c r="C25" s="415"/>
      <c r="D25" s="416"/>
      <c r="E25" s="416"/>
      <c r="F25" s="416"/>
      <c r="G25" s="416"/>
      <c r="H25" s="417"/>
      <c r="I25" s="410"/>
      <c r="J25" s="411"/>
      <c r="K25" s="394"/>
    </row>
    <row r="26" spans="1:12" ht="18.75" x14ac:dyDescent="0.3">
      <c r="A26" s="1585" t="s">
        <v>1387</v>
      </c>
      <c r="B26" s="1586"/>
      <c r="C26" s="1587"/>
      <c r="D26" s="1588"/>
      <c r="E26" s="1588"/>
      <c r="F26" s="1588"/>
      <c r="G26" s="1588"/>
      <c r="H26" s="1589"/>
      <c r="I26" s="1590"/>
      <c r="J26" s="1591"/>
      <c r="K26" s="394"/>
    </row>
    <row r="27" spans="1:12" ht="15.75" x14ac:dyDescent="0.25">
      <c r="A27" s="767"/>
      <c r="B27" s="130"/>
      <c r="C27" s="415"/>
      <c r="D27" s="416"/>
      <c r="E27" s="416"/>
      <c r="F27" s="416"/>
      <c r="G27" s="416"/>
      <c r="H27" s="417"/>
      <c r="I27" s="410"/>
      <c r="J27" s="411"/>
      <c r="K27" s="394"/>
    </row>
    <row r="28" spans="1:12" ht="19.5" thickBot="1" x14ac:dyDescent="0.35">
      <c r="A28" s="94"/>
      <c r="B28" s="130"/>
      <c r="C28" s="415"/>
      <c r="D28" s="416"/>
      <c r="E28" s="416"/>
      <c r="F28" s="416"/>
      <c r="G28" s="416"/>
      <c r="H28" s="417"/>
      <c r="I28" s="410"/>
      <c r="J28" s="411"/>
      <c r="K28" s="394"/>
    </row>
    <row r="29" spans="1:12" ht="19.5" thickTop="1" x14ac:dyDescent="0.3">
      <c r="A29" s="569" t="s">
        <v>1285</v>
      </c>
      <c r="B29" s="50"/>
      <c r="C29" s="50"/>
      <c r="D29" s="50"/>
      <c r="E29" s="50"/>
      <c r="F29" s="50"/>
      <c r="G29" s="50"/>
      <c r="H29" s="50"/>
      <c r="I29" s="50"/>
      <c r="J29" s="1635"/>
      <c r="K29" s="1636"/>
      <c r="L29" s="33"/>
    </row>
    <row r="30" spans="1:12" ht="15.75" x14ac:dyDescent="0.25">
      <c r="A30" s="1069" t="s">
        <v>788</v>
      </c>
      <c r="B30" s="6"/>
      <c r="C30" s="6"/>
      <c r="D30" s="6"/>
      <c r="E30" s="6"/>
      <c r="F30" s="6"/>
      <c r="G30" s="6"/>
      <c r="H30" s="6"/>
      <c r="I30" s="6"/>
      <c r="J30" s="6"/>
      <c r="K30" s="1311"/>
      <c r="L30" s="6"/>
    </row>
    <row r="31" spans="1:12" ht="15.75" x14ac:dyDescent="0.25">
      <c r="A31" s="38" t="s">
        <v>1286</v>
      </c>
      <c r="B31" s="164"/>
      <c r="C31" s="815"/>
      <c r="D31" s="6"/>
      <c r="E31" s="815"/>
      <c r="F31" s="6"/>
      <c r="G31" s="815"/>
      <c r="H31" s="6"/>
      <c r="I31" s="6"/>
      <c r="J31" s="6"/>
      <c r="K31" s="1311"/>
      <c r="L31" s="6"/>
    </row>
    <row r="32" spans="1:12" ht="15.75" x14ac:dyDescent="0.25">
      <c r="A32" s="38" t="s">
        <v>1287</v>
      </c>
      <c r="B32" s="164"/>
      <c r="C32" s="815"/>
      <c r="D32" s="6"/>
      <c r="E32" s="815"/>
      <c r="F32" s="6"/>
      <c r="G32" s="815"/>
      <c r="H32" s="6"/>
      <c r="I32" s="6"/>
      <c r="J32" s="6"/>
      <c r="K32" s="1311"/>
      <c r="L32" s="6"/>
    </row>
    <row r="33" spans="1:22" ht="15.75" x14ac:dyDescent="0.25">
      <c r="A33" s="38"/>
      <c r="B33" s="164"/>
      <c r="C33" s="815"/>
      <c r="D33" s="6"/>
      <c r="E33" s="815"/>
      <c r="F33" s="6"/>
      <c r="G33" s="815"/>
      <c r="H33" s="6"/>
      <c r="I33" s="6"/>
      <c r="J33" s="6"/>
      <c r="K33" s="1311"/>
      <c r="L33" s="6"/>
    </row>
    <row r="34" spans="1:22" ht="18.75" x14ac:dyDescent="0.3">
      <c r="A34" s="163" t="s">
        <v>1280</v>
      </c>
      <c r="B34" s="164"/>
      <c r="C34" s="164"/>
      <c r="D34" s="1111"/>
      <c r="E34" s="164"/>
      <c r="F34" s="1111"/>
      <c r="G34" s="164"/>
      <c r="H34" s="1111"/>
      <c r="I34" s="6"/>
      <c r="J34" s="6"/>
      <c r="K34" s="1311"/>
      <c r="L34" s="6"/>
    </row>
    <row r="35" spans="1:22" ht="15.75" x14ac:dyDescent="0.25">
      <c r="A35" s="38"/>
      <c r="B35" s="95" t="s">
        <v>1475</v>
      </c>
      <c r="C35" s="6"/>
      <c r="D35" s="1113">
        <v>7500</v>
      </c>
      <c r="E35" s="1114" t="s">
        <v>531</v>
      </c>
      <c r="F35" s="1114"/>
      <c r="G35" s="1114"/>
      <c r="H35" s="1112"/>
      <c r="I35" s="6"/>
      <c r="J35" s="6"/>
      <c r="K35" s="1311"/>
      <c r="L35" s="6"/>
    </row>
    <row r="36" spans="1:22" ht="15.75" x14ac:dyDescent="0.25">
      <c r="A36" s="38"/>
      <c r="B36" s="95" t="s">
        <v>1473</v>
      </c>
      <c r="C36" s="6"/>
      <c r="D36" s="1115">
        <v>15</v>
      </c>
      <c r="E36" s="1116" t="s">
        <v>1477</v>
      </c>
      <c r="F36" s="1114"/>
      <c r="G36" s="1114"/>
      <c r="H36" s="6"/>
      <c r="J36" s="1123"/>
      <c r="K36" s="1311"/>
      <c r="L36" s="6"/>
    </row>
    <row r="37" spans="1:22" ht="15.75" x14ac:dyDescent="0.25">
      <c r="A37" s="38"/>
      <c r="B37" s="95" t="s">
        <v>1474</v>
      </c>
      <c r="C37" s="1117"/>
      <c r="D37" s="1118">
        <v>0.02</v>
      </c>
      <c r="E37" s="1114" t="s">
        <v>2919</v>
      </c>
      <c r="F37" s="1114"/>
      <c r="G37" s="1114"/>
      <c r="H37" s="1112"/>
      <c r="I37" s="6"/>
      <c r="J37" s="6"/>
      <c r="K37" s="1311"/>
      <c r="L37" s="6"/>
    </row>
    <row r="38" spans="1:22" ht="15.75" x14ac:dyDescent="0.25">
      <c r="A38" s="38"/>
      <c r="B38" s="95" t="s">
        <v>529</v>
      </c>
      <c r="C38" s="6"/>
      <c r="D38" s="64"/>
      <c r="E38" s="1114"/>
      <c r="F38" s="1114"/>
      <c r="G38" s="95" t="s">
        <v>1473</v>
      </c>
      <c r="H38" s="1112"/>
      <c r="I38" s="6"/>
      <c r="J38" s="6"/>
      <c r="K38" s="1311"/>
      <c r="L38" s="6"/>
    </row>
    <row r="39" spans="1:22" ht="15.75" x14ac:dyDescent="0.25">
      <c r="A39" s="38"/>
      <c r="B39" s="95" t="s">
        <v>1476</v>
      </c>
      <c r="C39" s="95"/>
      <c r="D39" s="1124">
        <f>-PV(D37,D36,0,D35,0)</f>
        <v>5572.6104749138949</v>
      </c>
      <c r="E39" s="1114" t="s">
        <v>532</v>
      </c>
      <c r="F39" s="1114"/>
      <c r="G39" s="95" t="s">
        <v>1473</v>
      </c>
      <c r="H39" s="1112"/>
      <c r="I39" s="6"/>
      <c r="J39" s="6"/>
      <c r="K39" s="1311"/>
      <c r="L39" s="6"/>
    </row>
    <row r="40" spans="1:22" ht="15.75" x14ac:dyDescent="0.25">
      <c r="A40" s="38"/>
      <c r="B40" s="6"/>
      <c r="C40" s="95"/>
      <c r="D40" s="95"/>
      <c r="E40" s="1119"/>
      <c r="F40" s="1114"/>
      <c r="G40" s="1114"/>
      <c r="H40" s="1114"/>
      <c r="I40" s="1112"/>
      <c r="J40" s="6"/>
      <c r="K40" s="1311"/>
      <c r="L40" s="6"/>
    </row>
    <row r="41" spans="1:22" ht="18.75" x14ac:dyDescent="0.3">
      <c r="A41" s="163" t="s">
        <v>1281</v>
      </c>
      <c r="B41" s="164"/>
      <c r="C41" s="164"/>
      <c r="D41" s="1111"/>
      <c r="E41" s="164"/>
      <c r="F41" s="1111"/>
      <c r="G41" s="164"/>
      <c r="H41" s="1111"/>
      <c r="I41" s="1111"/>
      <c r="J41" s="1111"/>
      <c r="K41" s="1637"/>
      <c r="L41" s="1111"/>
      <c r="S41" s="6"/>
      <c r="T41" s="6"/>
      <c r="U41" s="6"/>
      <c r="V41" s="6"/>
    </row>
    <row r="42" spans="1:22" ht="15.75" x14ac:dyDescent="0.25">
      <c r="A42" s="38"/>
      <c r="B42" s="95" t="s">
        <v>1476</v>
      </c>
      <c r="C42" s="6"/>
      <c r="D42" s="1113">
        <v>7500</v>
      </c>
      <c r="E42" s="1114" t="s">
        <v>531</v>
      </c>
      <c r="F42" s="1114"/>
      <c r="G42" s="1114"/>
      <c r="H42" s="1112"/>
      <c r="I42" s="95"/>
      <c r="J42" s="6"/>
      <c r="K42" s="1311"/>
      <c r="L42" s="6"/>
      <c r="S42" s="6"/>
      <c r="T42" s="6"/>
      <c r="U42" s="6"/>
      <c r="V42" s="6"/>
    </row>
    <row r="43" spans="1:22" ht="15.75" x14ac:dyDescent="0.25">
      <c r="A43" s="38"/>
      <c r="B43" s="95" t="s">
        <v>1473</v>
      </c>
      <c r="C43" s="6"/>
      <c r="D43" s="1115">
        <v>10</v>
      </c>
      <c r="E43" s="1116" t="s">
        <v>1478</v>
      </c>
      <c r="F43" s="1114"/>
      <c r="G43" s="1114"/>
      <c r="H43" s="6"/>
      <c r="J43" s="1123"/>
      <c r="K43" s="1311"/>
      <c r="L43" s="6"/>
      <c r="T43" s="6"/>
      <c r="U43" s="6"/>
      <c r="V43" s="6"/>
    </row>
    <row r="44" spans="1:22" ht="15.75" x14ac:dyDescent="0.25">
      <c r="A44" s="38"/>
      <c r="B44" s="95" t="s">
        <v>530</v>
      </c>
      <c r="C44" s="1117"/>
      <c r="D44" s="1118">
        <v>0.05</v>
      </c>
      <c r="E44" s="1114" t="s">
        <v>2919</v>
      </c>
      <c r="F44" s="1114"/>
      <c r="G44" s="1114"/>
      <c r="H44" s="1112"/>
      <c r="I44" s="95"/>
      <c r="J44" s="6"/>
      <c r="K44" s="1311"/>
      <c r="L44" s="6"/>
      <c r="T44" s="6"/>
      <c r="U44" s="6"/>
      <c r="V44" s="6"/>
    </row>
    <row r="45" spans="1:22" ht="15.75" x14ac:dyDescent="0.25">
      <c r="A45" s="38"/>
      <c r="B45" s="95" t="s">
        <v>529</v>
      </c>
      <c r="C45" s="6"/>
      <c r="D45" s="64"/>
      <c r="E45" s="1114"/>
      <c r="F45" s="1114"/>
      <c r="G45" s="1114"/>
      <c r="H45" s="1112"/>
      <c r="I45" s="95"/>
      <c r="J45" s="6"/>
      <c r="K45" s="1311"/>
      <c r="L45" s="6"/>
    </row>
    <row r="46" spans="1:22" ht="16.5" thickBot="1" x14ac:dyDescent="0.3">
      <c r="A46" s="324"/>
      <c r="B46" s="1902" t="s">
        <v>1475</v>
      </c>
      <c r="C46" s="1120"/>
      <c r="D46" s="1125">
        <f>-FV(D44,D43,0,D42,0)</f>
        <v>12216.709700830812</v>
      </c>
      <c r="E46" s="1121" t="s">
        <v>532</v>
      </c>
      <c r="F46" s="1121"/>
      <c r="G46" s="1121"/>
      <c r="H46" s="1122"/>
      <c r="I46" s="41"/>
      <c r="J46" s="1314"/>
      <c r="K46" s="1315"/>
      <c r="L46" s="6"/>
    </row>
    <row r="47" spans="1:22" ht="16.5" thickTop="1" x14ac:dyDescent="0.25">
      <c r="A47" s="6"/>
      <c r="B47" s="95"/>
      <c r="C47" s="95"/>
      <c r="D47" s="1124"/>
      <c r="E47" s="1114"/>
      <c r="F47" s="1114"/>
      <c r="G47" s="1114"/>
      <c r="H47" s="1112"/>
      <c r="I47" s="6"/>
      <c r="J47" s="6"/>
      <c r="K47" s="6"/>
      <c r="L47" s="6"/>
    </row>
    <row r="48" spans="1:22" ht="19.5" thickBot="1" x14ac:dyDescent="0.35">
      <c r="A48" s="94"/>
      <c r="B48" s="130"/>
      <c r="C48" s="415"/>
      <c r="D48" s="416"/>
      <c r="E48" s="416"/>
      <c r="F48" s="416"/>
      <c r="G48" s="416"/>
      <c r="H48" s="417"/>
      <c r="I48" s="410"/>
      <c r="J48" s="411"/>
      <c r="K48" s="394"/>
    </row>
    <row r="49" spans="1:11" ht="19.5" thickTop="1" x14ac:dyDescent="0.3">
      <c r="A49" s="2238" t="s">
        <v>3170</v>
      </c>
      <c r="B49" s="1635"/>
      <c r="C49" s="1635"/>
      <c r="D49" s="1635"/>
      <c r="E49" s="1635"/>
      <c r="F49" s="1635"/>
      <c r="G49" s="1635"/>
      <c r="H49" s="1635"/>
      <c r="I49" s="1635"/>
      <c r="J49" s="1635"/>
      <c r="K49" s="1636"/>
    </row>
    <row r="50" spans="1:11" ht="15.75" x14ac:dyDescent="0.25">
      <c r="A50" s="3095" t="s">
        <v>2352</v>
      </c>
      <c r="B50" s="6"/>
      <c r="C50" s="6"/>
      <c r="D50" s="6"/>
      <c r="E50" s="6"/>
      <c r="F50" s="6"/>
      <c r="G50" s="6"/>
      <c r="H50" s="6"/>
      <c r="I50" s="6"/>
      <c r="J50" s="6"/>
      <c r="K50" s="1311"/>
    </row>
    <row r="51" spans="1:11" ht="15.75" x14ac:dyDescent="0.25">
      <c r="A51" s="1336" t="s">
        <v>2353</v>
      </c>
      <c r="B51" s="164"/>
      <c r="C51" s="815"/>
      <c r="D51" s="6"/>
      <c r="E51" s="815"/>
      <c r="F51" s="6"/>
      <c r="G51" s="815"/>
      <c r="H51" s="6"/>
      <c r="I51" s="6"/>
      <c r="J51" s="6"/>
      <c r="K51" s="1311"/>
    </row>
    <row r="52" spans="1:11" ht="15.75" x14ac:dyDescent="0.25">
      <c r="A52" s="1336"/>
      <c r="B52" s="164"/>
      <c r="C52" s="815"/>
      <c r="D52" s="6"/>
      <c r="E52" s="815"/>
      <c r="F52" s="6"/>
      <c r="G52" s="815"/>
      <c r="H52" s="6"/>
      <c r="I52" s="6"/>
      <c r="J52" s="6"/>
      <c r="K52" s="1311"/>
    </row>
    <row r="53" spans="1:11" s="67" customFormat="1" x14ac:dyDescent="0.25">
      <c r="A53" s="1416" t="s">
        <v>2357</v>
      </c>
      <c r="B53" s="1351"/>
      <c r="C53" s="419"/>
      <c r="D53" s="418"/>
      <c r="E53" s="418"/>
      <c r="F53" s="418"/>
      <c r="G53" s="418"/>
      <c r="H53" s="3092"/>
      <c r="I53" s="183"/>
      <c r="J53" s="183"/>
      <c r="K53" s="3096"/>
    </row>
    <row r="54" spans="1:11" ht="15.75" x14ac:dyDescent="0.25">
      <c r="A54" s="2429" t="s">
        <v>2356</v>
      </c>
      <c r="B54" s="6"/>
      <c r="C54" s="6"/>
      <c r="D54" s="6"/>
      <c r="E54" s="6"/>
      <c r="F54" s="6"/>
      <c r="G54" s="416"/>
      <c r="H54" s="417"/>
      <c r="I54" s="410"/>
      <c r="J54" s="411"/>
      <c r="K54" s="1627"/>
    </row>
    <row r="55" spans="1:11" ht="15.75" x14ac:dyDescent="0.25">
      <c r="A55" s="1312" t="s">
        <v>9</v>
      </c>
      <c r="B55" s="356"/>
      <c r="C55" s="356"/>
      <c r="D55" s="356"/>
      <c r="F55" s="1657">
        <v>0.05</v>
      </c>
      <c r="G55" s="165" t="s">
        <v>1367</v>
      </c>
      <c r="H55" s="417"/>
      <c r="I55" s="410"/>
      <c r="J55" s="411"/>
      <c r="K55" s="1627"/>
    </row>
    <row r="56" spans="1:11" ht="15.75" x14ac:dyDescent="0.25">
      <c r="A56" s="1312" t="s">
        <v>10</v>
      </c>
      <c r="B56" s="356"/>
      <c r="C56" s="356"/>
      <c r="D56" s="356"/>
      <c r="F56" s="1657">
        <v>0.02</v>
      </c>
      <c r="G56" s="165" t="s">
        <v>1366</v>
      </c>
      <c r="H56" s="417"/>
      <c r="I56" s="410"/>
      <c r="J56" s="411"/>
      <c r="K56" s="1627"/>
    </row>
    <row r="57" spans="1:11" ht="15.75" x14ac:dyDescent="0.25">
      <c r="A57" s="1312" t="s">
        <v>2354</v>
      </c>
      <c r="B57" s="356"/>
      <c r="C57" s="356"/>
      <c r="D57" s="356"/>
      <c r="F57" s="1657">
        <v>1E-3</v>
      </c>
      <c r="G57" s="165" t="s">
        <v>2355</v>
      </c>
      <c r="H57" s="417"/>
      <c r="I57" s="410"/>
      <c r="J57" s="411"/>
      <c r="K57" s="1627"/>
    </row>
    <row r="58" spans="1:11" ht="15.75" x14ac:dyDescent="0.25">
      <c r="A58" s="1312"/>
      <c r="B58" s="356"/>
      <c r="C58" s="356"/>
      <c r="D58" s="356"/>
      <c r="F58" s="1657"/>
      <c r="G58" s="165"/>
      <c r="H58" s="417"/>
      <c r="I58" s="410"/>
      <c r="J58" s="411"/>
      <c r="K58" s="1627"/>
    </row>
    <row r="59" spans="1:11" ht="15.75" x14ac:dyDescent="0.25">
      <c r="A59" s="3095" t="s">
        <v>2358</v>
      </c>
      <c r="B59" s="130"/>
      <c r="C59" s="415"/>
      <c r="D59" s="416"/>
      <c r="F59" s="416"/>
      <c r="G59" s="416"/>
      <c r="H59" s="417"/>
      <c r="I59" s="410"/>
      <c r="J59" s="411"/>
      <c r="K59" s="1627"/>
    </row>
    <row r="60" spans="1:11" ht="15.75" x14ac:dyDescent="0.25">
      <c r="A60" s="1312" t="s">
        <v>2359</v>
      </c>
      <c r="B60" s="227"/>
      <c r="C60" s="63"/>
      <c r="D60" s="134"/>
      <c r="F60" s="3103">
        <v>0.55000000000000004</v>
      </c>
      <c r="G60" s="6"/>
      <c r="H60" s="1156"/>
      <c r="I60" s="1650"/>
      <c r="J60" s="411"/>
      <c r="K60" s="1627"/>
    </row>
    <row r="61" spans="1:11" ht="15.75" x14ac:dyDescent="0.25">
      <c r="A61" s="1312" t="s">
        <v>2361</v>
      </c>
      <c r="B61" s="227"/>
      <c r="C61" s="157"/>
      <c r="D61" s="134"/>
      <c r="F61" s="3104">
        <v>0.4</v>
      </c>
      <c r="G61" s="6"/>
      <c r="H61" s="1156"/>
      <c r="I61" s="1650"/>
      <c r="J61" s="411"/>
      <c r="K61" s="1627"/>
    </row>
    <row r="62" spans="1:11" ht="15.75" x14ac:dyDescent="0.25">
      <c r="A62" s="1312" t="s">
        <v>2360</v>
      </c>
      <c r="B62" s="227"/>
      <c r="C62" s="6"/>
      <c r="D62" s="6"/>
      <c r="F62" s="3104">
        <v>0.05</v>
      </c>
      <c r="G62" s="6"/>
      <c r="H62" s="1156"/>
      <c r="I62" s="1651"/>
      <c r="J62" s="411"/>
      <c r="K62" s="1627"/>
    </row>
    <row r="63" spans="1:11" ht="18.75" x14ac:dyDescent="0.3">
      <c r="A63" s="1438"/>
      <c r="B63" s="130"/>
      <c r="C63" s="415"/>
      <c r="E63" s="416" t="s">
        <v>2362</v>
      </c>
      <c r="F63" s="3093">
        <f>SUM(F60:F62)</f>
        <v>1</v>
      </c>
      <c r="G63" s="3094" t="str">
        <f>IF(F63=100%,".","  Error - must add up to 100%.")</f>
        <v>.</v>
      </c>
      <c r="H63" s="417"/>
      <c r="I63" s="410"/>
      <c r="J63" s="411"/>
      <c r="K63" s="1627"/>
    </row>
    <row r="64" spans="1:11" ht="18.75" x14ac:dyDescent="0.3">
      <c r="A64" s="1438"/>
      <c r="B64" s="130"/>
      <c r="C64" s="415"/>
      <c r="D64" s="416"/>
      <c r="E64" s="3093"/>
      <c r="F64" s="3094"/>
      <c r="G64" s="416"/>
      <c r="H64" s="417"/>
      <c r="I64" s="410"/>
      <c r="J64" s="411"/>
      <c r="K64" s="1627"/>
    </row>
    <row r="65" spans="1:11" s="67" customFormat="1" ht="16.5" thickBot="1" x14ac:dyDescent="0.3">
      <c r="A65" s="1313" t="s">
        <v>2363</v>
      </c>
      <c r="B65" s="3097"/>
      <c r="C65" s="3098"/>
      <c r="D65" s="3099"/>
      <c r="E65" s="3099"/>
      <c r="F65" s="3105">
        <f>F55*F60+F56*F61+F57*F62</f>
        <v>3.5550000000000005E-2</v>
      </c>
      <c r="G65" s="3099"/>
      <c r="H65" s="3100"/>
      <c r="I65" s="3101"/>
      <c r="J65" s="3101"/>
      <c r="K65" s="3102"/>
    </row>
    <row r="66" spans="1:11" s="67" customFormat="1" ht="15.75" thickTop="1" x14ac:dyDescent="0.25">
      <c r="A66" s="1317"/>
      <c r="B66" s="1351"/>
      <c r="C66" s="419"/>
      <c r="D66" s="418"/>
      <c r="E66" s="418"/>
      <c r="F66" s="418"/>
      <c r="G66" s="418"/>
      <c r="H66" s="3092"/>
      <c r="I66" s="183"/>
      <c r="J66" s="183"/>
      <c r="K66" s="183"/>
    </row>
    <row r="67" spans="1:11" ht="19.5" thickBot="1" x14ac:dyDescent="0.35">
      <c r="A67" s="94"/>
      <c r="B67" s="130"/>
      <c r="C67" s="415"/>
      <c r="D67" s="416"/>
      <c r="E67" s="416"/>
      <c r="F67" s="416"/>
      <c r="G67" s="416"/>
      <c r="H67" s="417"/>
      <c r="I67" s="410"/>
      <c r="J67" s="411"/>
      <c r="K67" s="394"/>
    </row>
    <row r="68" spans="1:11" ht="19.5" thickTop="1" x14ac:dyDescent="0.3">
      <c r="A68" s="1623" t="s">
        <v>2364</v>
      </c>
      <c r="B68" s="1341"/>
      <c r="C68" s="1341"/>
      <c r="D68" s="1341"/>
      <c r="E68" s="1341"/>
      <c r="F68" s="1341"/>
      <c r="G68" s="1341"/>
      <c r="H68" s="1341"/>
      <c r="I68" s="1624"/>
      <c r="J68" s="1625"/>
      <c r="K68" s="1626"/>
    </row>
    <row r="69" spans="1:11" ht="15.75" x14ac:dyDescent="0.25">
      <c r="A69" s="1336"/>
      <c r="B69" s="6"/>
      <c r="C69" s="6"/>
      <c r="D69" s="6"/>
      <c r="E69" s="6"/>
      <c r="F69" s="6"/>
      <c r="G69" s="6"/>
      <c r="H69" s="6"/>
      <c r="I69" s="410"/>
      <c r="J69" s="411"/>
      <c r="K69" s="1627"/>
    </row>
    <row r="70" spans="1:11" ht="15.75" x14ac:dyDescent="0.25">
      <c r="A70" s="1336" t="s">
        <v>1392</v>
      </c>
      <c r="B70" s="6"/>
      <c r="C70" s="6"/>
      <c r="D70" s="6"/>
      <c r="E70" s="6"/>
      <c r="F70" s="6"/>
      <c r="G70" s="6"/>
      <c r="H70" s="6"/>
      <c r="I70" s="410"/>
      <c r="J70" s="411"/>
      <c r="K70" s="1627"/>
    </row>
    <row r="71" spans="1:11" ht="15.75" x14ac:dyDescent="0.25">
      <c r="A71" s="1336" t="s">
        <v>2920</v>
      </c>
      <c r="B71" s="6"/>
      <c r="C71" s="6"/>
      <c r="D71" s="6"/>
      <c r="E71" s="6"/>
      <c r="F71" s="6"/>
      <c r="G71" s="6"/>
      <c r="H71" s="6"/>
      <c r="I71" s="410"/>
      <c r="J71" s="411"/>
      <c r="K71" s="1627"/>
    </row>
    <row r="72" spans="1:11" ht="15.75" x14ac:dyDescent="0.25">
      <c r="A72" s="1336" t="s">
        <v>1307</v>
      </c>
      <c r="B72" s="6"/>
      <c r="C72" s="6"/>
      <c r="D72" s="6"/>
      <c r="E72" s="6"/>
      <c r="F72" s="6"/>
      <c r="G72" s="6"/>
      <c r="H72" s="6"/>
      <c r="I72" s="410"/>
      <c r="J72" s="411"/>
      <c r="K72" s="1627"/>
    </row>
    <row r="73" spans="1:11" ht="15.75" x14ac:dyDescent="0.25">
      <c r="A73" s="1336" t="s">
        <v>1308</v>
      </c>
      <c r="B73" s="6"/>
      <c r="C73" s="6"/>
      <c r="D73" s="6"/>
      <c r="E73" s="6"/>
      <c r="F73" s="6"/>
      <c r="G73" s="6"/>
      <c r="H73" s="6"/>
      <c r="I73" s="410"/>
      <c r="J73" s="411"/>
      <c r="K73" s="1627"/>
    </row>
    <row r="74" spans="1:11" ht="15.75" x14ac:dyDescent="0.25">
      <c r="A74" s="1628"/>
      <c r="B74" s="6"/>
      <c r="C74" s="6"/>
      <c r="D74" s="6"/>
      <c r="E74" s="6"/>
      <c r="F74" s="6"/>
      <c r="G74" s="6"/>
      <c r="H74" s="6"/>
      <c r="I74" s="410"/>
      <c r="J74" s="411"/>
      <c r="K74" s="1627"/>
    </row>
    <row r="75" spans="1:11" ht="15.75" x14ac:dyDescent="0.25">
      <c r="A75" s="1629" t="s">
        <v>1291</v>
      </c>
      <c r="B75" s="6"/>
      <c r="C75" s="6"/>
      <c r="D75" s="1592">
        <v>4.4999999999999998E-2</v>
      </c>
      <c r="E75" s="6" t="s">
        <v>1293</v>
      </c>
      <c r="F75" s="6"/>
      <c r="G75" s="6"/>
      <c r="H75" s="6"/>
      <c r="I75" s="410"/>
      <c r="J75" s="411"/>
      <c r="K75" s="1627"/>
    </row>
    <row r="76" spans="1:11" ht="15.75" x14ac:dyDescent="0.25">
      <c r="A76" s="1629" t="s">
        <v>1297</v>
      </c>
      <c r="B76" s="6"/>
      <c r="C76" s="6"/>
      <c r="D76" s="1592">
        <v>0.02</v>
      </c>
      <c r="E76" s="6" t="s">
        <v>1298</v>
      </c>
      <c r="F76" s="6"/>
      <c r="G76" s="6"/>
      <c r="H76" s="6"/>
      <c r="I76" s="410"/>
      <c r="J76" s="411"/>
      <c r="K76" s="1627"/>
    </row>
    <row r="77" spans="1:11" s="1595" customFormat="1" ht="15.75" x14ac:dyDescent="0.25">
      <c r="A77" s="1629" t="s">
        <v>1294</v>
      </c>
      <c r="B77" s="6"/>
      <c r="C77" s="6"/>
      <c r="D77" s="1594">
        <v>100000</v>
      </c>
      <c r="E77" s="6" t="s">
        <v>1295</v>
      </c>
      <c r="F77" s="6"/>
      <c r="G77" s="6"/>
      <c r="H77" s="6"/>
      <c r="I77" s="410"/>
      <c r="J77" s="411"/>
      <c r="K77" s="1627"/>
    </row>
    <row r="78" spans="1:11" ht="15.75" x14ac:dyDescent="0.25">
      <c r="A78" s="1629" t="s">
        <v>1301</v>
      </c>
      <c r="B78" s="6"/>
      <c r="C78" s="1594"/>
      <c r="D78" s="1594">
        <v>4000</v>
      </c>
      <c r="E78" s="6" t="s">
        <v>1302</v>
      </c>
      <c r="F78" s="6"/>
      <c r="G78" s="6"/>
      <c r="H78" s="6"/>
      <c r="I78" s="410"/>
      <c r="J78" s="411"/>
      <c r="K78" s="1627"/>
    </row>
    <row r="79" spans="1:11" ht="16.5" thickBot="1" x14ac:dyDescent="0.3">
      <c r="A79" s="1629"/>
      <c r="B79" s="6"/>
      <c r="C79" s="1593"/>
      <c r="D79" s="6"/>
      <c r="E79" s="6"/>
      <c r="F79" s="6"/>
      <c r="G79" s="6"/>
      <c r="H79" s="6"/>
      <c r="I79" s="410"/>
      <c r="J79" s="411"/>
      <c r="K79" s="1627"/>
    </row>
    <row r="80" spans="1:11" ht="66" thickTop="1" thickBot="1" x14ac:dyDescent="0.3">
      <c r="A80" s="1601" t="s">
        <v>1292</v>
      </c>
      <c r="B80" s="1602" t="s">
        <v>1296</v>
      </c>
      <c r="C80" s="1603" t="s">
        <v>1299</v>
      </c>
      <c r="D80" s="1604" t="s">
        <v>1306</v>
      </c>
      <c r="E80" s="1620" t="s">
        <v>1304</v>
      </c>
      <c r="F80" s="1621" t="s">
        <v>1303</v>
      </c>
      <c r="G80" s="1622" t="s">
        <v>1305</v>
      </c>
      <c r="H80" s="1630"/>
      <c r="I80" s="1596"/>
      <c r="J80" s="1596"/>
      <c r="K80" s="1631"/>
    </row>
    <row r="81" spans="1:11" ht="16.5" thickTop="1" x14ac:dyDescent="0.25">
      <c r="A81" s="1605">
        <v>0</v>
      </c>
      <c r="B81" s="1597">
        <f t="shared" ref="B81:B111" si="0">(POWER((1+$D$75),A81)-1)</f>
        <v>0</v>
      </c>
      <c r="C81" s="1597">
        <f t="shared" ref="C81:C111" si="1">(POWER((1+$D$76),A81)-1)</f>
        <v>0</v>
      </c>
      <c r="D81" s="1597">
        <f>B81-C81</f>
        <v>0</v>
      </c>
      <c r="E81" s="1614">
        <f t="shared" ref="E81:E111" si="2">(1+D81)*$D$77</f>
        <v>100000</v>
      </c>
      <c r="F81" s="1617">
        <f>$D$78*POWER((1+$D$76),(A81-A$81))</f>
        <v>4000</v>
      </c>
      <c r="G81" s="1618">
        <f>E81-F81</f>
        <v>96000</v>
      </c>
      <c r="H81" s="6"/>
      <c r="I81" s="410"/>
      <c r="J81" s="411"/>
      <c r="K81" s="1627"/>
    </row>
    <row r="82" spans="1:11" ht="15.75" x14ac:dyDescent="0.25">
      <c r="A82" s="1606">
        <v>1</v>
      </c>
      <c r="B82" s="1597">
        <f t="shared" si="0"/>
        <v>4.4999999999999929E-2</v>
      </c>
      <c r="C82" s="1597">
        <f t="shared" si="1"/>
        <v>2.0000000000000018E-2</v>
      </c>
      <c r="D82" s="1597">
        <f t="shared" ref="D82:D111" si="3">B82-C82</f>
        <v>2.4999999999999911E-2</v>
      </c>
      <c r="E82" s="1615">
        <f t="shared" si="2"/>
        <v>102499.99999999999</v>
      </c>
      <c r="F82" s="379">
        <f t="shared" ref="F82:F111" si="4">$D$78*POWER((1+$D$76),(A82-A$81))</f>
        <v>4080</v>
      </c>
      <c r="G82" s="1598">
        <f>G81*(1+($D$75-$D$76))-F82</f>
        <v>94319.999999999985</v>
      </c>
      <c r="H82" s="6"/>
      <c r="I82" s="410"/>
      <c r="J82" s="411"/>
      <c r="K82" s="1627"/>
    </row>
    <row r="83" spans="1:11" ht="15.75" x14ac:dyDescent="0.25">
      <c r="A83" s="1606">
        <v>2</v>
      </c>
      <c r="B83" s="1597">
        <f t="shared" si="0"/>
        <v>9.2024999999999801E-2</v>
      </c>
      <c r="C83" s="1597">
        <f t="shared" si="1"/>
        <v>4.0399999999999991E-2</v>
      </c>
      <c r="D83" s="1597">
        <f t="shared" si="3"/>
        <v>5.162499999999981E-2</v>
      </c>
      <c r="E83" s="1615">
        <f t="shared" si="2"/>
        <v>105162.49999999999</v>
      </c>
      <c r="F83" s="379">
        <f t="shared" si="4"/>
        <v>4161.6000000000004</v>
      </c>
      <c r="G83" s="1598">
        <f t="shared" ref="G83:G111" si="5">G82*(1+($D$75-$D$76))-F83</f>
        <v>92516.399999999965</v>
      </c>
      <c r="H83" s="6"/>
      <c r="I83" s="410"/>
      <c r="J83" s="411"/>
      <c r="K83" s="1627"/>
    </row>
    <row r="84" spans="1:11" ht="15.75" x14ac:dyDescent="0.25">
      <c r="A84" s="1606">
        <v>3</v>
      </c>
      <c r="B84" s="1597">
        <f t="shared" si="0"/>
        <v>0.14116612499999981</v>
      </c>
      <c r="C84" s="1597">
        <f t="shared" si="1"/>
        <v>6.1207999999999929E-2</v>
      </c>
      <c r="D84" s="1597">
        <f t="shared" si="3"/>
        <v>7.995812499999988E-2</v>
      </c>
      <c r="E84" s="1615">
        <f t="shared" si="2"/>
        <v>107995.81249999999</v>
      </c>
      <c r="F84" s="379">
        <f t="shared" si="4"/>
        <v>4244.8319999999994</v>
      </c>
      <c r="G84" s="1598">
        <f t="shared" si="5"/>
        <v>90584.477999999959</v>
      </c>
      <c r="H84" s="6"/>
      <c r="I84" s="410"/>
      <c r="J84" s="411"/>
      <c r="K84" s="1627"/>
    </row>
    <row r="85" spans="1:11" ht="15.75" x14ac:dyDescent="0.25">
      <c r="A85" s="1606">
        <v>4</v>
      </c>
      <c r="B85" s="1597">
        <f t="shared" si="0"/>
        <v>0.19251860062499948</v>
      </c>
      <c r="C85" s="1597">
        <f t="shared" si="1"/>
        <v>8.2432159999999977E-2</v>
      </c>
      <c r="D85" s="1597">
        <f t="shared" si="3"/>
        <v>0.1100864406249995</v>
      </c>
      <c r="E85" s="1615">
        <f t="shared" si="2"/>
        <v>111008.64406249995</v>
      </c>
      <c r="F85" s="379">
        <f t="shared" si="4"/>
        <v>4329.7286400000003</v>
      </c>
      <c r="G85" s="1598">
        <f t="shared" si="5"/>
        <v>88519.361309999949</v>
      </c>
      <c r="H85" s="6"/>
      <c r="I85" s="410"/>
      <c r="J85" s="411"/>
      <c r="K85" s="1627"/>
    </row>
    <row r="86" spans="1:11" ht="15.75" x14ac:dyDescent="0.25">
      <c r="A86" s="1606">
        <v>5</v>
      </c>
      <c r="B86" s="1597">
        <f t="shared" si="0"/>
        <v>0.24618193765312446</v>
      </c>
      <c r="C86" s="1597">
        <f t="shared" si="1"/>
        <v>0.10408080320000002</v>
      </c>
      <c r="D86" s="1597">
        <f t="shared" si="3"/>
        <v>0.14210113445312444</v>
      </c>
      <c r="E86" s="1615">
        <f t="shared" si="2"/>
        <v>114210.11344531244</v>
      </c>
      <c r="F86" s="379">
        <f t="shared" si="4"/>
        <v>4416.3232128</v>
      </c>
      <c r="G86" s="1598">
        <f t="shared" si="5"/>
        <v>86316.022129949939</v>
      </c>
      <c r="H86" s="6"/>
      <c r="I86" s="410"/>
      <c r="J86" s="411"/>
      <c r="K86" s="1627"/>
    </row>
    <row r="87" spans="1:11" ht="15.75" x14ac:dyDescent="0.25">
      <c r="A87" s="1606">
        <v>6</v>
      </c>
      <c r="B87" s="1597">
        <f t="shared" si="0"/>
        <v>0.30226012484751474</v>
      </c>
      <c r="C87" s="1597">
        <f t="shared" si="1"/>
        <v>0.12616241926400007</v>
      </c>
      <c r="D87" s="1597">
        <f t="shared" si="3"/>
        <v>0.17609770558351467</v>
      </c>
      <c r="E87" s="1615">
        <f t="shared" si="2"/>
        <v>117609.77055835146</v>
      </c>
      <c r="F87" s="379">
        <f t="shared" si="4"/>
        <v>4504.6496770560007</v>
      </c>
      <c r="G87" s="1598">
        <f t="shared" si="5"/>
        <v>83969.27300614267</v>
      </c>
      <c r="H87" s="6"/>
      <c r="I87" s="410"/>
      <c r="J87" s="411"/>
      <c r="K87" s="1627"/>
    </row>
    <row r="88" spans="1:11" ht="15.75" x14ac:dyDescent="0.25">
      <c r="A88" s="1606">
        <v>7</v>
      </c>
      <c r="B88" s="1597">
        <f t="shared" si="0"/>
        <v>0.36086183046565301</v>
      </c>
      <c r="C88" s="1597">
        <f t="shared" si="1"/>
        <v>0.14868566764927982</v>
      </c>
      <c r="D88" s="1597">
        <f t="shared" si="3"/>
        <v>0.21217616281637319</v>
      </c>
      <c r="E88" s="1615">
        <f t="shared" si="2"/>
        <v>121217.61628163733</v>
      </c>
      <c r="F88" s="379">
        <f t="shared" si="4"/>
        <v>4594.7426705971193</v>
      </c>
      <c r="G88" s="1598">
        <f t="shared" si="5"/>
        <v>81473.762160699116</v>
      </c>
      <c r="H88" s="6"/>
      <c r="I88" s="410"/>
      <c r="J88" s="411"/>
      <c r="K88" s="1627"/>
    </row>
    <row r="89" spans="1:11" ht="15.75" x14ac:dyDescent="0.25">
      <c r="A89" s="1606">
        <v>8</v>
      </c>
      <c r="B89" s="1597">
        <f t="shared" si="0"/>
        <v>0.42210061283660694</v>
      </c>
      <c r="C89" s="1597">
        <f t="shared" si="1"/>
        <v>0.17165938100226552</v>
      </c>
      <c r="D89" s="1597">
        <f t="shared" si="3"/>
        <v>0.25044123183434142</v>
      </c>
      <c r="E89" s="1615">
        <f t="shared" si="2"/>
        <v>125044.12318343415</v>
      </c>
      <c r="F89" s="379">
        <f t="shared" si="4"/>
        <v>4686.637524009062</v>
      </c>
      <c r="G89" s="1598">
        <f t="shared" si="5"/>
        <v>78823.968690707537</v>
      </c>
      <c r="H89" s="6"/>
      <c r="I89" s="410"/>
      <c r="J89" s="411"/>
      <c r="K89" s="1627"/>
    </row>
    <row r="90" spans="1:11" ht="15.75" x14ac:dyDescent="0.25">
      <c r="A90" s="1606">
        <v>9</v>
      </c>
      <c r="B90" s="1597">
        <f t="shared" si="0"/>
        <v>0.48609514041425417</v>
      </c>
      <c r="C90" s="1597">
        <f t="shared" si="1"/>
        <v>0.19509256862231084</v>
      </c>
      <c r="D90" s="1597">
        <f t="shared" si="3"/>
        <v>0.29100257179194333</v>
      </c>
      <c r="E90" s="1615">
        <f t="shared" si="2"/>
        <v>129100.25717919433</v>
      </c>
      <c r="F90" s="379">
        <f t="shared" si="4"/>
        <v>4780.3702744892435</v>
      </c>
      <c r="G90" s="1598">
        <f t="shared" si="5"/>
        <v>76014.197633485979</v>
      </c>
      <c r="H90" s="6"/>
      <c r="I90" s="410"/>
      <c r="J90" s="411"/>
      <c r="K90" s="1627"/>
    </row>
    <row r="91" spans="1:11" ht="15.75" x14ac:dyDescent="0.25">
      <c r="A91" s="1606">
        <v>10</v>
      </c>
      <c r="B91" s="1597">
        <f t="shared" si="0"/>
        <v>0.55296942173289532</v>
      </c>
      <c r="C91" s="1597">
        <f t="shared" si="1"/>
        <v>0.21899441999475711</v>
      </c>
      <c r="D91" s="1597">
        <f t="shared" si="3"/>
        <v>0.33397500173813821</v>
      </c>
      <c r="E91" s="1615">
        <f t="shared" si="2"/>
        <v>133397.50017381381</v>
      </c>
      <c r="F91" s="379">
        <f t="shared" si="4"/>
        <v>4875.9776799790288</v>
      </c>
      <c r="G91" s="1598">
        <f t="shared" si="5"/>
        <v>73038.574894344099</v>
      </c>
      <c r="H91" s="6"/>
      <c r="I91" s="410"/>
      <c r="J91" s="411"/>
      <c r="K91" s="1627"/>
    </row>
    <row r="92" spans="1:11" ht="15.75" x14ac:dyDescent="0.25">
      <c r="A92" s="1606">
        <v>11</v>
      </c>
      <c r="B92" s="1597">
        <f t="shared" si="0"/>
        <v>0.62285304571087563</v>
      </c>
      <c r="C92" s="1597">
        <f t="shared" si="1"/>
        <v>0.24337430839465202</v>
      </c>
      <c r="D92" s="1597">
        <f t="shared" si="3"/>
        <v>0.37947873731622361</v>
      </c>
      <c r="E92" s="1615">
        <f t="shared" si="2"/>
        <v>137947.87373162236</v>
      </c>
      <c r="F92" s="379">
        <f t="shared" si="4"/>
        <v>4973.4972335786078</v>
      </c>
      <c r="G92" s="1598">
        <f t="shared" si="5"/>
        <v>69891.042033124075</v>
      </c>
      <c r="H92" s="6"/>
      <c r="I92" s="410"/>
      <c r="J92" s="411"/>
      <c r="K92" s="1627"/>
    </row>
    <row r="93" spans="1:11" ht="15.75" x14ac:dyDescent="0.25">
      <c r="A93" s="1606">
        <v>12</v>
      </c>
      <c r="B93" s="1597">
        <f t="shared" si="0"/>
        <v>0.69588143276786463</v>
      </c>
      <c r="C93" s="1597">
        <f t="shared" si="1"/>
        <v>0.26824179456254527</v>
      </c>
      <c r="D93" s="1597">
        <f t="shared" si="3"/>
        <v>0.42763963820531936</v>
      </c>
      <c r="E93" s="1615">
        <f t="shared" si="2"/>
        <v>142763.96382053194</v>
      </c>
      <c r="F93" s="379">
        <f t="shared" si="4"/>
        <v>5072.967178250181</v>
      </c>
      <c r="G93" s="1598">
        <f t="shared" si="5"/>
        <v>66565.350905701984</v>
      </c>
      <c r="H93" s="6"/>
      <c r="I93" s="410"/>
      <c r="J93" s="411"/>
      <c r="K93" s="1627"/>
    </row>
    <row r="94" spans="1:11" ht="15.75" x14ac:dyDescent="0.25">
      <c r="A94" s="1606">
        <v>13</v>
      </c>
      <c r="B94" s="1597">
        <f t="shared" si="0"/>
        <v>0.77219609724241867</v>
      </c>
      <c r="C94" s="1597">
        <f t="shared" si="1"/>
        <v>0.29360663045379609</v>
      </c>
      <c r="D94" s="1597">
        <f t="shared" si="3"/>
        <v>0.47858946678862258</v>
      </c>
      <c r="E94" s="1615">
        <f t="shared" si="2"/>
        <v>147858.94667886227</v>
      </c>
      <c r="F94" s="379">
        <f t="shared" si="4"/>
        <v>5174.4265218151841</v>
      </c>
      <c r="G94" s="1598">
        <f t="shared" si="5"/>
        <v>63055.05815652934</v>
      </c>
      <c r="H94" s="6"/>
      <c r="I94" s="410"/>
      <c r="J94" s="411"/>
      <c r="K94" s="1627"/>
    </row>
    <row r="95" spans="1:11" ht="15.75" x14ac:dyDescent="0.25">
      <c r="A95" s="1606">
        <v>14</v>
      </c>
      <c r="B95" s="1597">
        <f t="shared" si="0"/>
        <v>0.85194492161832702</v>
      </c>
      <c r="C95" s="1597">
        <f t="shared" si="1"/>
        <v>0.31947876306287215</v>
      </c>
      <c r="D95" s="1597">
        <f t="shared" si="3"/>
        <v>0.53246615855545487</v>
      </c>
      <c r="E95" s="1615">
        <f t="shared" si="2"/>
        <v>153246.61585554547</v>
      </c>
      <c r="F95" s="379">
        <f t="shared" si="4"/>
        <v>5277.9150522514883</v>
      </c>
      <c r="G95" s="1598">
        <f t="shared" si="5"/>
        <v>59353.519558191074</v>
      </c>
      <c r="H95" s="6"/>
      <c r="I95" s="410"/>
      <c r="J95" s="411"/>
      <c r="K95" s="1627"/>
    </row>
    <row r="96" spans="1:11" ht="15.75" x14ac:dyDescent="0.25">
      <c r="A96" s="1606">
        <v>15</v>
      </c>
      <c r="B96" s="1597">
        <f t="shared" si="0"/>
        <v>0.93528244309115194</v>
      </c>
      <c r="C96" s="1597">
        <f t="shared" si="1"/>
        <v>0.34586833832412922</v>
      </c>
      <c r="D96" s="1597">
        <f t="shared" si="3"/>
        <v>0.58941410476702272</v>
      </c>
      <c r="E96" s="1615">
        <f t="shared" si="2"/>
        <v>158941.41047670227</v>
      </c>
      <c r="F96" s="379">
        <f t="shared" si="4"/>
        <v>5383.4733532965165</v>
      </c>
      <c r="G96" s="1598">
        <f t="shared" si="5"/>
        <v>55453.884193849328</v>
      </c>
      <c r="H96" s="6"/>
      <c r="I96" s="410"/>
      <c r="J96" s="411"/>
      <c r="K96" s="1627"/>
    </row>
    <row r="97" spans="1:11" ht="15.75" x14ac:dyDescent="0.25">
      <c r="A97" s="1606">
        <v>16</v>
      </c>
      <c r="B97" s="1597">
        <f t="shared" si="0"/>
        <v>1.0223701530302529</v>
      </c>
      <c r="C97" s="1597">
        <f t="shared" si="1"/>
        <v>0.37278570509061204</v>
      </c>
      <c r="D97" s="1597">
        <f t="shared" si="3"/>
        <v>0.64958444793964087</v>
      </c>
      <c r="E97" s="1615">
        <f t="shared" si="2"/>
        <v>164958.4447939641</v>
      </c>
      <c r="F97" s="379">
        <f t="shared" si="4"/>
        <v>5491.1428203624482</v>
      </c>
      <c r="G97" s="1598">
        <f t="shared" si="5"/>
        <v>51349.088478333113</v>
      </c>
      <c r="H97" s="6"/>
      <c r="I97" s="410"/>
      <c r="J97" s="411"/>
      <c r="K97" s="1627"/>
    </row>
    <row r="98" spans="1:11" ht="15.75" x14ac:dyDescent="0.25">
      <c r="A98" s="1606">
        <v>17</v>
      </c>
      <c r="B98" s="1597">
        <f t="shared" si="0"/>
        <v>1.1133768099166144</v>
      </c>
      <c r="C98" s="1597">
        <f t="shared" si="1"/>
        <v>0.4002414191924244</v>
      </c>
      <c r="D98" s="1597">
        <f t="shared" si="3"/>
        <v>0.71313539072418997</v>
      </c>
      <c r="E98" s="1615">
        <f t="shared" si="2"/>
        <v>171313.53907241899</v>
      </c>
      <c r="F98" s="379">
        <f t="shared" si="4"/>
        <v>5600.9656767696979</v>
      </c>
      <c r="G98" s="1598">
        <f t="shared" si="5"/>
        <v>47031.850013521733</v>
      </c>
      <c r="H98" s="6"/>
      <c r="I98" s="410"/>
      <c r="J98" s="411"/>
      <c r="K98" s="1627"/>
    </row>
    <row r="99" spans="1:11" ht="15.75" x14ac:dyDescent="0.25">
      <c r="A99" s="1606">
        <v>18</v>
      </c>
      <c r="B99" s="1597">
        <f t="shared" si="0"/>
        <v>1.2084787663628616</v>
      </c>
      <c r="C99" s="1597">
        <f t="shared" si="1"/>
        <v>0.42824624757627272</v>
      </c>
      <c r="D99" s="1597">
        <f t="shared" si="3"/>
        <v>0.78023251878658884</v>
      </c>
      <c r="E99" s="1615">
        <f t="shared" si="2"/>
        <v>178023.25187865889</v>
      </c>
      <c r="F99" s="379">
        <f t="shared" si="4"/>
        <v>5712.9849903050908</v>
      </c>
      <c r="G99" s="1598">
        <f t="shared" si="5"/>
        <v>42494.661273554681</v>
      </c>
      <c r="H99" s="6"/>
      <c r="I99" s="410"/>
      <c r="J99" s="411"/>
      <c r="K99" s="1627"/>
    </row>
    <row r="100" spans="1:11" ht="15.75" x14ac:dyDescent="0.25">
      <c r="A100" s="1606">
        <v>19</v>
      </c>
      <c r="B100" s="1597">
        <f t="shared" si="0"/>
        <v>1.3078603108491902</v>
      </c>
      <c r="C100" s="1597">
        <f t="shared" si="1"/>
        <v>0.45681117252779813</v>
      </c>
      <c r="D100" s="1597">
        <f t="shared" si="3"/>
        <v>0.85104913832139206</v>
      </c>
      <c r="E100" s="1615">
        <f t="shared" si="2"/>
        <v>185104.91383213919</v>
      </c>
      <c r="F100" s="379">
        <f t="shared" si="4"/>
        <v>5827.2446901111925</v>
      </c>
      <c r="G100" s="1598">
        <f t="shared" si="5"/>
        <v>37729.783115282356</v>
      </c>
      <c r="H100" s="6"/>
      <c r="I100" s="410"/>
      <c r="J100" s="411"/>
      <c r="K100" s="1627"/>
    </row>
    <row r="101" spans="1:11" ht="15.75" x14ac:dyDescent="0.25">
      <c r="A101" s="1606">
        <v>20</v>
      </c>
      <c r="B101" s="1597">
        <f t="shared" si="0"/>
        <v>1.4117140248374032</v>
      </c>
      <c r="C101" s="1597">
        <f t="shared" si="1"/>
        <v>0.48594739597835424</v>
      </c>
      <c r="D101" s="1597">
        <f t="shared" si="3"/>
        <v>0.92576662885904892</v>
      </c>
      <c r="E101" s="1615">
        <f t="shared" si="2"/>
        <v>192576.66288590489</v>
      </c>
      <c r="F101" s="379">
        <f t="shared" si="4"/>
        <v>5943.7895839134171</v>
      </c>
      <c r="G101" s="1598">
        <f t="shared" si="5"/>
        <v>32729.238109250993</v>
      </c>
      <c r="H101" s="6"/>
      <c r="I101" s="410"/>
      <c r="J101" s="411"/>
      <c r="K101" s="1627"/>
    </row>
    <row r="102" spans="1:11" ht="15.75" x14ac:dyDescent="0.25">
      <c r="A102" s="1606">
        <v>21</v>
      </c>
      <c r="B102" s="1597">
        <f t="shared" si="0"/>
        <v>1.5202411559550866</v>
      </c>
      <c r="C102" s="1597">
        <f t="shared" si="1"/>
        <v>0.51566634389792121</v>
      </c>
      <c r="D102" s="1597">
        <f t="shared" si="3"/>
        <v>1.0045748120571654</v>
      </c>
      <c r="E102" s="1615">
        <f t="shared" si="2"/>
        <v>200457.48120571653</v>
      </c>
      <c r="F102" s="379">
        <f t="shared" si="4"/>
        <v>6062.665375591685</v>
      </c>
      <c r="G102" s="1598">
        <f t="shared" si="5"/>
        <v>27484.80368639058</v>
      </c>
      <c r="H102" s="6"/>
      <c r="I102" s="410"/>
      <c r="J102" s="411"/>
      <c r="K102" s="1627"/>
    </row>
    <row r="103" spans="1:11" ht="15.75" x14ac:dyDescent="0.25">
      <c r="A103" s="1606">
        <v>22</v>
      </c>
      <c r="B103" s="1597">
        <f t="shared" si="0"/>
        <v>1.6336520079730645</v>
      </c>
      <c r="C103" s="1597">
        <f t="shared" si="1"/>
        <v>0.54597967077587972</v>
      </c>
      <c r="D103" s="1597">
        <f t="shared" si="3"/>
        <v>1.0876723371971848</v>
      </c>
      <c r="E103" s="1615">
        <f t="shared" si="2"/>
        <v>208767.23371971847</v>
      </c>
      <c r="F103" s="379">
        <f t="shared" si="4"/>
        <v>6183.9186831035186</v>
      </c>
      <c r="G103" s="1598">
        <f t="shared" si="5"/>
        <v>21988.005095446824</v>
      </c>
      <c r="H103" s="6"/>
      <c r="I103" s="410"/>
      <c r="J103" s="411"/>
      <c r="K103" s="1627"/>
    </row>
    <row r="104" spans="1:11" ht="15.75" x14ac:dyDescent="0.25">
      <c r="A104" s="1606">
        <v>23</v>
      </c>
      <c r="B104" s="1597">
        <f t="shared" si="0"/>
        <v>1.7521663483318526</v>
      </c>
      <c r="C104" s="1597">
        <f t="shared" si="1"/>
        <v>0.57689926419139703</v>
      </c>
      <c r="D104" s="1597">
        <f t="shared" si="3"/>
        <v>1.1752670841404556</v>
      </c>
      <c r="E104" s="1615">
        <f t="shared" si="2"/>
        <v>217526.70841404554</v>
      </c>
      <c r="F104" s="379">
        <f t="shared" si="4"/>
        <v>6307.5970567655877</v>
      </c>
      <c r="G104" s="1598">
        <f t="shared" si="5"/>
        <v>16230.108166067404</v>
      </c>
      <c r="H104" s="6"/>
      <c r="I104" s="410"/>
      <c r="J104" s="411"/>
      <c r="K104" s="1627"/>
    </row>
    <row r="105" spans="1:11" ht="15.75" x14ac:dyDescent="0.25">
      <c r="A105" s="1606">
        <v>24</v>
      </c>
      <c r="B105" s="1597">
        <f t="shared" si="0"/>
        <v>1.8760138340067853</v>
      </c>
      <c r="C105" s="1597">
        <f t="shared" si="1"/>
        <v>0.60843724947522504</v>
      </c>
      <c r="D105" s="1597">
        <f t="shared" si="3"/>
        <v>1.2675765845315603</v>
      </c>
      <c r="E105" s="1615">
        <f t="shared" si="2"/>
        <v>226757.65845315601</v>
      </c>
      <c r="F105" s="379">
        <f t="shared" si="4"/>
        <v>6433.7489979009006</v>
      </c>
      <c r="G105" s="1598">
        <f t="shared" si="5"/>
        <v>10202.111872318186</v>
      </c>
      <c r="H105" s="6"/>
      <c r="I105" s="410"/>
      <c r="J105" s="411"/>
      <c r="K105" s="1627"/>
    </row>
    <row r="106" spans="1:11" ht="15.75" x14ac:dyDescent="0.25">
      <c r="A106" s="1606">
        <v>25</v>
      </c>
      <c r="B106" s="1597">
        <f t="shared" si="0"/>
        <v>2.0054344565370905</v>
      </c>
      <c r="C106" s="1597">
        <f t="shared" si="1"/>
        <v>0.64060599446472954</v>
      </c>
      <c r="D106" s="1597">
        <f t="shared" si="3"/>
        <v>1.364828462072361</v>
      </c>
      <c r="E106" s="1615">
        <f t="shared" si="2"/>
        <v>236482.84620723609</v>
      </c>
      <c r="F106" s="379">
        <f t="shared" si="4"/>
        <v>6562.4239778589181</v>
      </c>
      <c r="G106" s="1598">
        <f t="shared" si="5"/>
        <v>3894.7406912672213</v>
      </c>
      <c r="H106" s="6"/>
      <c r="I106" s="410"/>
      <c r="J106" s="411"/>
      <c r="K106" s="1627"/>
    </row>
    <row r="107" spans="1:11" ht="15.75" x14ac:dyDescent="0.25">
      <c r="A107" s="1606">
        <v>26</v>
      </c>
      <c r="B107" s="1597">
        <f t="shared" si="0"/>
        <v>2.1406790070812587</v>
      </c>
      <c r="C107" s="1597">
        <f t="shared" si="1"/>
        <v>0.67341811435402432</v>
      </c>
      <c r="D107" s="1597">
        <f t="shared" si="3"/>
        <v>1.4672608927272344</v>
      </c>
      <c r="E107" s="1615">
        <f t="shared" si="2"/>
        <v>246726.08927272345</v>
      </c>
      <c r="F107" s="379">
        <f t="shared" si="4"/>
        <v>6693.6724574160971</v>
      </c>
      <c r="G107" s="1598">
        <f t="shared" si="5"/>
        <v>-2701.5632488671954</v>
      </c>
      <c r="H107" s="6"/>
      <c r="I107" s="410"/>
      <c r="J107" s="411"/>
      <c r="K107" s="1627"/>
    </row>
    <row r="108" spans="1:11" ht="15.75" x14ac:dyDescent="0.25">
      <c r="A108" s="1606">
        <v>27</v>
      </c>
      <c r="B108" s="1597">
        <f t="shared" si="0"/>
        <v>2.2820095623999155</v>
      </c>
      <c r="C108" s="1597">
        <f t="shared" si="1"/>
        <v>0.70688647664110449</v>
      </c>
      <c r="D108" s="1597">
        <f t="shared" si="3"/>
        <v>1.575123085758811</v>
      </c>
      <c r="E108" s="1615">
        <f t="shared" si="2"/>
        <v>257512.30857588112</v>
      </c>
      <c r="F108" s="379">
        <f t="shared" si="4"/>
        <v>6827.5459065644181</v>
      </c>
      <c r="G108" s="1598">
        <f t="shared" si="5"/>
        <v>-9596.6482366532928</v>
      </c>
      <c r="H108" s="6"/>
      <c r="I108" s="410"/>
      <c r="J108" s="411"/>
      <c r="K108" s="1627"/>
    </row>
    <row r="109" spans="1:11" ht="15.75" x14ac:dyDescent="0.25">
      <c r="A109" s="1606">
        <v>28</v>
      </c>
      <c r="B109" s="1597">
        <f t="shared" si="0"/>
        <v>2.4296999927079108</v>
      </c>
      <c r="C109" s="1597">
        <f t="shared" si="1"/>
        <v>0.74102420617392695</v>
      </c>
      <c r="D109" s="1597">
        <f t="shared" si="3"/>
        <v>1.6886757865339839</v>
      </c>
      <c r="E109" s="1615">
        <f t="shared" si="2"/>
        <v>268867.57865339838</v>
      </c>
      <c r="F109" s="379">
        <f t="shared" si="4"/>
        <v>6964.0968246957082</v>
      </c>
      <c r="G109" s="1598">
        <f t="shared" si="5"/>
        <v>-16800.661267265332</v>
      </c>
      <c r="H109" s="6"/>
      <c r="I109" s="410"/>
      <c r="J109" s="411"/>
      <c r="K109" s="1627"/>
    </row>
    <row r="110" spans="1:11" ht="15.75" x14ac:dyDescent="0.25">
      <c r="A110" s="1606">
        <v>29</v>
      </c>
      <c r="B110" s="1597">
        <f t="shared" si="0"/>
        <v>2.5840364923797674</v>
      </c>
      <c r="C110" s="1597">
        <f t="shared" si="1"/>
        <v>0.77584469029740522</v>
      </c>
      <c r="D110" s="1597">
        <f t="shared" si="3"/>
        <v>1.8081918020823622</v>
      </c>
      <c r="E110" s="1615">
        <f t="shared" si="2"/>
        <v>280819.18020823621</v>
      </c>
      <c r="F110" s="379">
        <f t="shared" si="4"/>
        <v>7103.3787611896205</v>
      </c>
      <c r="G110" s="1598">
        <f t="shared" si="5"/>
        <v>-24324.056560136582</v>
      </c>
      <c r="H110" s="6"/>
      <c r="I110" s="410"/>
      <c r="J110" s="411"/>
      <c r="K110" s="1627"/>
    </row>
    <row r="111" spans="1:11" ht="15.75" x14ac:dyDescent="0.25">
      <c r="A111" s="1606">
        <v>30</v>
      </c>
      <c r="B111" s="1597">
        <f t="shared" si="0"/>
        <v>2.7453181345368556</v>
      </c>
      <c r="C111" s="1597">
        <f t="shared" si="1"/>
        <v>0.81136158410335346</v>
      </c>
      <c r="D111" s="1597">
        <f t="shared" si="3"/>
        <v>1.9339565504335021</v>
      </c>
      <c r="E111" s="1615">
        <f t="shared" si="2"/>
        <v>293395.65504335018</v>
      </c>
      <c r="F111" s="379">
        <f t="shared" si="4"/>
        <v>7245.4463364134135</v>
      </c>
      <c r="G111" s="1598">
        <f t="shared" si="5"/>
        <v>-32177.604310553408</v>
      </c>
      <c r="H111" s="6"/>
      <c r="I111" s="410"/>
      <c r="J111" s="411"/>
      <c r="K111" s="1627"/>
    </row>
    <row r="112" spans="1:11" ht="15.75" x14ac:dyDescent="0.25">
      <c r="A112" s="1606">
        <v>31</v>
      </c>
      <c r="B112" s="1597">
        <f t="shared" ref="B112:B116" si="6">(POWER((1+$D$75),A112)-1)</f>
        <v>2.9138574505910149</v>
      </c>
      <c r="C112" s="1597">
        <f t="shared" ref="C112:C115" si="7">(POWER((1+$D$76),A112)-1)</f>
        <v>0.84758881578542011</v>
      </c>
      <c r="D112" s="1597">
        <f t="shared" ref="D112:D115" si="8">B112-C112</f>
        <v>2.0662686348055948</v>
      </c>
      <c r="E112" s="1615">
        <f t="shared" ref="E112:E116" si="9">(1+D112)*$D$77</f>
        <v>306626.86348055949</v>
      </c>
      <c r="F112" s="379">
        <f t="shared" ref="F112:F115" si="10">$D$78*POWER((1+$D$76),(A112-A$81))</f>
        <v>7390.3552631416806</v>
      </c>
      <c r="G112" s="1598">
        <f t="shared" ref="G112:G115" si="11">G111*(1+($D$75-$D$76))-F112</f>
        <v>-40372.399681458926</v>
      </c>
      <c r="H112" s="6"/>
      <c r="I112" s="410"/>
      <c r="J112" s="411"/>
      <c r="K112" s="1627"/>
    </row>
    <row r="113" spans="1:11" ht="15.75" x14ac:dyDescent="0.25">
      <c r="A113" s="1606">
        <v>32</v>
      </c>
      <c r="B113" s="1597">
        <f t="shared" si="6"/>
        <v>3.0899810358676083</v>
      </c>
      <c r="C113" s="1597">
        <f t="shared" si="7"/>
        <v>0.8845405921011289</v>
      </c>
      <c r="D113" s="1597">
        <f t="shared" si="8"/>
        <v>2.2054404437664794</v>
      </c>
      <c r="E113" s="1615">
        <f t="shared" si="9"/>
        <v>320544.04437664791</v>
      </c>
      <c r="F113" s="379">
        <f t="shared" si="10"/>
        <v>7538.1623684045153</v>
      </c>
      <c r="G113" s="1598">
        <f t="shared" si="11"/>
        <v>-48919.872041899915</v>
      </c>
      <c r="H113" s="6"/>
      <c r="I113" s="410"/>
      <c r="J113" s="411"/>
      <c r="K113" s="1627"/>
    </row>
    <row r="114" spans="1:11" ht="15.75" x14ac:dyDescent="0.25">
      <c r="A114" s="1606">
        <v>33</v>
      </c>
      <c r="B114" s="1597">
        <f t="shared" si="6"/>
        <v>3.27403018248165</v>
      </c>
      <c r="C114" s="1597">
        <f t="shared" si="7"/>
        <v>0.92223140394315162</v>
      </c>
      <c r="D114" s="1597">
        <f t="shared" si="8"/>
        <v>2.3517987785384982</v>
      </c>
      <c r="E114" s="1615">
        <f t="shared" si="9"/>
        <v>335179.87785384984</v>
      </c>
      <c r="F114" s="379">
        <f t="shared" si="10"/>
        <v>7688.9256157726068</v>
      </c>
      <c r="G114" s="1598">
        <f t="shared" si="11"/>
        <v>-57831.794458720011</v>
      </c>
      <c r="H114" s="6"/>
      <c r="I114" s="410"/>
      <c r="J114" s="411"/>
      <c r="K114" s="1627"/>
    </row>
    <row r="115" spans="1:11" ht="15.75" x14ac:dyDescent="0.25">
      <c r="A115" s="1606">
        <v>34</v>
      </c>
      <c r="B115" s="1597">
        <f t="shared" si="6"/>
        <v>3.4663615406933239</v>
      </c>
      <c r="C115" s="1597">
        <f t="shared" si="7"/>
        <v>0.96067603202201446</v>
      </c>
      <c r="D115" s="1597">
        <f t="shared" si="8"/>
        <v>2.5056855086713092</v>
      </c>
      <c r="E115" s="1615">
        <f t="shared" si="9"/>
        <v>350568.55086713092</v>
      </c>
      <c r="F115" s="379">
        <f t="shared" si="10"/>
        <v>7842.7041280880576</v>
      </c>
      <c r="G115" s="1598">
        <f t="shared" si="11"/>
        <v>-67120.293448276061</v>
      </c>
      <c r="H115" s="6"/>
      <c r="I115" s="410"/>
      <c r="J115" s="411"/>
      <c r="K115" s="1627"/>
    </row>
    <row r="116" spans="1:11" ht="16.5" thickBot="1" x14ac:dyDescent="0.3">
      <c r="A116" s="1607">
        <v>35</v>
      </c>
      <c r="B116" s="1599">
        <f t="shared" si="6"/>
        <v>3.6673478100245234</v>
      </c>
      <c r="C116" s="1599">
        <f t="shared" ref="C116" si="12">(POWER((1+$D$76),A116)-1)</f>
        <v>0.99988955266245472</v>
      </c>
      <c r="D116" s="1599">
        <f t="shared" ref="D116" si="13">B116-C116</f>
        <v>2.6674582573620684</v>
      </c>
      <c r="E116" s="1616">
        <f t="shared" si="9"/>
        <v>366745.82573620684</v>
      </c>
      <c r="F116" s="1619">
        <f t="shared" ref="F116" si="14">$D$78*POWER((1+$D$76),(A116-A$81))</f>
        <v>7999.5582106498186</v>
      </c>
      <c r="G116" s="1600">
        <f t="shared" ref="G116" si="15">G115*(1+($D$75-$D$76))-F116</f>
        <v>-76797.858995132774</v>
      </c>
      <c r="H116" s="1314"/>
      <c r="I116" s="1632"/>
      <c r="J116" s="1633"/>
      <c r="K116" s="1634"/>
    </row>
    <row r="117" spans="1:11" ht="16.5" thickTop="1" x14ac:dyDescent="0.25">
      <c r="I117" s="410"/>
      <c r="J117" s="411"/>
      <c r="K117" s="394"/>
    </row>
    <row r="118" spans="1:11" ht="16.5" thickBot="1" x14ac:dyDescent="0.3">
      <c r="I118" s="410"/>
      <c r="J118" s="411"/>
      <c r="K118" s="394"/>
    </row>
    <row r="119" spans="1:11" ht="19.5" thickTop="1" x14ac:dyDescent="0.3">
      <c r="A119" s="1623" t="s">
        <v>2365</v>
      </c>
      <c r="B119" s="1341"/>
      <c r="C119" s="1341"/>
      <c r="D119" s="1341"/>
      <c r="E119" s="1341"/>
      <c r="F119" s="1341"/>
      <c r="G119" s="1341"/>
      <c r="H119" s="1341"/>
      <c r="I119" s="1624"/>
      <c r="J119" s="1625"/>
      <c r="K119" s="1626"/>
    </row>
    <row r="120" spans="1:11" ht="18.75" x14ac:dyDescent="0.3">
      <c r="A120" s="1785" t="s">
        <v>1386</v>
      </c>
      <c r="B120" s="6"/>
      <c r="C120" s="6"/>
      <c r="D120" s="6"/>
      <c r="E120" s="6"/>
      <c r="F120" s="6"/>
      <c r="G120" s="6"/>
      <c r="H120" s="6"/>
      <c r="I120" s="410"/>
      <c r="J120" s="411"/>
      <c r="K120" s="1627"/>
    </row>
    <row r="121" spans="1:11" ht="15.75" x14ac:dyDescent="0.25">
      <c r="A121" s="1336" t="s">
        <v>1383</v>
      </c>
      <c r="B121" s="1773"/>
      <c r="C121" s="1775"/>
      <c r="D121" s="6"/>
      <c r="E121" s="6"/>
      <c r="F121" s="6"/>
      <c r="G121" s="6"/>
      <c r="H121" s="6"/>
      <c r="I121" s="410"/>
      <c r="J121" s="411"/>
      <c r="K121" s="1627"/>
    </row>
    <row r="122" spans="1:11" ht="15.75" x14ac:dyDescent="0.25">
      <c r="A122" s="1336" t="s">
        <v>2921</v>
      </c>
      <c r="B122" s="1774"/>
      <c r="C122" s="684"/>
      <c r="D122" s="6"/>
      <c r="E122" s="6"/>
      <c r="F122" s="6"/>
      <c r="G122" s="6"/>
      <c r="H122" s="6"/>
      <c r="I122" s="410"/>
      <c r="J122" s="411"/>
      <c r="K122" s="1627"/>
    </row>
    <row r="123" spans="1:11" ht="15.75" x14ac:dyDescent="0.25">
      <c r="A123" s="1336"/>
      <c r="B123" s="684"/>
      <c r="C123" s="684"/>
      <c r="D123" s="6"/>
      <c r="E123" s="6"/>
      <c r="F123" s="6"/>
      <c r="G123" s="6"/>
      <c r="H123" s="6"/>
      <c r="I123" s="410"/>
      <c r="J123" s="411"/>
      <c r="K123" s="1627"/>
    </row>
    <row r="124" spans="1:11" ht="15.75" x14ac:dyDescent="0.25">
      <c r="A124" s="1336" t="s">
        <v>2541</v>
      </c>
      <c r="B124" s="684"/>
      <c r="C124" s="684"/>
      <c r="D124" s="6"/>
      <c r="E124" s="6"/>
      <c r="F124" s="6"/>
      <c r="G124" s="6"/>
      <c r="H124" s="6"/>
      <c r="I124" s="410"/>
      <c r="J124" s="411"/>
      <c r="K124" s="1627"/>
    </row>
    <row r="125" spans="1:11" ht="15.75" x14ac:dyDescent="0.25">
      <c r="A125" s="1327" t="s">
        <v>1390</v>
      </c>
      <c r="B125" s="684"/>
      <c r="C125" s="6"/>
      <c r="D125" s="1795">
        <v>10000</v>
      </c>
      <c r="E125" s="6"/>
      <c r="F125" s="1156"/>
      <c r="G125" s="6"/>
      <c r="J125" s="1779"/>
      <c r="K125" s="1780"/>
    </row>
    <row r="126" spans="1:11" ht="15.75" x14ac:dyDescent="0.25">
      <c r="A126" s="1327" t="s">
        <v>1381</v>
      </c>
      <c r="B126" s="684"/>
      <c r="C126" s="1776"/>
      <c r="D126" s="1796">
        <v>0.02</v>
      </c>
      <c r="E126" s="6" t="s">
        <v>1388</v>
      </c>
      <c r="F126" s="1156"/>
      <c r="G126" s="6"/>
      <c r="H126" s="1781">
        <f>'1. AgeData'!$E$38</f>
        <v>0.02</v>
      </c>
      <c r="J126" s="1779" t="s">
        <v>1382</v>
      </c>
      <c r="K126" s="1780"/>
    </row>
    <row r="127" spans="1:11" ht="15.75" x14ac:dyDescent="0.25">
      <c r="A127" s="1156"/>
      <c r="B127" s="684"/>
      <c r="C127" s="1776"/>
      <c r="D127" s="1796"/>
      <c r="E127" s="6"/>
      <c r="F127" s="1156"/>
      <c r="G127" s="6"/>
      <c r="H127" s="1781"/>
      <c r="J127" s="1779"/>
      <c r="K127" s="1780"/>
    </row>
    <row r="128" spans="1:11" ht="15.75" x14ac:dyDescent="0.25">
      <c r="A128" s="33" t="s">
        <v>2542</v>
      </c>
      <c r="B128" s="684"/>
      <c r="C128" s="6"/>
      <c r="D128" s="1795"/>
      <c r="E128" s="6"/>
      <c r="F128" s="1156"/>
      <c r="G128" s="6"/>
      <c r="J128" s="1779"/>
      <c r="K128" s="1780"/>
    </row>
    <row r="129" spans="1:11" ht="15.75" x14ac:dyDescent="0.25">
      <c r="A129" s="1327" t="s">
        <v>2922</v>
      </c>
      <c r="B129" s="684"/>
      <c r="C129" s="6"/>
      <c r="D129" s="1795">
        <v>1000</v>
      </c>
      <c r="E129" s="6"/>
      <c r="F129" s="1156"/>
      <c r="G129" s="6"/>
      <c r="H129" s="1141" t="s">
        <v>1393</v>
      </c>
      <c r="I129" s="1141" t="s">
        <v>1394</v>
      </c>
      <c r="J129" s="1779"/>
      <c r="K129" s="1780"/>
    </row>
    <row r="130" spans="1:11" s="442" customFormat="1" ht="15.75" x14ac:dyDescent="0.25">
      <c r="A130" s="1327" t="s">
        <v>1385</v>
      </c>
      <c r="B130" s="684"/>
      <c r="C130" s="1776"/>
      <c r="D130" s="1796">
        <v>0.05</v>
      </c>
      <c r="E130" s="1643" t="s">
        <v>1389</v>
      </c>
      <c r="F130" s="1156"/>
      <c r="G130" s="6"/>
      <c r="H130" s="1781">
        <f>'1. AgeData'!$E$50</f>
        <v>4.4999999999999998E-2</v>
      </c>
      <c r="I130" s="1781">
        <f>'1. AgeData'!$E$51</f>
        <v>1.7500000000000002E-2</v>
      </c>
      <c r="J130" s="1779" t="s">
        <v>1382</v>
      </c>
      <c r="K130" s="1780"/>
    </row>
    <row r="131" spans="1:11" ht="15.75" x14ac:dyDescent="0.25">
      <c r="F131" s="6"/>
      <c r="G131" s="6"/>
      <c r="H131" s="6"/>
      <c r="I131" s="410"/>
      <c r="J131" s="411"/>
      <c r="K131" s="1627"/>
    </row>
    <row r="132" spans="1:11" ht="16.5" thickBot="1" x14ac:dyDescent="0.3">
      <c r="A132" s="1327" t="s">
        <v>2544</v>
      </c>
      <c r="B132" s="6"/>
      <c r="C132" s="6"/>
      <c r="D132" s="6"/>
      <c r="E132" s="1156" t="s">
        <v>2543</v>
      </c>
      <c r="F132" s="6"/>
      <c r="G132" s="6"/>
      <c r="H132" s="6"/>
      <c r="I132" s="410"/>
      <c r="J132" s="411"/>
      <c r="K132" s="1627"/>
    </row>
    <row r="133" spans="1:11" ht="76.5" thickTop="1" thickBot="1" x14ac:dyDescent="0.3">
      <c r="A133" s="3089" t="s">
        <v>1292</v>
      </c>
      <c r="B133" s="3090" t="s">
        <v>1384</v>
      </c>
      <c r="C133" s="1152"/>
      <c r="D133" s="1152"/>
      <c r="E133" s="3089" t="s">
        <v>1292</v>
      </c>
      <c r="F133" s="3091" t="s">
        <v>1391</v>
      </c>
      <c r="G133" s="1152"/>
      <c r="H133" s="1152"/>
      <c r="I133" s="1782"/>
      <c r="J133" s="1783"/>
      <c r="K133" s="1784"/>
    </row>
    <row r="134" spans="1:11" ht="16.5" thickTop="1" x14ac:dyDescent="0.25">
      <c r="A134" s="1323">
        <v>0</v>
      </c>
      <c r="B134" s="1527">
        <f>D125</f>
        <v>10000</v>
      </c>
      <c r="C134" s="6"/>
      <c r="D134" s="6"/>
      <c r="E134" s="1323">
        <v>0</v>
      </c>
      <c r="F134" s="1527">
        <f>D129</f>
        <v>1000</v>
      </c>
      <c r="G134" s="6"/>
      <c r="H134" s="6"/>
      <c r="I134" s="410"/>
      <c r="J134" s="411"/>
      <c r="K134" s="1627"/>
    </row>
    <row r="135" spans="1:11" ht="15.75" x14ac:dyDescent="0.25">
      <c r="A135" s="1323">
        <v>1</v>
      </c>
      <c r="B135" s="1527">
        <f t="shared" ref="B135:B170" si="16">B134/(1+D$126)</f>
        <v>9803.9215686274511</v>
      </c>
      <c r="C135" s="6"/>
      <c r="D135" s="6"/>
      <c r="E135" s="1323">
        <v>1</v>
      </c>
      <c r="F135" s="1527">
        <f>F134*(1+D$130)</f>
        <v>1050</v>
      </c>
      <c r="G135" s="6"/>
      <c r="H135" s="6"/>
      <c r="I135" s="410"/>
      <c r="J135" s="411"/>
      <c r="K135" s="1627"/>
    </row>
    <row r="136" spans="1:11" ht="15.75" x14ac:dyDescent="0.25">
      <c r="A136" s="1323">
        <f t="shared" ref="A136:A170" si="17">A135+1</f>
        <v>2</v>
      </c>
      <c r="B136" s="1527">
        <f t="shared" si="16"/>
        <v>9611.6878123798542</v>
      </c>
      <c r="C136" s="6"/>
      <c r="D136" s="6"/>
      <c r="E136" s="1323">
        <v>2</v>
      </c>
      <c r="F136" s="1527">
        <f t="shared" ref="F136:F170" si="18">F135*(1+D$130)</f>
        <v>1102.5</v>
      </c>
      <c r="G136" s="6"/>
      <c r="H136" s="6"/>
      <c r="I136" s="410"/>
      <c r="J136" s="411"/>
      <c r="K136" s="1627"/>
    </row>
    <row r="137" spans="1:11" ht="15.75" x14ac:dyDescent="0.25">
      <c r="A137" s="1323">
        <f t="shared" si="17"/>
        <v>3</v>
      </c>
      <c r="B137" s="1527">
        <f t="shared" si="16"/>
        <v>9423.2233454704456</v>
      </c>
      <c r="C137" s="6"/>
      <c r="D137" s="6"/>
      <c r="E137" s="1323">
        <v>3</v>
      </c>
      <c r="F137" s="1527">
        <f t="shared" si="18"/>
        <v>1157.625</v>
      </c>
      <c r="G137" s="6"/>
      <c r="H137" s="6"/>
      <c r="I137" s="410"/>
      <c r="J137" s="411"/>
      <c r="K137" s="1627"/>
    </row>
    <row r="138" spans="1:11" ht="15.75" x14ac:dyDescent="0.25">
      <c r="A138" s="1323">
        <f t="shared" si="17"/>
        <v>4</v>
      </c>
      <c r="B138" s="1527">
        <f t="shared" si="16"/>
        <v>9238.4542602651418</v>
      </c>
      <c r="C138" s="6"/>
      <c r="D138" s="6"/>
      <c r="E138" s="1323">
        <v>4</v>
      </c>
      <c r="F138" s="1527">
        <f t="shared" si="18"/>
        <v>1215.5062500000001</v>
      </c>
      <c r="G138" s="6"/>
      <c r="H138" s="6"/>
      <c r="I138" s="410"/>
      <c r="J138" s="411"/>
      <c r="K138" s="1627"/>
    </row>
    <row r="139" spans="1:11" ht="15.75" x14ac:dyDescent="0.25">
      <c r="A139" s="1323">
        <f t="shared" si="17"/>
        <v>5</v>
      </c>
      <c r="B139" s="1527">
        <f t="shared" si="16"/>
        <v>9057.3080982991578</v>
      </c>
      <c r="C139" s="6"/>
      <c r="D139" s="6"/>
      <c r="E139" s="1323">
        <v>5</v>
      </c>
      <c r="F139" s="1527">
        <f t="shared" si="18"/>
        <v>1276.2815625000003</v>
      </c>
      <c r="G139" s="6"/>
      <c r="H139" s="6"/>
      <c r="I139" s="410"/>
      <c r="J139" s="411"/>
      <c r="K139" s="1627"/>
    </row>
    <row r="140" spans="1:11" ht="15.75" x14ac:dyDescent="0.25">
      <c r="A140" s="1323">
        <f t="shared" si="17"/>
        <v>6</v>
      </c>
      <c r="B140" s="1527">
        <f t="shared" si="16"/>
        <v>8879.7138218619184</v>
      </c>
      <c r="C140" s="6"/>
      <c r="D140" s="6"/>
      <c r="E140" s="1323">
        <v>6</v>
      </c>
      <c r="F140" s="1527">
        <f t="shared" si="18"/>
        <v>1340.0956406250004</v>
      </c>
      <c r="G140" s="6"/>
      <c r="H140" s="6"/>
      <c r="I140" s="410"/>
      <c r="J140" s="411"/>
      <c r="K140" s="1627"/>
    </row>
    <row r="141" spans="1:11" ht="15.75" x14ac:dyDescent="0.25">
      <c r="A141" s="1323">
        <f t="shared" si="17"/>
        <v>7</v>
      </c>
      <c r="B141" s="1527">
        <f t="shared" si="16"/>
        <v>8705.6017861391356</v>
      </c>
      <c r="C141" s="6"/>
      <c r="D141" s="6"/>
      <c r="E141" s="1323">
        <v>7</v>
      </c>
      <c r="F141" s="1527">
        <f t="shared" si="18"/>
        <v>1407.1004226562504</v>
      </c>
      <c r="G141" s="6"/>
      <c r="H141" s="6"/>
      <c r="I141" s="410"/>
      <c r="J141" s="411"/>
      <c r="K141" s="1627"/>
    </row>
    <row r="142" spans="1:11" ht="15.75" x14ac:dyDescent="0.25">
      <c r="A142" s="1323">
        <f t="shared" si="17"/>
        <v>8</v>
      </c>
      <c r="B142" s="1527">
        <f t="shared" si="16"/>
        <v>8534.9037119011136</v>
      </c>
      <c r="C142" s="6"/>
      <c r="D142" s="6"/>
      <c r="E142" s="1323">
        <v>8</v>
      </c>
      <c r="F142" s="1527">
        <f t="shared" si="18"/>
        <v>1477.4554437890631</v>
      </c>
      <c r="G142" s="6"/>
      <c r="H142" s="6"/>
      <c r="I142" s="410"/>
      <c r="J142" s="411"/>
      <c r="K142" s="1627"/>
    </row>
    <row r="143" spans="1:11" ht="15.75" x14ac:dyDescent="0.25">
      <c r="A143" s="1323">
        <f t="shared" si="17"/>
        <v>9</v>
      </c>
      <c r="B143" s="1527">
        <f t="shared" si="16"/>
        <v>8367.5526587265813</v>
      </c>
      <c r="C143" s="6"/>
      <c r="D143" s="6"/>
      <c r="E143" s="1323">
        <v>9</v>
      </c>
      <c r="F143" s="1527">
        <f t="shared" si="18"/>
        <v>1551.3282159785163</v>
      </c>
      <c r="G143" s="6"/>
      <c r="H143" s="6"/>
      <c r="I143" s="410"/>
      <c r="J143" s="411"/>
      <c r="K143" s="1627"/>
    </row>
    <row r="144" spans="1:11" ht="15.75" x14ac:dyDescent="0.25">
      <c r="A144" s="1323">
        <f t="shared" si="17"/>
        <v>10</v>
      </c>
      <c r="B144" s="1527">
        <f t="shared" si="16"/>
        <v>8203.4829987515495</v>
      </c>
      <c r="C144" s="6"/>
      <c r="D144" s="6"/>
      <c r="E144" s="1323">
        <v>10</v>
      </c>
      <c r="F144" s="1527">
        <f t="shared" si="18"/>
        <v>1628.8946267774422</v>
      </c>
      <c r="G144" s="6"/>
      <c r="H144" s="6"/>
      <c r="I144" s="410"/>
      <c r="J144" s="411"/>
      <c r="K144" s="1627"/>
    </row>
    <row r="145" spans="1:11" ht="15.75" x14ac:dyDescent="0.25">
      <c r="A145" s="1323">
        <f t="shared" si="17"/>
        <v>11</v>
      </c>
      <c r="B145" s="1527">
        <f t="shared" si="16"/>
        <v>8042.6303909328917</v>
      </c>
      <c r="C145" s="6"/>
      <c r="D145" s="6"/>
      <c r="E145" s="1323">
        <v>11</v>
      </c>
      <c r="F145" s="1527">
        <f t="shared" si="18"/>
        <v>1710.3393581163143</v>
      </c>
      <c r="G145" s="6"/>
      <c r="H145" s="6"/>
      <c r="I145" s="410"/>
      <c r="J145" s="411"/>
      <c r="K145" s="1627"/>
    </row>
    <row r="146" spans="1:11" ht="15.75" x14ac:dyDescent="0.25">
      <c r="A146" s="1323">
        <f t="shared" si="17"/>
        <v>12</v>
      </c>
      <c r="B146" s="1527">
        <f t="shared" si="16"/>
        <v>7884.9317558165603</v>
      </c>
      <c r="C146" s="6"/>
      <c r="D146" s="6"/>
      <c r="E146" s="1323">
        <v>12</v>
      </c>
      <c r="F146" s="1527">
        <f t="shared" si="18"/>
        <v>1795.8563260221301</v>
      </c>
      <c r="G146" s="6"/>
      <c r="H146" s="6"/>
      <c r="I146" s="410"/>
      <c r="J146" s="411"/>
      <c r="K146" s="1627"/>
    </row>
    <row r="147" spans="1:11" ht="15.75" x14ac:dyDescent="0.25">
      <c r="A147" s="1323">
        <f t="shared" si="17"/>
        <v>13</v>
      </c>
      <c r="B147" s="1527">
        <f t="shared" si="16"/>
        <v>7730.3252508005489</v>
      </c>
      <c r="C147" s="6"/>
      <c r="D147" s="6"/>
      <c r="E147" s="1323">
        <v>13</v>
      </c>
      <c r="F147" s="1527">
        <f t="shared" si="18"/>
        <v>1885.6491423232367</v>
      </c>
      <c r="G147" s="6"/>
      <c r="H147" s="6"/>
      <c r="I147" s="410"/>
      <c r="J147" s="411"/>
      <c r="K147" s="1627"/>
    </row>
    <row r="148" spans="1:11" ht="15.75" x14ac:dyDescent="0.25">
      <c r="A148" s="1323">
        <f t="shared" si="17"/>
        <v>14</v>
      </c>
      <c r="B148" s="1527">
        <f t="shared" si="16"/>
        <v>7578.7502458828912</v>
      </c>
      <c r="C148" s="6"/>
      <c r="D148" s="6"/>
      <c r="E148" s="1323">
        <v>14</v>
      </c>
      <c r="F148" s="1527">
        <f t="shared" si="18"/>
        <v>1979.9315994393985</v>
      </c>
      <c r="G148" s="6"/>
      <c r="H148" s="6"/>
      <c r="I148" s="410"/>
      <c r="J148" s="411"/>
      <c r="K148" s="1627"/>
    </row>
    <row r="149" spans="1:11" ht="15.75" x14ac:dyDescent="0.25">
      <c r="A149" s="1323">
        <f t="shared" si="17"/>
        <v>15</v>
      </c>
      <c r="B149" s="1527">
        <f t="shared" si="16"/>
        <v>7430.1472998851877</v>
      </c>
      <c r="C149" s="6"/>
      <c r="D149" s="6"/>
      <c r="E149" s="1323">
        <v>15</v>
      </c>
      <c r="F149" s="1527">
        <f t="shared" si="18"/>
        <v>2078.9281794113685</v>
      </c>
      <c r="G149" s="6"/>
      <c r="H149" s="6"/>
      <c r="I149" s="410"/>
      <c r="J149" s="411"/>
      <c r="K149" s="1627"/>
    </row>
    <row r="150" spans="1:11" ht="15.75" x14ac:dyDescent="0.25">
      <c r="A150" s="1323">
        <f t="shared" si="17"/>
        <v>16</v>
      </c>
      <c r="B150" s="1527">
        <f t="shared" si="16"/>
        <v>7284.458137142341</v>
      </c>
      <c r="C150" s="6"/>
      <c r="D150" s="6"/>
      <c r="E150" s="1323">
        <v>16</v>
      </c>
      <c r="F150" s="1527">
        <f t="shared" si="18"/>
        <v>2182.874588381937</v>
      </c>
      <c r="G150" s="6"/>
      <c r="H150" s="6"/>
      <c r="I150" s="410"/>
      <c r="J150" s="411"/>
      <c r="K150" s="1627"/>
    </row>
    <row r="151" spans="1:11" ht="15.75" x14ac:dyDescent="0.25">
      <c r="A151" s="1323">
        <f t="shared" si="17"/>
        <v>17</v>
      </c>
      <c r="B151" s="1527">
        <f t="shared" si="16"/>
        <v>7141.625624649354</v>
      </c>
      <c r="C151" s="6"/>
      <c r="D151" s="6"/>
      <c r="E151" s="1323">
        <v>17</v>
      </c>
      <c r="F151" s="1527">
        <f t="shared" si="18"/>
        <v>2292.0183178010338</v>
      </c>
      <c r="G151" s="6"/>
      <c r="H151" s="6"/>
      <c r="I151" s="410"/>
      <c r="J151" s="411"/>
      <c r="K151" s="1627"/>
    </row>
    <row r="152" spans="1:11" ht="15.75" x14ac:dyDescent="0.25">
      <c r="A152" s="1323">
        <f t="shared" si="17"/>
        <v>18</v>
      </c>
      <c r="B152" s="1527">
        <f t="shared" si="16"/>
        <v>7001.5937496562292</v>
      </c>
      <c r="C152" s="6"/>
      <c r="D152" s="6"/>
      <c r="E152" s="1323">
        <v>18</v>
      </c>
      <c r="F152" s="1527">
        <f t="shared" si="18"/>
        <v>2406.6192336910858</v>
      </c>
      <c r="G152" s="6"/>
      <c r="H152" s="6"/>
      <c r="I152" s="410"/>
      <c r="J152" s="411"/>
      <c r="K152" s="1627"/>
    </row>
    <row r="153" spans="1:11" ht="15.75" x14ac:dyDescent="0.25">
      <c r="A153" s="1323">
        <f t="shared" si="17"/>
        <v>19</v>
      </c>
      <c r="B153" s="1527">
        <f t="shared" si="16"/>
        <v>6864.3075977021854</v>
      </c>
      <c r="C153" s="6"/>
      <c r="D153" s="6"/>
      <c r="E153" s="1323">
        <v>19</v>
      </c>
      <c r="F153" s="1527">
        <f t="shared" si="18"/>
        <v>2526.9501953756403</v>
      </c>
      <c r="G153" s="6"/>
      <c r="H153" s="6"/>
      <c r="I153" s="410"/>
      <c r="J153" s="411"/>
      <c r="K153" s="1627"/>
    </row>
    <row r="154" spans="1:11" ht="15.75" x14ac:dyDescent="0.25">
      <c r="A154" s="1323">
        <f t="shared" si="17"/>
        <v>20</v>
      </c>
      <c r="B154" s="1527">
        <f t="shared" si="16"/>
        <v>6729.7133310805739</v>
      </c>
      <c r="C154" s="6"/>
      <c r="D154" s="6"/>
      <c r="E154" s="1323">
        <v>20</v>
      </c>
      <c r="F154" s="1527">
        <f t="shared" si="18"/>
        <v>2653.2977051444223</v>
      </c>
      <c r="G154" s="6"/>
      <c r="H154" s="6"/>
      <c r="I154" s="410"/>
      <c r="J154" s="411"/>
      <c r="K154" s="1627"/>
    </row>
    <row r="155" spans="1:11" ht="15.75" x14ac:dyDescent="0.25">
      <c r="A155" s="1323">
        <f t="shared" si="17"/>
        <v>21</v>
      </c>
      <c r="B155" s="1527">
        <f t="shared" si="16"/>
        <v>6597.7581677260523</v>
      </c>
      <c r="C155" s="31"/>
      <c r="D155" s="6"/>
      <c r="E155" s="1323">
        <v>21</v>
      </c>
      <c r="F155" s="1527">
        <f t="shared" si="18"/>
        <v>2785.9625904016434</v>
      </c>
      <c r="G155" s="6"/>
      <c r="H155" s="6"/>
      <c r="I155" s="410"/>
      <c r="J155" s="411"/>
      <c r="K155" s="1627"/>
    </row>
    <row r="156" spans="1:11" ht="15.75" x14ac:dyDescent="0.25">
      <c r="A156" s="1323">
        <f t="shared" si="17"/>
        <v>22</v>
      </c>
      <c r="B156" s="1527">
        <f t="shared" si="16"/>
        <v>6468.3903605157375</v>
      </c>
      <c r="C156" s="6"/>
      <c r="D156" s="6"/>
      <c r="E156" s="1323">
        <v>22</v>
      </c>
      <c r="F156" s="1527">
        <f t="shared" si="18"/>
        <v>2925.2607199217259</v>
      </c>
      <c r="G156" s="6"/>
      <c r="H156" s="6"/>
      <c r="I156" s="410"/>
      <c r="J156" s="411"/>
      <c r="K156" s="1627"/>
    </row>
    <row r="157" spans="1:11" ht="15.75" x14ac:dyDescent="0.25">
      <c r="A157" s="1323">
        <f t="shared" si="17"/>
        <v>23</v>
      </c>
      <c r="B157" s="1527">
        <f t="shared" si="16"/>
        <v>6341.5591769762132</v>
      </c>
      <c r="C157" s="6"/>
      <c r="D157" s="6"/>
      <c r="E157" s="1323">
        <v>23</v>
      </c>
      <c r="F157" s="1527">
        <f t="shared" si="18"/>
        <v>3071.5237559178122</v>
      </c>
      <c r="G157" s="6"/>
      <c r="H157" s="6"/>
      <c r="I157" s="410"/>
      <c r="J157" s="411"/>
      <c r="K157" s="1627"/>
    </row>
    <row r="158" spans="1:11" ht="15.75" x14ac:dyDescent="0.25">
      <c r="A158" s="1323">
        <f t="shared" si="17"/>
        <v>24</v>
      </c>
      <c r="B158" s="1527">
        <f t="shared" si="16"/>
        <v>6217.2148793884444</v>
      </c>
      <c r="C158" s="6"/>
      <c r="D158" s="6"/>
      <c r="E158" s="1323">
        <v>24</v>
      </c>
      <c r="F158" s="1527">
        <f t="shared" si="18"/>
        <v>3225.0999437137029</v>
      </c>
      <c r="G158" s="6"/>
      <c r="H158" s="6"/>
      <c r="I158" s="410"/>
      <c r="J158" s="411"/>
      <c r="K158" s="1627"/>
    </row>
    <row r="159" spans="1:11" ht="15.75" x14ac:dyDescent="0.25">
      <c r="A159" s="1323">
        <f t="shared" si="17"/>
        <v>25</v>
      </c>
      <c r="B159" s="1527">
        <f t="shared" si="16"/>
        <v>6095.3087052827887</v>
      </c>
      <c r="C159" s="6"/>
      <c r="D159" s="6"/>
      <c r="E159" s="1323">
        <v>25</v>
      </c>
      <c r="F159" s="1527">
        <f t="shared" si="18"/>
        <v>3386.3549408993881</v>
      </c>
      <c r="G159" s="6"/>
      <c r="H159" s="6"/>
      <c r="I159" s="410"/>
      <c r="J159" s="411"/>
      <c r="K159" s="1627"/>
    </row>
    <row r="160" spans="1:11" ht="15.75" x14ac:dyDescent="0.25">
      <c r="A160" s="1323">
        <f t="shared" si="17"/>
        <v>26</v>
      </c>
      <c r="B160" s="1527">
        <f t="shared" si="16"/>
        <v>5975.7928483164596</v>
      </c>
      <c r="C160" s="6"/>
      <c r="D160" s="6"/>
      <c r="E160" s="1323">
        <v>26</v>
      </c>
      <c r="F160" s="1527">
        <f t="shared" si="18"/>
        <v>3555.6726879443577</v>
      </c>
      <c r="G160" s="6"/>
      <c r="H160" s="6"/>
      <c r="I160" s="410"/>
      <c r="J160" s="411"/>
      <c r="K160" s="1627"/>
    </row>
    <row r="161" spans="1:12" ht="15.75" x14ac:dyDescent="0.25">
      <c r="A161" s="1323">
        <f t="shared" si="17"/>
        <v>27</v>
      </c>
      <c r="B161" s="1527">
        <f t="shared" si="16"/>
        <v>5858.620439525941</v>
      </c>
      <c r="C161" s="6"/>
      <c r="D161" s="6"/>
      <c r="E161" s="1323">
        <v>27</v>
      </c>
      <c r="F161" s="1527">
        <f t="shared" si="18"/>
        <v>3733.4563223415757</v>
      </c>
      <c r="G161" s="6"/>
      <c r="H161" s="6"/>
      <c r="I161" s="410"/>
      <c r="J161" s="411"/>
      <c r="K161" s="1627"/>
    </row>
    <row r="162" spans="1:12" ht="15.75" x14ac:dyDescent="0.25">
      <c r="A162" s="1323">
        <f t="shared" si="17"/>
        <v>28</v>
      </c>
      <c r="B162" s="1527">
        <f t="shared" si="16"/>
        <v>5743.7455289470008</v>
      </c>
      <c r="C162" s="6"/>
      <c r="D162" s="6"/>
      <c r="E162" s="1323">
        <v>28</v>
      </c>
      <c r="F162" s="1527">
        <f t="shared" si="18"/>
        <v>3920.1291384586548</v>
      </c>
      <c r="G162" s="6"/>
      <c r="H162" s="6"/>
      <c r="I162" s="410"/>
      <c r="J162" s="411"/>
      <c r="K162" s="1627"/>
    </row>
    <row r="163" spans="1:12" ht="15.75" x14ac:dyDescent="0.25">
      <c r="A163" s="1323">
        <f t="shared" si="17"/>
        <v>29</v>
      </c>
      <c r="B163" s="1527">
        <f t="shared" si="16"/>
        <v>5631.1230675950992</v>
      </c>
      <c r="C163" s="6"/>
      <c r="D163" s="6"/>
      <c r="E163" s="1323">
        <v>29</v>
      </c>
      <c r="F163" s="1527">
        <f t="shared" si="18"/>
        <v>4116.1355953815873</v>
      </c>
      <c r="G163" s="6"/>
      <c r="H163" s="6"/>
      <c r="I163" s="410"/>
      <c r="J163" s="411"/>
      <c r="K163" s="1627"/>
    </row>
    <row r="164" spans="1:12" ht="15.75" x14ac:dyDescent="0.25">
      <c r="A164" s="1323">
        <f t="shared" si="17"/>
        <v>30</v>
      </c>
      <c r="B164" s="1527">
        <f t="shared" si="16"/>
        <v>5520.7088897991171</v>
      </c>
      <c r="C164" s="6"/>
      <c r="D164" s="6"/>
      <c r="E164" s="1323">
        <v>30</v>
      </c>
      <c r="F164" s="1527">
        <f t="shared" si="18"/>
        <v>4321.9423751506665</v>
      </c>
      <c r="G164" s="6"/>
      <c r="H164" s="6"/>
      <c r="I164" s="410"/>
      <c r="J164" s="411"/>
      <c r="K164" s="1627"/>
    </row>
    <row r="165" spans="1:12" ht="15.75" x14ac:dyDescent="0.25">
      <c r="A165" s="1323">
        <f t="shared" si="17"/>
        <v>31</v>
      </c>
      <c r="B165" s="1527">
        <f t="shared" si="16"/>
        <v>5412.4596958814873</v>
      </c>
      <c r="C165" s="6"/>
      <c r="D165" s="6"/>
      <c r="E165" s="1323">
        <v>31</v>
      </c>
      <c r="F165" s="1527">
        <f t="shared" si="18"/>
        <v>4538.0394939081998</v>
      </c>
      <c r="G165" s="6"/>
      <c r="H165" s="6"/>
      <c r="I165" s="410"/>
      <c r="J165" s="411"/>
      <c r="K165" s="1627"/>
    </row>
    <row r="166" spans="1:12" ht="15.75" x14ac:dyDescent="0.25">
      <c r="A166" s="1323">
        <f t="shared" si="17"/>
        <v>32</v>
      </c>
      <c r="B166" s="1527">
        <f t="shared" si="16"/>
        <v>5306.3330351779287</v>
      </c>
      <c r="C166" s="6"/>
      <c r="D166" s="6"/>
      <c r="E166" s="1323">
        <v>32</v>
      </c>
      <c r="F166" s="1527">
        <f t="shared" si="18"/>
        <v>4764.9414686036098</v>
      </c>
      <c r="G166" s="6"/>
      <c r="H166" s="6"/>
      <c r="I166" s="410"/>
      <c r="J166" s="411"/>
      <c r="K166" s="1627"/>
    </row>
    <row r="167" spans="1:12" ht="15.75" x14ac:dyDescent="0.25">
      <c r="A167" s="1323">
        <f t="shared" si="17"/>
        <v>33</v>
      </c>
      <c r="B167" s="1527">
        <f t="shared" si="16"/>
        <v>5202.2872893901258</v>
      </c>
      <c r="C167" s="6"/>
      <c r="D167" s="6"/>
      <c r="E167" s="1323">
        <v>33</v>
      </c>
      <c r="F167" s="1527">
        <f t="shared" si="18"/>
        <v>5003.1885420337903</v>
      </c>
      <c r="G167" s="6"/>
      <c r="H167" s="6"/>
      <c r="I167" s="410"/>
      <c r="J167" s="411"/>
      <c r="K167" s="1627"/>
    </row>
    <row r="168" spans="1:12" ht="15.75" x14ac:dyDescent="0.25">
      <c r="A168" s="1323">
        <f t="shared" si="17"/>
        <v>34</v>
      </c>
      <c r="B168" s="1527">
        <f t="shared" si="16"/>
        <v>5100.2816562648295</v>
      </c>
      <c r="C168" s="6"/>
      <c r="D168" s="6"/>
      <c r="E168" s="1323">
        <v>34</v>
      </c>
      <c r="F168" s="1527">
        <f t="shared" si="18"/>
        <v>5253.3479691354796</v>
      </c>
      <c r="G168" s="6"/>
      <c r="H168" s="6"/>
      <c r="I168" s="410"/>
      <c r="J168" s="411"/>
      <c r="K168" s="1627"/>
    </row>
    <row r="169" spans="1:12" s="67" customFormat="1" ht="15.75" x14ac:dyDescent="0.25">
      <c r="A169" s="1323">
        <f t="shared" si="17"/>
        <v>35</v>
      </c>
      <c r="B169" s="1527">
        <f t="shared" si="16"/>
        <v>5000.2761335929699</v>
      </c>
      <c r="C169" s="6"/>
      <c r="D169" s="6"/>
      <c r="E169" s="1323">
        <v>35</v>
      </c>
      <c r="F169" s="1527">
        <f t="shared" si="18"/>
        <v>5516.0153675922538</v>
      </c>
      <c r="G169" s="6"/>
      <c r="H169" s="6"/>
      <c r="I169" s="410"/>
      <c r="J169" s="411"/>
      <c r="K169" s="1627"/>
    </row>
    <row r="170" spans="1:12" s="1382" customFormat="1" ht="16.5" thickBot="1" x14ac:dyDescent="0.3">
      <c r="A170" s="1777">
        <f t="shared" si="17"/>
        <v>36</v>
      </c>
      <c r="B170" s="1778">
        <f t="shared" si="16"/>
        <v>4902.2315035225192</v>
      </c>
      <c r="C170" s="1314"/>
      <c r="D170" s="1314"/>
      <c r="E170" s="1777">
        <v>36</v>
      </c>
      <c r="F170" s="1778">
        <f t="shared" si="18"/>
        <v>5791.816135971867</v>
      </c>
      <c r="G170" s="1314"/>
      <c r="H170" s="1314"/>
      <c r="I170" s="1632"/>
      <c r="J170" s="1633"/>
      <c r="K170" s="1634"/>
    </row>
    <row r="171" spans="1:12" s="1382" customFormat="1" ht="16.5" thickTop="1" x14ac:dyDescent="0.25">
      <c r="A171"/>
      <c r="B171"/>
      <c r="C171"/>
      <c r="D171"/>
      <c r="E171"/>
      <c r="F171"/>
      <c r="G171"/>
      <c r="H171"/>
      <c r="I171" s="410"/>
      <c r="J171" s="411"/>
      <c r="K171" s="394"/>
    </row>
    <row r="172" spans="1:12" s="1382" customFormat="1" ht="16.5" thickBot="1" x14ac:dyDescent="0.3">
      <c r="A172"/>
      <c r="B172"/>
      <c r="C172"/>
      <c r="D172"/>
      <c r="E172"/>
      <c r="F172"/>
      <c r="G172"/>
      <c r="H172"/>
      <c r="I172" s="410"/>
      <c r="J172" s="411"/>
      <c r="K172" s="394"/>
    </row>
    <row r="173" spans="1:12" s="3343" customFormat="1" ht="19.5" thickTop="1" x14ac:dyDescent="0.3">
      <c r="A173" s="3338" t="s">
        <v>2917</v>
      </c>
      <c r="B173" s="2867"/>
      <c r="C173" s="2867"/>
      <c r="D173" s="2867"/>
      <c r="E173" s="2867"/>
      <c r="F173" s="2867"/>
      <c r="G173" s="2867"/>
      <c r="H173" s="2867"/>
      <c r="I173" s="3339"/>
      <c r="J173" s="3340"/>
      <c r="K173" s="3341"/>
      <c r="L173" s="3342"/>
    </row>
    <row r="174" spans="1:12" s="1671" customFormat="1" x14ac:dyDescent="0.25">
      <c r="A174" s="2964"/>
      <c r="B174" s="1727"/>
      <c r="C174" s="1727"/>
      <c r="D174" s="1727"/>
      <c r="E174" s="1727"/>
      <c r="F174" s="1727"/>
      <c r="G174" s="1727"/>
      <c r="H174" s="1727"/>
      <c r="I174" s="1727"/>
      <c r="J174" s="1727"/>
      <c r="K174" s="1727"/>
      <c r="L174" s="2964"/>
    </row>
    <row r="175" spans="1:12" s="3343" customFormat="1" ht="15.75" x14ac:dyDescent="0.25">
      <c r="A175" s="2964" t="s">
        <v>2923</v>
      </c>
      <c r="B175" s="3344"/>
      <c r="C175" s="3344"/>
      <c r="D175" s="1727"/>
      <c r="E175" s="1727"/>
      <c r="F175" s="1727"/>
      <c r="G175" s="1727"/>
      <c r="H175" s="1727"/>
      <c r="I175" s="3345"/>
      <c r="J175" s="3346"/>
      <c r="K175" s="2957"/>
      <c r="L175" s="3342"/>
    </row>
    <row r="176" spans="1:12" s="3343" customFormat="1" ht="15.75" x14ac:dyDescent="0.25">
      <c r="A176" s="2964" t="s">
        <v>2545</v>
      </c>
      <c r="B176" s="3344"/>
      <c r="C176" s="3344"/>
      <c r="D176" s="1727"/>
      <c r="E176" s="1727"/>
      <c r="F176" s="1727"/>
      <c r="G176" s="1727"/>
      <c r="H176" s="1727"/>
      <c r="I176" s="3345"/>
      <c r="J176" s="3346"/>
      <c r="K176" s="2957"/>
      <c r="L176" s="3342"/>
    </row>
    <row r="177" spans="1:12" s="3343" customFormat="1" ht="15.75" x14ac:dyDescent="0.25">
      <c r="A177" s="2964"/>
      <c r="B177" s="3344"/>
      <c r="C177" s="3344"/>
      <c r="D177" s="1727"/>
      <c r="E177" s="1727"/>
      <c r="F177" s="1727"/>
      <c r="G177" s="1727"/>
      <c r="H177" s="1727"/>
      <c r="I177" s="3345"/>
      <c r="J177" s="3346"/>
      <c r="K177" s="2957"/>
      <c r="L177" s="3342"/>
    </row>
    <row r="178" spans="1:12" s="3343" customFormat="1" ht="18.75" x14ac:dyDescent="0.3">
      <c r="A178" s="3347" t="s">
        <v>2546</v>
      </c>
      <c r="B178" s="3344"/>
      <c r="C178" s="3344"/>
      <c r="D178" s="1727"/>
      <c r="E178" s="1727"/>
      <c r="F178" s="1727"/>
      <c r="G178" s="1727"/>
      <c r="H178" s="1727"/>
      <c r="I178" s="3345"/>
      <c r="J178" s="3346"/>
      <c r="K178" s="2957"/>
      <c r="L178" s="3342"/>
    </row>
    <row r="179" spans="1:12" s="3351" customFormat="1" x14ac:dyDescent="0.25">
      <c r="A179" s="3348" t="s">
        <v>2924</v>
      </c>
      <c r="B179" s="3349"/>
      <c r="C179" s="3349"/>
      <c r="D179" s="1662"/>
      <c r="E179" s="1662"/>
      <c r="F179" s="1662"/>
      <c r="G179" s="1662"/>
      <c r="H179" s="1662"/>
      <c r="I179" s="2957"/>
      <c r="J179" s="2957"/>
      <c r="K179" s="2957"/>
      <c r="L179" s="3350"/>
    </row>
    <row r="180" spans="1:12" s="3343" customFormat="1" ht="15.75" x14ac:dyDescent="0.25">
      <c r="A180" s="2964"/>
      <c r="B180" s="1727" t="s">
        <v>2547</v>
      </c>
      <c r="D180" s="1727"/>
      <c r="E180" s="1727"/>
      <c r="F180" s="1727"/>
      <c r="G180" s="1727"/>
      <c r="H180" s="1727"/>
      <c r="I180" s="3345"/>
      <c r="J180" s="3346"/>
      <c r="K180" s="2957"/>
      <c r="L180" s="3342"/>
    </row>
    <row r="181" spans="1:12" s="3343" customFormat="1" ht="15.75" x14ac:dyDescent="0.25">
      <c r="A181" s="2964" t="s">
        <v>2548</v>
      </c>
      <c r="B181" s="1727"/>
      <c r="C181" s="1727"/>
      <c r="D181" s="1727"/>
      <c r="E181" s="1727"/>
      <c r="F181" s="1727"/>
      <c r="G181" s="1727"/>
      <c r="H181" s="1727"/>
      <c r="I181" s="3345"/>
      <c r="J181" s="3346"/>
      <c r="K181" s="2957"/>
      <c r="L181" s="3342"/>
    </row>
    <row r="182" spans="1:12" s="3343" customFormat="1" ht="15.75" x14ac:dyDescent="0.25">
      <c r="A182" s="2964" t="s">
        <v>2549</v>
      </c>
      <c r="B182" s="1727"/>
      <c r="C182" s="1727"/>
      <c r="D182" s="1727"/>
      <c r="E182" s="1727"/>
      <c r="F182" s="1727"/>
      <c r="G182" s="1727"/>
      <c r="H182" s="1727"/>
      <c r="I182" s="3345"/>
      <c r="J182" s="3346"/>
      <c r="K182" s="2957"/>
      <c r="L182" s="3342"/>
    </row>
    <row r="183" spans="1:12" s="3343" customFormat="1" ht="15.75" x14ac:dyDescent="0.25">
      <c r="A183" s="2964" t="s">
        <v>2925</v>
      </c>
      <c r="B183" s="1727"/>
      <c r="C183" s="1727"/>
      <c r="D183" s="1727"/>
      <c r="E183" s="1727"/>
      <c r="F183" s="1727"/>
      <c r="G183" s="1727"/>
      <c r="H183" s="1727"/>
      <c r="I183" s="3345"/>
      <c r="J183" s="3346"/>
      <c r="K183" s="2957"/>
      <c r="L183" s="3342"/>
    </row>
    <row r="184" spans="1:12" s="3343" customFormat="1" ht="15.75" x14ac:dyDescent="0.25">
      <c r="A184" s="2964" t="s">
        <v>2550</v>
      </c>
      <c r="B184" s="1727"/>
      <c r="C184" s="1727"/>
      <c r="D184" s="1727"/>
      <c r="E184" s="1727"/>
      <c r="F184" s="1727"/>
      <c r="G184" s="1727"/>
      <c r="H184" s="1727"/>
      <c r="I184" s="3345"/>
      <c r="J184" s="3346"/>
      <c r="K184" s="2957"/>
      <c r="L184" s="3342"/>
    </row>
    <row r="185" spans="1:12" s="3343" customFormat="1" ht="16.5" thickBot="1" x14ac:dyDescent="0.3">
      <c r="A185" s="2964"/>
      <c r="B185" s="1727"/>
      <c r="C185" s="1727"/>
      <c r="D185" s="1727"/>
      <c r="E185" s="1727"/>
      <c r="F185" s="1727"/>
      <c r="G185" s="1727"/>
      <c r="H185" s="1727"/>
      <c r="I185" s="3345"/>
      <c r="J185" s="3346"/>
      <c r="K185" s="2957"/>
      <c r="L185" s="3342"/>
    </row>
    <row r="186" spans="1:12" s="3343" customFormat="1" ht="15.75" x14ac:dyDescent="0.25">
      <c r="A186" s="3352" t="s">
        <v>2551</v>
      </c>
      <c r="B186" s="2870"/>
      <c r="C186" s="3353"/>
      <c r="D186" s="3354">
        <v>200000</v>
      </c>
      <c r="E186" s="2870" t="s">
        <v>2552</v>
      </c>
      <c r="F186" s="3355">
        <v>2</v>
      </c>
      <c r="G186" s="2870" t="s">
        <v>2553</v>
      </c>
      <c r="H186" s="3356"/>
      <c r="I186" s="3345"/>
      <c r="J186" s="3346"/>
      <c r="K186" s="2957"/>
      <c r="L186" s="3342"/>
    </row>
    <row r="187" spans="1:12" s="3343" customFormat="1" ht="15.75" x14ac:dyDescent="0.25">
      <c r="A187" s="3356" t="s">
        <v>2554</v>
      </c>
      <c r="B187" s="1727"/>
      <c r="C187" s="3357"/>
      <c r="D187" s="2903">
        <f>D186/F186</f>
        <v>100000</v>
      </c>
      <c r="E187" s="1727"/>
      <c r="F187" s="3358"/>
      <c r="G187" s="1727"/>
      <c r="H187" s="3356"/>
      <c r="I187" s="3345"/>
      <c r="J187" s="3346"/>
      <c r="K187" s="2957"/>
      <c r="L187" s="3342"/>
    </row>
    <row r="188" spans="1:12" s="3343" customFormat="1" ht="15.75" x14ac:dyDescent="0.25">
      <c r="A188" s="3356"/>
      <c r="B188" s="1727"/>
      <c r="C188" s="3357"/>
      <c r="D188" s="3359"/>
      <c r="E188" s="1727"/>
      <c r="F188" s="3358"/>
      <c r="G188" s="1727"/>
      <c r="H188" s="3356"/>
      <c r="I188" s="3345"/>
      <c r="J188" s="3346"/>
      <c r="K188" s="2957"/>
      <c r="L188" s="3342"/>
    </row>
    <row r="189" spans="1:12" s="3343" customFormat="1" ht="15.75" x14ac:dyDescent="0.25">
      <c r="A189" s="3360" t="s">
        <v>2926</v>
      </c>
      <c r="B189" s="1727"/>
      <c r="C189" s="3357"/>
      <c r="D189" s="3359"/>
      <c r="E189" s="1727"/>
      <c r="F189" s="3358"/>
      <c r="G189" s="1727"/>
      <c r="H189" s="3356"/>
      <c r="I189" s="3345"/>
      <c r="J189" s="3346"/>
      <c r="K189" s="2957"/>
      <c r="L189" s="3342"/>
    </row>
    <row r="190" spans="1:12" s="3343" customFormat="1" ht="15.75" x14ac:dyDescent="0.25">
      <c r="A190" s="3356" t="s">
        <v>2927</v>
      </c>
      <c r="B190" s="1727"/>
      <c r="C190" s="3357"/>
      <c r="D190" s="1713">
        <v>0</v>
      </c>
      <c r="E190" s="3361" t="s">
        <v>2552</v>
      </c>
      <c r="F190" s="3362">
        <v>2.75</v>
      </c>
      <c r="G190" s="1727" t="s">
        <v>2553</v>
      </c>
      <c r="H190" s="3363"/>
      <c r="I190" s="3345"/>
      <c r="J190" s="3346"/>
      <c r="K190" s="2957"/>
      <c r="L190" s="3342"/>
    </row>
    <row r="191" spans="1:12" s="3343" customFormat="1" ht="15.75" x14ac:dyDescent="0.25">
      <c r="A191" s="3356" t="s">
        <v>2555</v>
      </c>
      <c r="B191" s="1727"/>
      <c r="C191" s="3357"/>
      <c r="D191" s="3017">
        <f>B202</f>
        <v>112000</v>
      </c>
      <c r="E191" s="3361" t="s">
        <v>2552</v>
      </c>
      <c r="F191" s="3364">
        <f>D199</f>
        <v>3.5</v>
      </c>
      <c r="G191" s="1727" t="s">
        <v>2553</v>
      </c>
      <c r="H191" s="3360"/>
      <c r="I191" s="3345"/>
      <c r="J191" s="3346"/>
      <c r="K191" s="2957"/>
      <c r="L191" s="3342"/>
    </row>
    <row r="192" spans="1:12" s="3343" customFormat="1" ht="15.75" x14ac:dyDescent="0.25">
      <c r="A192" s="3356" t="s">
        <v>2556</v>
      </c>
      <c r="B192" s="1727"/>
      <c r="C192" s="3357"/>
      <c r="D192" s="3017">
        <f>IF(D190=0,D191/F191,D190/F190)</f>
        <v>32000</v>
      </c>
      <c r="E192" s="3357"/>
      <c r="F192" s="3365"/>
      <c r="G192" s="1727"/>
      <c r="H192" s="3360"/>
      <c r="I192" s="3345"/>
      <c r="J192" s="3346"/>
      <c r="K192" s="2957"/>
      <c r="L192" s="3342"/>
    </row>
    <row r="193" spans="1:12" s="3343" customFormat="1" ht="15.75" x14ac:dyDescent="0.25">
      <c r="A193" s="3356"/>
      <c r="B193" s="1727"/>
      <c r="C193" s="3357"/>
      <c r="D193" s="3357"/>
      <c r="E193" s="3357"/>
      <c r="F193" s="3365"/>
      <c r="G193" s="1727"/>
      <c r="H193" s="3360"/>
      <c r="I193" s="3345"/>
      <c r="J193" s="3346"/>
      <c r="K193" s="2957"/>
      <c r="L193" s="3342"/>
    </row>
    <row r="194" spans="1:12" s="3343" customFormat="1" ht="16.5" thickBot="1" x14ac:dyDescent="0.3">
      <c r="A194" s="3366" t="s">
        <v>2557</v>
      </c>
      <c r="B194" s="3367"/>
      <c r="C194" s="3368">
        <f>D187-D192</f>
        <v>68000</v>
      </c>
      <c r="D194" s="3367"/>
      <c r="E194" s="3367"/>
      <c r="F194" s="3367"/>
      <c r="G194" s="3369"/>
      <c r="H194" s="3360"/>
      <c r="I194" s="3345"/>
      <c r="J194" s="3346"/>
      <c r="K194" s="2957"/>
      <c r="L194" s="3342"/>
    </row>
    <row r="195" spans="1:12" s="3343" customFormat="1" ht="15.75" x14ac:dyDescent="0.25">
      <c r="A195" s="2964"/>
      <c r="B195" s="1727"/>
      <c r="C195" s="3370"/>
      <c r="D195" s="1727"/>
      <c r="E195" s="1727"/>
      <c r="F195" s="1727"/>
      <c r="G195" s="3361"/>
      <c r="H195" s="1727"/>
      <c r="I195" s="3345"/>
      <c r="J195" s="3346"/>
      <c r="K195" s="2957"/>
      <c r="L195" s="3342"/>
    </row>
    <row r="196" spans="1:12" s="3343" customFormat="1" ht="16.5" thickBot="1" x14ac:dyDescent="0.3">
      <c r="A196" s="2964"/>
      <c r="B196" s="1727"/>
      <c r="C196" s="1727"/>
      <c r="D196" s="3017"/>
      <c r="E196" s="1727"/>
      <c r="F196" s="1727"/>
      <c r="G196" s="1727"/>
      <c r="H196" s="1727"/>
      <c r="I196" s="3345"/>
      <c r="J196" s="3346"/>
      <c r="K196" s="2957"/>
      <c r="L196" s="3342"/>
    </row>
    <row r="197" spans="1:12" s="3343" customFormat="1" ht="18.75" x14ac:dyDescent="0.3">
      <c r="A197" s="3462" t="s">
        <v>2558</v>
      </c>
      <c r="B197" s="3371"/>
      <c r="C197" s="3372"/>
      <c r="D197" s="3373"/>
      <c r="E197" s="2870"/>
      <c r="F197" s="3374"/>
      <c r="G197" s="1727"/>
      <c r="H197" s="1727"/>
      <c r="I197" s="3345"/>
      <c r="J197" s="3346"/>
      <c r="K197" s="2957"/>
      <c r="L197" s="3342"/>
    </row>
    <row r="198" spans="1:12" s="3343" customFormat="1" ht="15.75" x14ac:dyDescent="0.25">
      <c r="A198" s="3463" t="s">
        <v>2559</v>
      </c>
      <c r="B198" s="3375"/>
      <c r="C198" s="3376"/>
      <c r="D198" s="3377"/>
      <c r="E198" s="1727"/>
      <c r="F198" s="3378"/>
      <c r="G198" s="1727"/>
      <c r="H198" s="1727"/>
      <c r="I198" s="3345"/>
      <c r="J198" s="3346"/>
      <c r="K198" s="2957"/>
      <c r="L198" s="3342"/>
    </row>
    <row r="199" spans="1:12" s="3343" customFormat="1" ht="15.75" x14ac:dyDescent="0.25">
      <c r="A199" s="3464" t="s">
        <v>2560</v>
      </c>
      <c r="B199" s="3357"/>
      <c r="C199" s="3357"/>
      <c r="D199" s="3380">
        <v>3.5</v>
      </c>
      <c r="E199" s="3401" t="s">
        <v>2561</v>
      </c>
      <c r="F199" s="3378"/>
      <c r="G199" s="1727"/>
      <c r="J199" s="3346"/>
      <c r="K199" s="2957"/>
      <c r="L199" s="3342"/>
    </row>
    <row r="200" spans="1:12" s="3343" customFormat="1" ht="16.5" thickBot="1" x14ac:dyDescent="0.3">
      <c r="A200" s="3464"/>
      <c r="B200" s="3375"/>
      <c r="C200" s="3376"/>
      <c r="D200" s="3377"/>
      <c r="E200" s="1727"/>
      <c r="F200" s="3378"/>
      <c r="G200" s="1727"/>
      <c r="H200" s="1727"/>
      <c r="I200" s="3345"/>
      <c r="J200" s="3346"/>
      <c r="K200" s="2957"/>
      <c r="L200" s="3342"/>
    </row>
    <row r="201" spans="1:12" s="3343" customFormat="1" ht="75.75" thickBot="1" x14ac:dyDescent="0.3">
      <c r="A201" s="3363"/>
      <c r="B201" s="3381" t="s">
        <v>2707</v>
      </c>
      <c r="C201" s="3382" t="s">
        <v>2708</v>
      </c>
      <c r="D201" s="3383"/>
      <c r="E201" s="3357"/>
      <c r="F201" s="3378"/>
      <c r="G201" s="1727"/>
      <c r="H201" s="1727"/>
      <c r="I201" s="3345"/>
      <c r="J201" s="3346"/>
      <c r="K201" s="2957"/>
      <c r="L201" s="3342"/>
    </row>
    <row r="202" spans="1:12" s="3343" customFormat="1" ht="16.5" thickBot="1" x14ac:dyDescent="0.3">
      <c r="A202" s="3363"/>
      <c r="B202" s="3384">
        <f>SUM(C207:C216)</f>
        <v>112000</v>
      </c>
      <c r="C202" s="3385">
        <f>B202/$B$113</f>
        <v>36246.177144757952</v>
      </c>
      <c r="D202" s="2902"/>
      <c r="E202" s="3357"/>
      <c r="F202" s="3378"/>
      <c r="G202" s="1727"/>
      <c r="H202" s="1727"/>
      <c r="I202" s="3345"/>
      <c r="J202" s="3346"/>
      <c r="K202" s="2957"/>
      <c r="L202" s="3342"/>
    </row>
    <row r="203" spans="1:12" s="3343" customFormat="1" ht="16.5" thickBot="1" x14ac:dyDescent="0.3">
      <c r="A203" s="3363"/>
      <c r="B203" s="3461"/>
      <c r="C203" s="3387"/>
      <c r="D203" s="3387"/>
      <c r="E203" s="3388"/>
      <c r="F203" s="3378"/>
      <c r="G203" s="1727"/>
      <c r="H203" s="1727"/>
      <c r="I203" s="3345"/>
      <c r="J203" s="3346"/>
      <c r="K203" s="2957"/>
      <c r="L203" s="3342"/>
    </row>
    <row r="204" spans="1:12" s="3343" customFormat="1" ht="16.5" thickTop="1" x14ac:dyDescent="0.25">
      <c r="A204" s="3363"/>
      <c r="B204" s="3467" t="s">
        <v>2928</v>
      </c>
      <c r="C204" s="3468"/>
      <c r="D204" s="3469"/>
      <c r="E204" s="3470"/>
      <c r="F204" s="2868"/>
      <c r="G204" s="1727"/>
      <c r="H204" s="1727"/>
      <c r="I204" s="3345"/>
      <c r="J204" s="3346"/>
      <c r="K204" s="2957"/>
      <c r="L204" s="3342"/>
    </row>
    <row r="205" spans="1:12" s="3343" customFormat="1" ht="15.75" x14ac:dyDescent="0.25">
      <c r="A205" s="3363"/>
      <c r="B205" s="3348"/>
      <c r="C205" s="3389"/>
      <c r="D205" s="3387"/>
      <c r="E205" s="3390"/>
      <c r="F205" s="2753"/>
      <c r="G205" s="1727"/>
      <c r="H205" s="1727"/>
      <c r="I205" s="3345"/>
      <c r="J205" s="3346"/>
      <c r="K205" s="2957"/>
      <c r="L205" s="3342"/>
    </row>
    <row r="206" spans="1:12" s="3392" customFormat="1" ht="75.75" thickBot="1" x14ac:dyDescent="0.3">
      <c r="A206" s="3465"/>
      <c r="B206" s="3471" t="s">
        <v>2564</v>
      </c>
      <c r="C206" s="3472" t="s">
        <v>2565</v>
      </c>
      <c r="D206" s="3473" t="s">
        <v>2566</v>
      </c>
      <c r="E206" s="3474" t="s">
        <v>2567</v>
      </c>
      <c r="F206" s="3475"/>
      <c r="G206" s="1662"/>
      <c r="H206" s="1662"/>
      <c r="I206" s="3345"/>
      <c r="J206" s="3345"/>
      <c r="K206" s="2957"/>
      <c r="L206" s="3391"/>
    </row>
    <row r="207" spans="1:12" s="3343" customFormat="1" ht="16.5" thickTop="1" x14ac:dyDescent="0.25">
      <c r="A207" s="3363"/>
      <c r="B207" s="3393" t="s">
        <v>2568</v>
      </c>
      <c r="C207" s="3420">
        <v>5000</v>
      </c>
      <c r="D207" s="3394">
        <f>C207/$B$113</f>
        <v>1618.1329082481227</v>
      </c>
      <c r="E207" s="3395">
        <f t="shared" ref="E207:E216" si="19">C207/$B$202</f>
        <v>4.4642857142857144E-2</v>
      </c>
      <c r="F207" s="3378"/>
      <c r="G207" s="1727"/>
      <c r="H207" s="1727"/>
      <c r="I207" s="3345"/>
      <c r="J207" s="3346"/>
      <c r="K207" s="2957"/>
      <c r="L207" s="3342"/>
    </row>
    <row r="208" spans="1:12" s="3343" customFormat="1" ht="15.75" x14ac:dyDescent="0.25">
      <c r="A208" s="3363"/>
      <c r="B208" s="3393" t="s">
        <v>2569</v>
      </c>
      <c r="C208" s="3420">
        <v>37000</v>
      </c>
      <c r="D208" s="3394">
        <f t="shared" ref="D208:D216" si="20">C208/$B$113</f>
        <v>11974.183521036108</v>
      </c>
      <c r="E208" s="3395">
        <f t="shared" si="19"/>
        <v>0.33035714285714285</v>
      </c>
      <c r="F208" s="3378"/>
      <c r="G208" s="1727"/>
      <c r="H208" s="1727"/>
      <c r="I208" s="3345"/>
      <c r="J208" s="3346"/>
      <c r="K208" s="2957"/>
      <c r="L208" s="3342"/>
    </row>
    <row r="209" spans="1:12" s="3343" customFormat="1" ht="15.75" x14ac:dyDescent="0.25">
      <c r="A209" s="3363"/>
      <c r="B209" s="3393" t="s">
        <v>2570</v>
      </c>
      <c r="C209" s="3420">
        <v>70000</v>
      </c>
      <c r="D209" s="3394">
        <f t="shared" si="20"/>
        <v>22653.860715473718</v>
      </c>
      <c r="E209" s="3395">
        <f t="shared" si="19"/>
        <v>0.625</v>
      </c>
      <c r="F209" s="3378"/>
      <c r="G209" s="1727"/>
      <c r="H209" s="1727"/>
      <c r="I209" s="3345"/>
      <c r="J209" s="3346"/>
      <c r="K209" s="2957"/>
      <c r="L209" s="3342"/>
    </row>
    <row r="210" spans="1:12" s="3343" customFormat="1" ht="15.75" x14ac:dyDescent="0.25">
      <c r="A210" s="3363"/>
      <c r="B210" s="3393" t="s">
        <v>2571</v>
      </c>
      <c r="C210" s="3420">
        <v>0</v>
      </c>
      <c r="D210" s="3394">
        <f t="shared" si="20"/>
        <v>0</v>
      </c>
      <c r="E210" s="3395">
        <f t="shared" si="19"/>
        <v>0</v>
      </c>
      <c r="F210" s="3378"/>
      <c r="G210" s="1727"/>
      <c r="H210" s="1727"/>
      <c r="I210" s="3345"/>
      <c r="J210" s="3346"/>
      <c r="K210" s="2957"/>
      <c r="L210" s="3342"/>
    </row>
    <row r="211" spans="1:12" s="3343" customFormat="1" ht="15.75" x14ac:dyDescent="0.25">
      <c r="A211" s="3363"/>
      <c r="B211" s="3393" t="s">
        <v>2572</v>
      </c>
      <c r="C211" s="3420">
        <v>0</v>
      </c>
      <c r="D211" s="3394">
        <f t="shared" si="20"/>
        <v>0</v>
      </c>
      <c r="E211" s="3395">
        <f t="shared" si="19"/>
        <v>0</v>
      </c>
      <c r="F211" s="3378"/>
      <c r="G211" s="1727"/>
      <c r="H211" s="1727"/>
      <c r="I211" s="3345"/>
      <c r="J211" s="3346"/>
      <c r="K211" s="2957"/>
      <c r="L211" s="3342"/>
    </row>
    <row r="212" spans="1:12" s="3343" customFormat="1" ht="15.75" x14ac:dyDescent="0.25">
      <c r="A212" s="3363"/>
      <c r="B212" s="3393" t="s">
        <v>2573</v>
      </c>
      <c r="C212" s="3420">
        <v>0</v>
      </c>
      <c r="D212" s="3394">
        <f t="shared" si="20"/>
        <v>0</v>
      </c>
      <c r="E212" s="3395">
        <f t="shared" si="19"/>
        <v>0</v>
      </c>
      <c r="F212" s="3378"/>
      <c r="G212" s="1727"/>
      <c r="H212" s="1727"/>
      <c r="I212" s="3345"/>
      <c r="J212" s="3346"/>
      <c r="K212" s="2957"/>
      <c r="L212" s="3342"/>
    </row>
    <row r="213" spans="1:12" s="3343" customFormat="1" ht="15.75" x14ac:dyDescent="0.25">
      <c r="A213" s="3363"/>
      <c r="B213" s="3393" t="s">
        <v>2574</v>
      </c>
      <c r="C213" s="3420">
        <v>0</v>
      </c>
      <c r="D213" s="3394">
        <f t="shared" si="20"/>
        <v>0</v>
      </c>
      <c r="E213" s="3395">
        <f t="shared" si="19"/>
        <v>0</v>
      </c>
      <c r="F213" s="3378"/>
      <c r="G213" s="1727"/>
      <c r="H213" s="1727"/>
      <c r="I213" s="3345"/>
      <c r="J213" s="3346"/>
      <c r="K213" s="2957"/>
      <c r="L213" s="3342"/>
    </row>
    <row r="214" spans="1:12" s="3343" customFormat="1" ht="15.75" x14ac:dyDescent="0.25">
      <c r="A214" s="3363"/>
      <c r="B214" s="3393" t="s">
        <v>2575</v>
      </c>
      <c r="C214" s="3420">
        <v>0</v>
      </c>
      <c r="D214" s="3394">
        <f t="shared" si="20"/>
        <v>0</v>
      </c>
      <c r="E214" s="3395">
        <f t="shared" si="19"/>
        <v>0</v>
      </c>
      <c r="F214" s="3378"/>
      <c r="G214" s="1727"/>
      <c r="H214" s="1727"/>
      <c r="I214" s="3345"/>
      <c r="J214" s="3346"/>
      <c r="K214" s="2957"/>
      <c r="L214" s="3342"/>
    </row>
    <row r="215" spans="1:12" s="3343" customFormat="1" ht="15.75" x14ac:dyDescent="0.25">
      <c r="A215" s="3363"/>
      <c r="B215" s="3393" t="s">
        <v>2576</v>
      </c>
      <c r="C215" s="3420">
        <v>0</v>
      </c>
      <c r="D215" s="3394">
        <f t="shared" si="20"/>
        <v>0</v>
      </c>
      <c r="E215" s="3395">
        <f t="shared" si="19"/>
        <v>0</v>
      </c>
      <c r="F215" s="3378"/>
      <c r="G215" s="1727"/>
      <c r="H215" s="1727"/>
      <c r="I215" s="3345"/>
      <c r="J215" s="3346"/>
      <c r="K215" s="2957"/>
      <c r="L215" s="3342"/>
    </row>
    <row r="216" spans="1:12" s="3343" customFormat="1" ht="16.5" thickBot="1" x14ac:dyDescent="0.3">
      <c r="A216" s="3466"/>
      <c r="B216" s="3396" t="s">
        <v>2577</v>
      </c>
      <c r="C216" s="3421">
        <v>0</v>
      </c>
      <c r="D216" s="3397">
        <f t="shared" si="20"/>
        <v>0</v>
      </c>
      <c r="E216" s="3398">
        <f t="shared" si="19"/>
        <v>0</v>
      </c>
      <c r="F216" s="3399"/>
      <c r="G216" s="1727"/>
      <c r="H216" s="1727"/>
      <c r="I216" s="3345"/>
      <c r="J216" s="3346"/>
      <c r="K216" s="2957"/>
      <c r="L216" s="3342"/>
    </row>
    <row r="217" spans="1:12" s="3343" customFormat="1" ht="15.75" x14ac:dyDescent="0.25">
      <c r="A217" s="2964"/>
      <c r="B217" s="1727"/>
      <c r="C217" s="1727"/>
      <c r="D217" s="3017"/>
      <c r="E217" s="1727"/>
      <c r="F217" s="1727"/>
      <c r="G217" s="1727"/>
      <c r="H217" s="1727"/>
      <c r="I217" s="3345"/>
      <c r="J217" s="3346"/>
      <c r="K217" s="2957"/>
      <c r="L217" s="3342"/>
    </row>
    <row r="218" spans="1:12" s="3343" customFormat="1" ht="15.75" x14ac:dyDescent="0.25">
      <c r="A218" s="2964"/>
      <c r="B218" s="1727"/>
      <c r="C218" s="1727"/>
      <c r="D218" s="3017"/>
      <c r="E218" s="1727"/>
      <c r="F218" s="1727"/>
      <c r="G218" s="1727"/>
      <c r="H218" s="1727"/>
      <c r="I218" s="3345"/>
      <c r="J218" s="3346"/>
      <c r="K218" s="2957"/>
      <c r="L218" s="3342"/>
    </row>
    <row r="219" spans="1:12" s="3343" customFormat="1" ht="16.5" thickBot="1" x14ac:dyDescent="0.3">
      <c r="A219" s="2964"/>
      <c r="B219" s="1727"/>
      <c r="C219" s="1727"/>
      <c r="D219" s="1727"/>
      <c r="E219" s="1727"/>
      <c r="F219" s="1727"/>
      <c r="G219" s="1727"/>
      <c r="H219" s="1727"/>
      <c r="I219" s="3345"/>
      <c r="J219" s="3346"/>
      <c r="K219" s="2957"/>
      <c r="L219" s="3342"/>
    </row>
    <row r="220" spans="1:12" s="3343" customFormat="1" ht="19.5" thickTop="1" x14ac:dyDescent="0.3">
      <c r="A220" s="3338" t="s">
        <v>2929</v>
      </c>
      <c r="B220" s="2867"/>
      <c r="C220" s="2867"/>
      <c r="D220" s="2867"/>
      <c r="E220" s="2867"/>
      <c r="F220" s="2867"/>
      <c r="G220" s="2867"/>
      <c r="H220" s="2867"/>
      <c r="I220" s="3515"/>
      <c r="J220" s="3340"/>
      <c r="K220" s="3457"/>
      <c r="L220" s="3342"/>
    </row>
    <row r="221" spans="1:12" s="3343" customFormat="1" ht="15.75" x14ac:dyDescent="0.25">
      <c r="A221" s="3400" t="s">
        <v>2930</v>
      </c>
      <c r="B221" s="1727"/>
      <c r="C221" s="1727"/>
      <c r="D221" s="1727"/>
      <c r="E221" s="1727"/>
      <c r="F221" s="1727"/>
      <c r="G221" s="1727"/>
      <c r="H221" s="1727"/>
      <c r="I221" s="3516"/>
      <c r="J221" s="3346"/>
      <c r="K221" s="3458"/>
      <c r="L221" s="3342"/>
    </row>
    <row r="222" spans="1:12" s="3343" customFormat="1" ht="16.5" thickBot="1" x14ac:dyDescent="0.3">
      <c r="A222" s="3400"/>
      <c r="B222" s="1727"/>
      <c r="C222" s="1727"/>
      <c r="D222" s="1727"/>
      <c r="E222" s="1727"/>
      <c r="F222" s="1727"/>
      <c r="G222" s="1727"/>
      <c r="H222" s="1727"/>
      <c r="I222" s="3516"/>
      <c r="J222" s="3346"/>
      <c r="K222" s="3458"/>
      <c r="L222" s="3342"/>
    </row>
    <row r="223" spans="1:12" s="3343" customFormat="1" ht="16.5" thickTop="1" x14ac:dyDescent="0.25">
      <c r="A223" s="3342"/>
      <c r="B223" s="3450" t="s">
        <v>2560</v>
      </c>
      <c r="C223" s="3451"/>
      <c r="D223" s="3451"/>
      <c r="E223" s="3452">
        <v>3</v>
      </c>
      <c r="F223" s="3453" t="s">
        <v>2561</v>
      </c>
      <c r="G223" s="2868"/>
      <c r="H223" s="1727"/>
      <c r="I223" s="3516"/>
      <c r="J223" s="3346"/>
      <c r="K223" s="3458"/>
      <c r="L223" s="3342"/>
    </row>
    <row r="224" spans="1:12" s="3343" customFormat="1" ht="16.5" thickBot="1" x14ac:dyDescent="0.3">
      <c r="A224" s="3342"/>
      <c r="B224" s="3379"/>
      <c r="C224" s="3375"/>
      <c r="D224" s="3376"/>
      <c r="E224" s="3377"/>
      <c r="F224" s="1727"/>
      <c r="G224" s="2753"/>
      <c r="H224" s="1727"/>
      <c r="I224" s="3516"/>
      <c r="J224" s="3346"/>
      <c r="K224" s="3458"/>
      <c r="L224" s="3342"/>
    </row>
    <row r="225" spans="1:12" s="3392" customFormat="1" ht="60.75" thickBot="1" x14ac:dyDescent="0.3">
      <c r="A225" s="3391"/>
      <c r="B225" s="3402" t="s">
        <v>2562</v>
      </c>
      <c r="C225" s="3403" t="s">
        <v>2563</v>
      </c>
      <c r="D225" s="3390"/>
      <c r="E225" s="3404"/>
      <c r="F225" s="3404"/>
      <c r="G225" s="3405"/>
      <c r="H225" s="1662"/>
      <c r="I225" s="3516"/>
      <c r="J225" s="3345"/>
      <c r="K225" s="3458"/>
      <c r="L225" s="3391"/>
    </row>
    <row r="226" spans="1:12" s="3343" customFormat="1" ht="16.5" thickBot="1" x14ac:dyDescent="0.3">
      <c r="A226" s="3342"/>
      <c r="B226" s="3406">
        <f>SUM(E229:E307)</f>
        <v>0</v>
      </c>
      <c r="C226" s="3407">
        <f>B226/$E223</f>
        <v>0</v>
      </c>
      <c r="D226" s="2902"/>
      <c r="E226" s="3357"/>
      <c r="F226" s="3357"/>
      <c r="G226" s="2753"/>
      <c r="H226" s="1727"/>
      <c r="I226" s="3516"/>
      <c r="J226" s="3346"/>
      <c r="K226" s="3458"/>
      <c r="L226" s="3342"/>
    </row>
    <row r="227" spans="1:12" s="3343" customFormat="1" ht="16.5" thickBot="1" x14ac:dyDescent="0.3">
      <c r="A227" s="3342"/>
      <c r="B227" s="3386"/>
      <c r="C227" s="3357"/>
      <c r="D227" s="3387"/>
      <c r="E227" s="3408"/>
      <c r="F227" s="3388"/>
      <c r="G227" s="2753"/>
      <c r="H227" s="1727"/>
      <c r="I227" s="3516"/>
      <c r="J227" s="3346"/>
      <c r="K227" s="3458"/>
      <c r="L227" s="3342"/>
    </row>
    <row r="228" spans="1:12" s="3392" customFormat="1" ht="60.75" thickBot="1" x14ac:dyDescent="0.3">
      <c r="A228" s="3391"/>
      <c r="B228" s="3409" t="s">
        <v>2578</v>
      </c>
      <c r="C228" s="3410"/>
      <c r="D228" s="3410"/>
      <c r="E228" s="3411" t="s">
        <v>2579</v>
      </c>
      <c r="F228" s="3412" t="s">
        <v>2580</v>
      </c>
      <c r="G228" s="3454" t="s">
        <v>2581</v>
      </c>
      <c r="H228" s="1662"/>
      <c r="I228" s="3516"/>
      <c r="J228" s="3345"/>
      <c r="K228" s="3458"/>
      <c r="L228" s="3391"/>
    </row>
    <row r="229" spans="1:12" s="3343" customFormat="1" ht="16.5" thickTop="1" x14ac:dyDescent="0.25">
      <c r="A229" s="3342"/>
      <c r="B229" s="3348" t="s">
        <v>2582</v>
      </c>
      <c r="C229" s="3357"/>
      <c r="D229" s="3357"/>
      <c r="E229" s="3413">
        <v>0</v>
      </c>
      <c r="F229" s="3394">
        <f t="shared" ref="F229:F260" si="21">E229/$E$223</f>
        <v>0</v>
      </c>
      <c r="G229" s="3628">
        <f>IF($C$226=0,0,F229/$C$226)</f>
        <v>0</v>
      </c>
      <c r="H229" s="1727"/>
      <c r="I229" s="3516"/>
      <c r="J229" s="3346"/>
      <c r="K229" s="3458"/>
      <c r="L229" s="3342"/>
    </row>
    <row r="230" spans="1:12" s="3343" customFormat="1" ht="15.75" x14ac:dyDescent="0.25">
      <c r="A230" s="3342"/>
      <c r="B230" s="3348" t="s">
        <v>2583</v>
      </c>
      <c r="C230" s="3357"/>
      <c r="D230" s="3357"/>
      <c r="E230" s="3414">
        <v>0</v>
      </c>
      <c r="F230" s="3394">
        <f t="shared" si="21"/>
        <v>0</v>
      </c>
      <c r="G230" s="3455">
        <f t="shared" ref="G230:G293" si="22">IF($C$226=0,0,F230/$C$226)</f>
        <v>0</v>
      </c>
      <c r="H230" s="1727"/>
      <c r="I230" s="3516"/>
      <c r="J230" s="3346"/>
      <c r="K230" s="3458"/>
      <c r="L230" s="3342"/>
    </row>
    <row r="231" spans="1:12" s="3343" customFormat="1" ht="15.75" x14ac:dyDescent="0.25">
      <c r="A231" s="3342"/>
      <c r="B231" s="3348" t="s">
        <v>2584</v>
      </c>
      <c r="C231" s="3357"/>
      <c r="D231" s="3357"/>
      <c r="E231" s="3414">
        <v>0</v>
      </c>
      <c r="F231" s="3394">
        <f t="shared" si="21"/>
        <v>0</v>
      </c>
      <c r="G231" s="3455">
        <f t="shared" si="22"/>
        <v>0</v>
      </c>
      <c r="H231" s="1727"/>
      <c r="I231" s="3516"/>
      <c r="J231" s="3346"/>
      <c r="K231" s="3458"/>
      <c r="L231" s="3342"/>
    </row>
    <row r="232" spans="1:12" s="3343" customFormat="1" ht="15.75" x14ac:dyDescent="0.25">
      <c r="A232" s="3342"/>
      <c r="B232" s="3393" t="s">
        <v>2585</v>
      </c>
      <c r="C232" s="3357"/>
      <c r="D232" s="3357"/>
      <c r="E232" s="3414">
        <v>0</v>
      </c>
      <c r="F232" s="3394">
        <f t="shared" si="21"/>
        <v>0</v>
      </c>
      <c r="G232" s="3455">
        <f t="shared" si="22"/>
        <v>0</v>
      </c>
      <c r="H232" s="1727"/>
      <c r="I232" s="3516"/>
      <c r="J232" s="3346"/>
      <c r="K232" s="3458"/>
      <c r="L232" s="3342"/>
    </row>
    <row r="233" spans="1:12" s="3343" customFormat="1" ht="15.75" x14ac:dyDescent="0.25">
      <c r="A233" s="3342"/>
      <c r="B233" s="3393" t="s">
        <v>2586</v>
      </c>
      <c r="C233" s="3357"/>
      <c r="D233" s="3357"/>
      <c r="E233" s="3414">
        <v>0</v>
      </c>
      <c r="F233" s="3394">
        <f t="shared" si="21"/>
        <v>0</v>
      </c>
      <c r="G233" s="3455">
        <f t="shared" si="22"/>
        <v>0</v>
      </c>
      <c r="H233" s="1727"/>
      <c r="I233" s="3516"/>
      <c r="J233" s="3346"/>
      <c r="K233" s="3458"/>
      <c r="L233" s="3342"/>
    </row>
    <row r="234" spans="1:12" s="3343" customFormat="1" ht="15.75" x14ac:dyDescent="0.25">
      <c r="A234" s="3342"/>
      <c r="B234" s="3393" t="s">
        <v>2587</v>
      </c>
      <c r="C234" s="3357"/>
      <c r="D234" s="3357"/>
      <c r="E234" s="3414">
        <v>0</v>
      </c>
      <c r="F234" s="3394">
        <f t="shared" si="21"/>
        <v>0</v>
      </c>
      <c r="G234" s="3455">
        <f t="shared" si="22"/>
        <v>0</v>
      </c>
      <c r="H234" s="1727"/>
      <c r="I234" s="3516"/>
      <c r="J234" s="3346"/>
      <c r="K234" s="3458"/>
      <c r="L234" s="3342"/>
    </row>
    <row r="235" spans="1:12" s="3343" customFormat="1" ht="15.75" x14ac:dyDescent="0.25">
      <c r="A235" s="3342"/>
      <c r="B235" s="3393" t="s">
        <v>2588</v>
      </c>
      <c r="C235" s="3357"/>
      <c r="D235" s="3357"/>
      <c r="E235" s="3414">
        <v>0</v>
      </c>
      <c r="F235" s="3394">
        <f t="shared" si="21"/>
        <v>0</v>
      </c>
      <c r="G235" s="3455">
        <f t="shared" si="22"/>
        <v>0</v>
      </c>
      <c r="H235" s="1727"/>
      <c r="I235" s="3516"/>
      <c r="J235" s="3346"/>
      <c r="K235" s="3458"/>
      <c r="L235" s="3342"/>
    </row>
    <row r="236" spans="1:12" s="3343" customFormat="1" ht="15.75" x14ac:dyDescent="0.25">
      <c r="A236" s="3342"/>
      <c r="B236" s="3393" t="s">
        <v>2589</v>
      </c>
      <c r="C236" s="3357"/>
      <c r="D236" s="3357"/>
      <c r="E236" s="3414">
        <v>0</v>
      </c>
      <c r="F236" s="3394">
        <f t="shared" si="21"/>
        <v>0</v>
      </c>
      <c r="G236" s="3455">
        <f t="shared" si="22"/>
        <v>0</v>
      </c>
      <c r="H236" s="1727"/>
      <c r="I236" s="3516"/>
      <c r="J236" s="3346"/>
      <c r="K236" s="3458"/>
      <c r="L236" s="3342"/>
    </row>
    <row r="237" spans="1:12" s="3343" customFormat="1" ht="15.75" x14ac:dyDescent="0.25">
      <c r="A237" s="3342"/>
      <c r="B237" s="3393" t="s">
        <v>2935</v>
      </c>
      <c r="C237" s="3357"/>
      <c r="D237" s="3357"/>
      <c r="E237" s="3414">
        <v>0</v>
      </c>
      <c r="F237" s="3394">
        <f t="shared" ref="F237" si="23">E237/$E$223</f>
        <v>0</v>
      </c>
      <c r="G237" s="3455">
        <f t="shared" si="22"/>
        <v>0</v>
      </c>
      <c r="H237" s="1727"/>
      <c r="I237" s="3516"/>
      <c r="J237" s="3346"/>
      <c r="K237" s="3458"/>
      <c r="L237" s="3342"/>
    </row>
    <row r="238" spans="1:12" s="3343" customFormat="1" ht="15.75" x14ac:dyDescent="0.25">
      <c r="A238" s="3342"/>
      <c r="B238" s="3393" t="s">
        <v>2590</v>
      </c>
      <c r="C238" s="3357"/>
      <c r="D238" s="3357"/>
      <c r="E238" s="3414">
        <v>0</v>
      </c>
      <c r="F238" s="3394">
        <f t="shared" si="21"/>
        <v>0</v>
      </c>
      <c r="G238" s="3455">
        <f t="shared" si="22"/>
        <v>0</v>
      </c>
      <c r="H238" s="1727"/>
      <c r="I238" s="3516"/>
      <c r="J238" s="3346"/>
      <c r="K238" s="3458"/>
      <c r="L238" s="3342"/>
    </row>
    <row r="239" spans="1:12" s="3343" customFormat="1" ht="15.75" x14ac:dyDescent="0.25">
      <c r="A239" s="3342"/>
      <c r="B239" s="3393" t="s">
        <v>2591</v>
      </c>
      <c r="C239" s="3357"/>
      <c r="D239" s="3357"/>
      <c r="E239" s="3414">
        <v>0</v>
      </c>
      <c r="F239" s="3394">
        <f t="shared" si="21"/>
        <v>0</v>
      </c>
      <c r="G239" s="3455">
        <f t="shared" si="22"/>
        <v>0</v>
      </c>
      <c r="H239" s="1727"/>
      <c r="I239" s="3516"/>
      <c r="J239" s="3346"/>
      <c r="K239" s="3458"/>
      <c r="L239" s="3342"/>
    </row>
    <row r="240" spans="1:12" s="3343" customFormat="1" ht="15.75" x14ac:dyDescent="0.25">
      <c r="A240" s="3342"/>
      <c r="B240" s="3393" t="s">
        <v>2592</v>
      </c>
      <c r="C240" s="3357"/>
      <c r="D240" s="3357"/>
      <c r="E240" s="3414">
        <v>0</v>
      </c>
      <c r="F240" s="3394">
        <f t="shared" si="21"/>
        <v>0</v>
      </c>
      <c r="G240" s="3455">
        <f t="shared" si="22"/>
        <v>0</v>
      </c>
      <c r="H240" s="1727"/>
      <c r="I240" s="3516"/>
      <c r="J240" s="3346"/>
      <c r="K240" s="3458"/>
      <c r="L240" s="3342"/>
    </row>
    <row r="241" spans="1:12" s="3343" customFormat="1" ht="15.75" x14ac:dyDescent="0.25">
      <c r="A241" s="3342"/>
      <c r="B241" s="3393" t="s">
        <v>2593</v>
      </c>
      <c r="C241" s="3357"/>
      <c r="D241" s="3357"/>
      <c r="E241" s="3414">
        <v>0</v>
      </c>
      <c r="F241" s="3394">
        <f t="shared" si="21"/>
        <v>0</v>
      </c>
      <c r="G241" s="3455">
        <f t="shared" si="22"/>
        <v>0</v>
      </c>
      <c r="H241" s="1727"/>
      <c r="I241" s="3516"/>
      <c r="J241" s="3346"/>
      <c r="K241" s="3458"/>
      <c r="L241" s="3342"/>
    </row>
    <row r="242" spans="1:12" s="3343" customFormat="1" ht="15.75" x14ac:dyDescent="0.25">
      <c r="A242" s="3342"/>
      <c r="B242" s="3393" t="s">
        <v>2594</v>
      </c>
      <c r="C242" s="3357"/>
      <c r="D242" s="3357"/>
      <c r="E242" s="3414">
        <v>0</v>
      </c>
      <c r="F242" s="3394">
        <f t="shared" si="21"/>
        <v>0</v>
      </c>
      <c r="G242" s="3455">
        <f t="shared" si="22"/>
        <v>0</v>
      </c>
      <c r="H242" s="1727"/>
      <c r="I242" s="3516"/>
      <c r="J242" s="3346"/>
      <c r="K242" s="3458"/>
      <c r="L242" s="3342"/>
    </row>
    <row r="243" spans="1:12" s="3343" customFormat="1" ht="15.75" x14ac:dyDescent="0.25">
      <c r="A243" s="3342"/>
      <c r="B243" s="3393" t="s">
        <v>2595</v>
      </c>
      <c r="C243" s="3357"/>
      <c r="D243" s="3357"/>
      <c r="E243" s="3414">
        <v>0</v>
      </c>
      <c r="F243" s="3394">
        <f t="shared" si="21"/>
        <v>0</v>
      </c>
      <c r="G243" s="3455">
        <f t="shared" si="22"/>
        <v>0</v>
      </c>
      <c r="H243" s="1727"/>
      <c r="I243" s="3516"/>
      <c r="J243" s="3346"/>
      <c r="K243" s="3458"/>
      <c r="L243" s="3342"/>
    </row>
    <row r="244" spans="1:12" s="3343" customFormat="1" ht="15.75" x14ac:dyDescent="0.25">
      <c r="A244" s="3342"/>
      <c r="B244" s="3393" t="s">
        <v>2596</v>
      </c>
      <c r="C244" s="3357"/>
      <c r="D244" s="3357"/>
      <c r="E244" s="3414">
        <v>0</v>
      </c>
      <c r="F244" s="3394">
        <f t="shared" si="21"/>
        <v>0</v>
      </c>
      <c r="G244" s="3455">
        <f t="shared" si="22"/>
        <v>0</v>
      </c>
      <c r="H244" s="1727"/>
      <c r="I244" s="3516"/>
      <c r="J244" s="3346"/>
      <c r="K244" s="3458"/>
      <c r="L244" s="3342"/>
    </row>
    <row r="245" spans="1:12" s="3343" customFormat="1" ht="15.75" x14ac:dyDescent="0.25">
      <c r="A245" s="3342"/>
      <c r="B245" s="3393" t="s">
        <v>2597</v>
      </c>
      <c r="C245" s="3357"/>
      <c r="D245" s="3357"/>
      <c r="E245" s="3414">
        <v>0</v>
      </c>
      <c r="F245" s="3394">
        <f t="shared" si="21"/>
        <v>0</v>
      </c>
      <c r="G245" s="3455">
        <f t="shared" si="22"/>
        <v>0</v>
      </c>
      <c r="H245" s="1727"/>
      <c r="I245" s="3516"/>
      <c r="J245" s="3346"/>
      <c r="K245" s="3458"/>
      <c r="L245" s="3342"/>
    </row>
    <row r="246" spans="1:12" s="3343" customFormat="1" ht="15.75" x14ac:dyDescent="0.25">
      <c r="A246" s="3342"/>
      <c r="B246" s="3393" t="s">
        <v>2598</v>
      </c>
      <c r="C246" s="3357"/>
      <c r="D246" s="3357"/>
      <c r="E246" s="3414">
        <v>0</v>
      </c>
      <c r="F246" s="3394">
        <f t="shared" si="21"/>
        <v>0</v>
      </c>
      <c r="G246" s="3455">
        <f t="shared" si="22"/>
        <v>0</v>
      </c>
      <c r="H246" s="1727"/>
      <c r="I246" s="3516"/>
      <c r="J246" s="3346"/>
      <c r="K246" s="3458"/>
      <c r="L246" s="3342"/>
    </row>
    <row r="247" spans="1:12" s="3343" customFormat="1" ht="15.75" x14ac:dyDescent="0.25">
      <c r="A247" s="3342"/>
      <c r="B247" s="3393" t="s">
        <v>2599</v>
      </c>
      <c r="C247" s="3357"/>
      <c r="D247" s="3357"/>
      <c r="E247" s="3414">
        <v>0</v>
      </c>
      <c r="F247" s="3394">
        <f t="shared" si="21"/>
        <v>0</v>
      </c>
      <c r="G247" s="3455">
        <f t="shared" si="22"/>
        <v>0</v>
      </c>
      <c r="H247" s="1727"/>
      <c r="I247" s="3516"/>
      <c r="J247" s="3346"/>
      <c r="K247" s="3458"/>
      <c r="L247" s="3342"/>
    </row>
    <row r="248" spans="1:12" s="3343" customFormat="1" ht="15.75" x14ac:dyDescent="0.25">
      <c r="A248" s="3342"/>
      <c r="B248" s="3393" t="s">
        <v>2600</v>
      </c>
      <c r="C248" s="3357"/>
      <c r="D248" s="3357"/>
      <c r="E248" s="3414">
        <v>0</v>
      </c>
      <c r="F248" s="3394">
        <f t="shared" si="21"/>
        <v>0</v>
      </c>
      <c r="G248" s="3455">
        <f t="shared" si="22"/>
        <v>0</v>
      </c>
      <c r="H248" s="1727"/>
      <c r="I248" s="3516"/>
      <c r="J248" s="3346"/>
      <c r="K248" s="3458"/>
      <c r="L248" s="3342"/>
    </row>
    <row r="249" spans="1:12" s="3343" customFormat="1" ht="15.75" x14ac:dyDescent="0.25">
      <c r="A249" s="3342"/>
      <c r="B249" s="3393" t="s">
        <v>2601</v>
      </c>
      <c r="C249" s="3357"/>
      <c r="D249" s="3357"/>
      <c r="E249" s="3414">
        <v>0</v>
      </c>
      <c r="F249" s="3394">
        <f t="shared" si="21"/>
        <v>0</v>
      </c>
      <c r="G249" s="3455">
        <f t="shared" si="22"/>
        <v>0</v>
      </c>
      <c r="H249" s="1727"/>
      <c r="I249" s="3516"/>
      <c r="J249" s="3346"/>
      <c r="K249" s="3458"/>
      <c r="L249" s="3342"/>
    </row>
    <row r="250" spans="1:12" s="3343" customFormat="1" ht="15.75" x14ac:dyDescent="0.25">
      <c r="A250" s="3342"/>
      <c r="B250" s="3393" t="s">
        <v>2602</v>
      </c>
      <c r="C250" s="3357"/>
      <c r="D250" s="3357"/>
      <c r="E250" s="3414">
        <v>0</v>
      </c>
      <c r="F250" s="3394">
        <f t="shared" si="21"/>
        <v>0</v>
      </c>
      <c r="G250" s="3455">
        <f t="shared" si="22"/>
        <v>0</v>
      </c>
      <c r="H250" s="1727"/>
      <c r="I250" s="3516"/>
      <c r="J250" s="3346"/>
      <c r="K250" s="3458"/>
      <c r="L250" s="3342"/>
    </row>
    <row r="251" spans="1:12" s="3343" customFormat="1" ht="15.75" x14ac:dyDescent="0.25">
      <c r="A251" s="3342"/>
      <c r="B251" s="3393" t="s">
        <v>2931</v>
      </c>
      <c r="C251" s="3357"/>
      <c r="D251" s="3357"/>
      <c r="E251" s="3414">
        <v>0</v>
      </c>
      <c r="F251" s="3394">
        <f t="shared" si="21"/>
        <v>0</v>
      </c>
      <c r="G251" s="3455">
        <f t="shared" si="22"/>
        <v>0</v>
      </c>
      <c r="H251" s="1727"/>
      <c r="I251" s="3516"/>
      <c r="J251" s="3346"/>
      <c r="K251" s="3458"/>
      <c r="L251" s="3342"/>
    </row>
    <row r="252" spans="1:12" s="3343" customFormat="1" ht="15.75" x14ac:dyDescent="0.25">
      <c r="A252" s="3342"/>
      <c r="B252" s="3393" t="s">
        <v>2603</v>
      </c>
      <c r="C252" s="3357"/>
      <c r="D252" s="3357"/>
      <c r="E252" s="3414">
        <v>0</v>
      </c>
      <c r="F252" s="3394">
        <f t="shared" si="21"/>
        <v>0</v>
      </c>
      <c r="G252" s="3455">
        <f t="shared" si="22"/>
        <v>0</v>
      </c>
      <c r="H252" s="1727"/>
      <c r="I252" s="3516"/>
      <c r="J252" s="3346"/>
      <c r="K252" s="3458"/>
      <c r="L252" s="3342"/>
    </row>
    <row r="253" spans="1:12" s="3343" customFormat="1" ht="15.75" x14ac:dyDescent="0.25">
      <c r="A253" s="3342"/>
      <c r="B253" s="3393" t="s">
        <v>2604</v>
      </c>
      <c r="C253" s="3357"/>
      <c r="D253" s="3357"/>
      <c r="E253" s="3414">
        <v>0</v>
      </c>
      <c r="F253" s="3394">
        <f t="shared" si="21"/>
        <v>0</v>
      </c>
      <c r="G253" s="3455">
        <f t="shared" si="22"/>
        <v>0</v>
      </c>
      <c r="H253" s="1727"/>
      <c r="I253" s="3516"/>
      <c r="J253" s="3346"/>
      <c r="K253" s="3458"/>
      <c r="L253" s="3342"/>
    </row>
    <row r="254" spans="1:12" s="3343" customFormat="1" ht="15.75" x14ac:dyDescent="0.25">
      <c r="A254" s="3342"/>
      <c r="B254" s="3393" t="s">
        <v>2605</v>
      </c>
      <c r="C254" s="3357"/>
      <c r="D254" s="3357"/>
      <c r="E254" s="3414">
        <v>0</v>
      </c>
      <c r="F254" s="3394">
        <f t="shared" si="21"/>
        <v>0</v>
      </c>
      <c r="G254" s="3455">
        <f t="shared" si="22"/>
        <v>0</v>
      </c>
      <c r="H254" s="1727"/>
      <c r="I254" s="3516"/>
      <c r="J254" s="3346"/>
      <c r="K254" s="3458"/>
      <c r="L254" s="3342"/>
    </row>
    <row r="255" spans="1:12" s="3343" customFormat="1" ht="15.75" x14ac:dyDescent="0.25">
      <c r="A255" s="3342"/>
      <c r="B255" s="3393" t="s">
        <v>2606</v>
      </c>
      <c r="C255" s="3357"/>
      <c r="D255" s="3357"/>
      <c r="E255" s="3414">
        <v>0</v>
      </c>
      <c r="F255" s="3394">
        <f t="shared" si="21"/>
        <v>0</v>
      </c>
      <c r="G255" s="3455">
        <f t="shared" si="22"/>
        <v>0</v>
      </c>
      <c r="H255" s="1727"/>
      <c r="I255" s="3516"/>
      <c r="J255" s="3346"/>
      <c r="K255" s="3458"/>
      <c r="L255" s="3342"/>
    </row>
    <row r="256" spans="1:12" s="3343" customFormat="1" ht="15.75" x14ac:dyDescent="0.25">
      <c r="A256" s="3342"/>
      <c r="B256" s="3393" t="s">
        <v>2607</v>
      </c>
      <c r="C256" s="3357"/>
      <c r="D256" s="3357"/>
      <c r="E256" s="3414">
        <v>0</v>
      </c>
      <c r="F256" s="3394">
        <f t="shared" si="21"/>
        <v>0</v>
      </c>
      <c r="G256" s="3455">
        <f t="shared" si="22"/>
        <v>0</v>
      </c>
      <c r="H256" s="1727"/>
      <c r="I256" s="3516"/>
      <c r="J256" s="3346"/>
      <c r="K256" s="3458"/>
      <c r="L256" s="3342"/>
    </row>
    <row r="257" spans="1:12" s="3343" customFormat="1" ht="15.75" x14ac:dyDescent="0.25">
      <c r="A257" s="3342"/>
      <c r="B257" s="3393" t="s">
        <v>2608</v>
      </c>
      <c r="C257" s="3357"/>
      <c r="D257" s="3357"/>
      <c r="E257" s="3414">
        <v>0</v>
      </c>
      <c r="F257" s="3394">
        <f t="shared" si="21"/>
        <v>0</v>
      </c>
      <c r="G257" s="3455">
        <f t="shared" si="22"/>
        <v>0</v>
      </c>
      <c r="H257" s="1727"/>
      <c r="I257" s="3516"/>
      <c r="J257" s="3346"/>
      <c r="K257" s="3458"/>
      <c r="L257" s="3342"/>
    </row>
    <row r="258" spans="1:12" s="3343" customFormat="1" ht="15.75" x14ac:dyDescent="0.25">
      <c r="A258" s="3342"/>
      <c r="B258" s="3393" t="s">
        <v>2609</v>
      </c>
      <c r="C258" s="3357"/>
      <c r="D258" s="3357"/>
      <c r="E258" s="3414">
        <v>0</v>
      </c>
      <c r="F258" s="3394">
        <f t="shared" si="21"/>
        <v>0</v>
      </c>
      <c r="G258" s="3455">
        <f t="shared" si="22"/>
        <v>0</v>
      </c>
      <c r="H258" s="1727"/>
      <c r="I258" s="3516"/>
      <c r="J258" s="3346"/>
      <c r="K258" s="3458"/>
      <c r="L258" s="3342"/>
    </row>
    <row r="259" spans="1:12" s="3343" customFormat="1" ht="15.75" x14ac:dyDescent="0.25">
      <c r="A259" s="3342"/>
      <c r="B259" s="3393" t="s">
        <v>2610</v>
      </c>
      <c r="C259" s="3357"/>
      <c r="D259" s="3357"/>
      <c r="E259" s="3414">
        <v>0</v>
      </c>
      <c r="F259" s="3394">
        <f t="shared" si="21"/>
        <v>0</v>
      </c>
      <c r="G259" s="3455">
        <f t="shared" si="22"/>
        <v>0</v>
      </c>
      <c r="H259" s="1727"/>
      <c r="I259" s="3516"/>
      <c r="J259" s="3346"/>
      <c r="K259" s="3458"/>
      <c r="L259" s="3342"/>
    </row>
    <row r="260" spans="1:12" s="3343" customFormat="1" ht="15.75" x14ac:dyDescent="0.25">
      <c r="A260" s="3342"/>
      <c r="B260" s="3393" t="s">
        <v>2611</v>
      </c>
      <c r="C260" s="3357"/>
      <c r="D260" s="3357"/>
      <c r="E260" s="3414">
        <v>0</v>
      </c>
      <c r="F260" s="3394">
        <f t="shared" si="21"/>
        <v>0</v>
      </c>
      <c r="G260" s="3455">
        <f t="shared" si="22"/>
        <v>0</v>
      </c>
      <c r="H260" s="1727"/>
      <c r="I260" s="3516"/>
      <c r="J260" s="3346"/>
      <c r="K260" s="3458"/>
      <c r="L260" s="3342"/>
    </row>
    <row r="261" spans="1:12" s="3343" customFormat="1" ht="15.75" x14ac:dyDescent="0.25">
      <c r="A261" s="3342"/>
      <c r="B261" s="3393" t="s">
        <v>2612</v>
      </c>
      <c r="C261" s="3357"/>
      <c r="D261" s="3357"/>
      <c r="E261" s="3414">
        <v>0</v>
      </c>
      <c r="F261" s="3394">
        <f t="shared" ref="F261:F290" si="24">E261/$E$223</f>
        <v>0</v>
      </c>
      <c r="G261" s="3455">
        <f t="shared" si="22"/>
        <v>0</v>
      </c>
      <c r="H261" s="1727"/>
      <c r="I261" s="3516"/>
      <c r="J261" s="3346"/>
      <c r="K261" s="3458"/>
      <c r="L261" s="3342"/>
    </row>
    <row r="262" spans="1:12" s="3343" customFormat="1" ht="15.75" x14ac:dyDescent="0.25">
      <c r="A262" s="3342"/>
      <c r="B262" s="3393" t="s">
        <v>2613</v>
      </c>
      <c r="C262" s="3357"/>
      <c r="D262" s="3357"/>
      <c r="E262" s="3414">
        <v>0</v>
      </c>
      <c r="F262" s="3394">
        <f t="shared" si="24"/>
        <v>0</v>
      </c>
      <c r="G262" s="3455">
        <f t="shared" si="22"/>
        <v>0</v>
      </c>
      <c r="H262" s="1727"/>
      <c r="I262" s="3516"/>
      <c r="J262" s="3346"/>
      <c r="K262" s="3458"/>
      <c r="L262" s="3342"/>
    </row>
    <row r="263" spans="1:12" s="3343" customFormat="1" ht="15.75" x14ac:dyDescent="0.25">
      <c r="A263" s="3342"/>
      <c r="B263" s="3393" t="s">
        <v>2614</v>
      </c>
      <c r="C263" s="3357"/>
      <c r="D263" s="3357"/>
      <c r="E263" s="3414">
        <v>0</v>
      </c>
      <c r="F263" s="3394">
        <f t="shared" si="24"/>
        <v>0</v>
      </c>
      <c r="G263" s="3455">
        <f t="shared" si="22"/>
        <v>0</v>
      </c>
      <c r="H263" s="1727"/>
      <c r="I263" s="3516"/>
      <c r="J263" s="3346"/>
      <c r="K263" s="3458"/>
      <c r="L263" s="3342"/>
    </row>
    <row r="264" spans="1:12" s="3343" customFormat="1" ht="15.75" x14ac:dyDescent="0.25">
      <c r="A264" s="3342"/>
      <c r="B264" s="3393" t="s">
        <v>2615</v>
      </c>
      <c r="C264" s="3357"/>
      <c r="D264" s="3357"/>
      <c r="E264" s="3414">
        <v>0</v>
      </c>
      <c r="F264" s="3394">
        <f t="shared" si="24"/>
        <v>0</v>
      </c>
      <c r="G264" s="3455">
        <f t="shared" si="22"/>
        <v>0</v>
      </c>
      <c r="H264" s="1727"/>
      <c r="I264" s="3516"/>
      <c r="J264" s="3346"/>
      <c r="K264" s="3458"/>
      <c r="L264" s="3342"/>
    </row>
    <row r="265" spans="1:12" s="3343" customFormat="1" ht="15.75" x14ac:dyDescent="0.25">
      <c r="A265" s="3342"/>
      <c r="B265" s="3393" t="s">
        <v>2616</v>
      </c>
      <c r="C265" s="3357"/>
      <c r="D265" s="3357"/>
      <c r="E265" s="3414">
        <v>0</v>
      </c>
      <c r="F265" s="3394">
        <f t="shared" si="24"/>
        <v>0</v>
      </c>
      <c r="G265" s="3455">
        <f t="shared" si="22"/>
        <v>0</v>
      </c>
      <c r="H265" s="1727"/>
      <c r="I265" s="3516"/>
      <c r="J265" s="3346"/>
      <c r="K265" s="3458"/>
      <c r="L265" s="3342"/>
    </row>
    <row r="266" spans="1:12" s="3343" customFormat="1" ht="15.75" x14ac:dyDescent="0.25">
      <c r="A266" s="3342"/>
      <c r="B266" s="3393" t="s">
        <v>2617</v>
      </c>
      <c r="C266" s="3357"/>
      <c r="D266" s="3357"/>
      <c r="E266" s="3414">
        <v>0</v>
      </c>
      <c r="F266" s="3394">
        <f t="shared" si="24"/>
        <v>0</v>
      </c>
      <c r="G266" s="3455">
        <f t="shared" si="22"/>
        <v>0</v>
      </c>
      <c r="H266" s="1727"/>
      <c r="I266" s="3516"/>
      <c r="J266" s="3346"/>
      <c r="K266" s="3458"/>
      <c r="L266" s="3342"/>
    </row>
    <row r="267" spans="1:12" s="3343" customFormat="1" ht="15.75" x14ac:dyDescent="0.25">
      <c r="A267" s="3342"/>
      <c r="B267" s="3393" t="s">
        <v>2932</v>
      </c>
      <c r="C267" s="3357"/>
      <c r="D267" s="3357"/>
      <c r="E267" s="3414">
        <v>0</v>
      </c>
      <c r="F267" s="3394">
        <f t="shared" si="24"/>
        <v>0</v>
      </c>
      <c r="G267" s="3455">
        <f t="shared" si="22"/>
        <v>0</v>
      </c>
      <c r="H267" s="1727"/>
      <c r="I267" s="3516"/>
      <c r="J267" s="3346"/>
      <c r="K267" s="3458"/>
      <c r="L267" s="3342"/>
    </row>
    <row r="268" spans="1:12" s="3343" customFormat="1" ht="15.75" x14ac:dyDescent="0.25">
      <c r="A268" s="3342"/>
      <c r="B268" s="3393" t="s">
        <v>2618</v>
      </c>
      <c r="C268" s="3357"/>
      <c r="D268" s="3357"/>
      <c r="E268" s="3414">
        <v>0</v>
      </c>
      <c r="F268" s="3394">
        <f t="shared" si="24"/>
        <v>0</v>
      </c>
      <c r="G268" s="3455">
        <f t="shared" si="22"/>
        <v>0</v>
      </c>
      <c r="H268" s="1727"/>
      <c r="I268" s="3516"/>
      <c r="J268" s="3346"/>
      <c r="K268" s="3458"/>
      <c r="L268" s="3342"/>
    </row>
    <row r="269" spans="1:12" s="3343" customFormat="1" ht="15.75" x14ac:dyDescent="0.25">
      <c r="A269" s="3342"/>
      <c r="B269" s="3393" t="s">
        <v>2619</v>
      </c>
      <c r="C269" s="3357"/>
      <c r="D269" s="3357"/>
      <c r="E269" s="3414">
        <v>0</v>
      </c>
      <c r="F269" s="3394">
        <f t="shared" si="24"/>
        <v>0</v>
      </c>
      <c r="G269" s="3455">
        <f t="shared" si="22"/>
        <v>0</v>
      </c>
      <c r="H269" s="1727"/>
      <c r="I269" s="3516"/>
      <c r="J269" s="3346"/>
      <c r="K269" s="3458"/>
      <c r="L269" s="3342"/>
    </row>
    <row r="270" spans="1:12" s="3343" customFormat="1" ht="15.75" x14ac:dyDescent="0.25">
      <c r="A270" s="3342"/>
      <c r="B270" s="3393" t="s">
        <v>2620</v>
      </c>
      <c r="C270" s="3357"/>
      <c r="D270" s="3357"/>
      <c r="E270" s="3414">
        <v>0</v>
      </c>
      <c r="F270" s="3394">
        <f t="shared" si="24"/>
        <v>0</v>
      </c>
      <c r="G270" s="3455">
        <f t="shared" si="22"/>
        <v>0</v>
      </c>
      <c r="H270" s="1727"/>
      <c r="I270" s="3516"/>
      <c r="J270" s="3346"/>
      <c r="K270" s="3458"/>
      <c r="L270" s="3342"/>
    </row>
    <row r="271" spans="1:12" s="3343" customFormat="1" ht="15.75" x14ac:dyDescent="0.25">
      <c r="A271" s="3342"/>
      <c r="B271" s="3393" t="s">
        <v>2621</v>
      </c>
      <c r="C271" s="3357"/>
      <c r="D271" s="3357"/>
      <c r="E271" s="3414">
        <v>0</v>
      </c>
      <c r="F271" s="3394">
        <f t="shared" si="24"/>
        <v>0</v>
      </c>
      <c r="G271" s="3455">
        <f t="shared" si="22"/>
        <v>0</v>
      </c>
      <c r="H271" s="1727"/>
      <c r="I271" s="3516"/>
      <c r="J271" s="3346"/>
      <c r="K271" s="3458"/>
      <c r="L271" s="3342"/>
    </row>
    <row r="272" spans="1:12" s="3343" customFormat="1" ht="15.75" x14ac:dyDescent="0.25">
      <c r="A272" s="3342"/>
      <c r="B272" s="3393" t="s">
        <v>2622</v>
      </c>
      <c r="C272" s="3357"/>
      <c r="D272" s="3357"/>
      <c r="E272" s="3414">
        <v>0</v>
      </c>
      <c r="F272" s="3394">
        <f t="shared" si="24"/>
        <v>0</v>
      </c>
      <c r="G272" s="3455">
        <f t="shared" si="22"/>
        <v>0</v>
      </c>
      <c r="H272" s="1727"/>
      <c r="I272" s="3516"/>
      <c r="J272" s="3346"/>
      <c r="K272" s="3458"/>
      <c r="L272" s="3342"/>
    </row>
    <row r="273" spans="1:12" s="3343" customFormat="1" ht="15.75" x14ac:dyDescent="0.25">
      <c r="A273" s="3342"/>
      <c r="B273" s="3393" t="s">
        <v>2623</v>
      </c>
      <c r="C273" s="3357"/>
      <c r="D273" s="3357"/>
      <c r="E273" s="3414">
        <v>0</v>
      </c>
      <c r="F273" s="3394">
        <f t="shared" si="24"/>
        <v>0</v>
      </c>
      <c r="G273" s="3455">
        <f t="shared" si="22"/>
        <v>0</v>
      </c>
      <c r="H273" s="1727"/>
      <c r="I273" s="3516"/>
      <c r="J273" s="3346"/>
      <c r="K273" s="3458"/>
      <c r="L273" s="3342"/>
    </row>
    <row r="274" spans="1:12" s="3343" customFormat="1" ht="15.75" x14ac:dyDescent="0.25">
      <c r="A274" s="3342"/>
      <c r="B274" s="3393" t="s">
        <v>2624</v>
      </c>
      <c r="C274" s="3357"/>
      <c r="D274" s="3357"/>
      <c r="E274" s="3414">
        <v>0</v>
      </c>
      <c r="F274" s="3394">
        <f t="shared" si="24"/>
        <v>0</v>
      </c>
      <c r="G274" s="3455">
        <f t="shared" si="22"/>
        <v>0</v>
      </c>
      <c r="H274" s="1727"/>
      <c r="I274" s="3516"/>
      <c r="J274" s="3346"/>
      <c r="K274" s="3458"/>
      <c r="L274" s="3342"/>
    </row>
    <row r="275" spans="1:12" s="3343" customFormat="1" ht="15.75" x14ac:dyDescent="0.25">
      <c r="A275" s="3342"/>
      <c r="B275" s="3393" t="s">
        <v>2625</v>
      </c>
      <c r="C275" s="3357"/>
      <c r="D275" s="3357"/>
      <c r="E275" s="3414">
        <v>0</v>
      </c>
      <c r="F275" s="3394">
        <f t="shared" si="24"/>
        <v>0</v>
      </c>
      <c r="G275" s="3455">
        <f t="shared" si="22"/>
        <v>0</v>
      </c>
      <c r="H275" s="1727"/>
      <c r="I275" s="3516"/>
      <c r="J275" s="3346"/>
      <c r="K275" s="3458"/>
      <c r="L275" s="3342"/>
    </row>
    <row r="276" spans="1:12" s="3343" customFormat="1" ht="15.75" x14ac:dyDescent="0.25">
      <c r="A276" s="3342"/>
      <c r="B276" s="3393" t="s">
        <v>2626</v>
      </c>
      <c r="C276" s="3357"/>
      <c r="D276" s="3357"/>
      <c r="E276" s="3414">
        <v>0</v>
      </c>
      <c r="F276" s="3394">
        <f t="shared" si="24"/>
        <v>0</v>
      </c>
      <c r="G276" s="3455">
        <f t="shared" si="22"/>
        <v>0</v>
      </c>
      <c r="H276" s="1727"/>
      <c r="I276" s="3516"/>
      <c r="J276" s="3346"/>
      <c r="K276" s="3458"/>
      <c r="L276" s="3342"/>
    </row>
    <row r="277" spans="1:12" s="3343" customFormat="1" ht="15.75" x14ac:dyDescent="0.25">
      <c r="A277" s="3342"/>
      <c r="B277" s="3393" t="s">
        <v>2627</v>
      </c>
      <c r="C277" s="3357"/>
      <c r="D277" s="3357"/>
      <c r="E277" s="3414">
        <v>0</v>
      </c>
      <c r="F277" s="3394">
        <f t="shared" si="24"/>
        <v>0</v>
      </c>
      <c r="G277" s="3455">
        <f t="shared" si="22"/>
        <v>0</v>
      </c>
      <c r="H277" s="1727"/>
      <c r="I277" s="3516"/>
      <c r="J277" s="3346"/>
      <c r="K277" s="3458"/>
      <c r="L277" s="3342"/>
    </row>
    <row r="278" spans="1:12" s="3343" customFormat="1" ht="15.75" x14ac:dyDescent="0.25">
      <c r="A278" s="3342"/>
      <c r="B278" s="3393" t="s">
        <v>2628</v>
      </c>
      <c r="C278" s="3357"/>
      <c r="D278" s="3357"/>
      <c r="E278" s="3414">
        <v>0</v>
      </c>
      <c r="F278" s="3394">
        <f t="shared" si="24"/>
        <v>0</v>
      </c>
      <c r="G278" s="3455">
        <f t="shared" si="22"/>
        <v>0</v>
      </c>
      <c r="H278" s="1727"/>
      <c r="I278" s="3516"/>
      <c r="J278" s="3346"/>
      <c r="K278" s="3458"/>
      <c r="L278" s="3342"/>
    </row>
    <row r="279" spans="1:12" s="3343" customFormat="1" ht="15.75" x14ac:dyDescent="0.25">
      <c r="A279" s="3342"/>
      <c r="B279" s="3393" t="s">
        <v>2629</v>
      </c>
      <c r="C279" s="3357"/>
      <c r="D279" s="3357"/>
      <c r="E279" s="3414">
        <v>0</v>
      </c>
      <c r="F279" s="3394">
        <f t="shared" si="24"/>
        <v>0</v>
      </c>
      <c r="G279" s="3455">
        <f t="shared" si="22"/>
        <v>0</v>
      </c>
      <c r="H279" s="1727"/>
      <c r="I279" s="3516"/>
      <c r="J279" s="3346"/>
      <c r="K279" s="3458"/>
      <c r="L279" s="3342"/>
    </row>
    <row r="280" spans="1:12" s="3343" customFormat="1" ht="15.75" x14ac:dyDescent="0.25">
      <c r="A280" s="3342"/>
      <c r="B280" s="3393" t="s">
        <v>2630</v>
      </c>
      <c r="C280" s="3357"/>
      <c r="D280" s="3357"/>
      <c r="E280" s="3414">
        <v>0</v>
      </c>
      <c r="F280" s="3394">
        <f t="shared" si="24"/>
        <v>0</v>
      </c>
      <c r="G280" s="3455">
        <f t="shared" si="22"/>
        <v>0</v>
      </c>
      <c r="H280" s="1727"/>
      <c r="I280" s="3516"/>
      <c r="J280" s="3346"/>
      <c r="K280" s="3458"/>
      <c r="L280" s="3342"/>
    </row>
    <row r="281" spans="1:12" s="3343" customFormat="1" ht="15.75" x14ac:dyDescent="0.25">
      <c r="A281" s="3342"/>
      <c r="B281" s="3393" t="s">
        <v>2631</v>
      </c>
      <c r="C281" s="3357"/>
      <c r="D281" s="3357"/>
      <c r="E281" s="3414">
        <v>0</v>
      </c>
      <c r="F281" s="3394">
        <f t="shared" si="24"/>
        <v>0</v>
      </c>
      <c r="G281" s="3455">
        <f t="shared" si="22"/>
        <v>0</v>
      </c>
      <c r="H281" s="1727"/>
      <c r="I281" s="3516"/>
      <c r="J281" s="3346"/>
      <c r="K281" s="3458"/>
      <c r="L281" s="3342"/>
    </row>
    <row r="282" spans="1:12" s="3343" customFormat="1" ht="15.75" x14ac:dyDescent="0.25">
      <c r="A282" s="3342"/>
      <c r="B282" s="3393" t="s">
        <v>2632</v>
      </c>
      <c r="C282" s="3357"/>
      <c r="D282" s="3357"/>
      <c r="E282" s="3414">
        <v>0</v>
      </c>
      <c r="F282" s="3394">
        <f t="shared" si="24"/>
        <v>0</v>
      </c>
      <c r="G282" s="3455">
        <f t="shared" si="22"/>
        <v>0</v>
      </c>
      <c r="H282" s="1727"/>
      <c r="I282" s="3516"/>
      <c r="J282" s="3346"/>
      <c r="K282" s="3458"/>
      <c r="L282" s="3342"/>
    </row>
    <row r="283" spans="1:12" s="3343" customFormat="1" ht="15.75" x14ac:dyDescent="0.25">
      <c r="A283" s="3342"/>
      <c r="B283" s="3393" t="s">
        <v>2633</v>
      </c>
      <c r="C283" s="3357"/>
      <c r="D283" s="3357"/>
      <c r="E283" s="3414">
        <v>0</v>
      </c>
      <c r="F283" s="3394">
        <f t="shared" si="24"/>
        <v>0</v>
      </c>
      <c r="G283" s="3455">
        <f t="shared" si="22"/>
        <v>0</v>
      </c>
      <c r="H283" s="1727"/>
      <c r="I283" s="3516"/>
      <c r="J283" s="3346"/>
      <c r="K283" s="3458"/>
      <c r="L283" s="3342"/>
    </row>
    <row r="284" spans="1:12" s="3343" customFormat="1" ht="15.75" x14ac:dyDescent="0.25">
      <c r="A284" s="3342"/>
      <c r="B284" s="3393" t="s">
        <v>2634</v>
      </c>
      <c r="C284" s="3357"/>
      <c r="D284" s="3357"/>
      <c r="E284" s="3414">
        <v>0</v>
      </c>
      <c r="F284" s="3394">
        <f t="shared" si="24"/>
        <v>0</v>
      </c>
      <c r="G284" s="3455">
        <f t="shared" si="22"/>
        <v>0</v>
      </c>
      <c r="H284" s="1727"/>
      <c r="I284" s="3516"/>
      <c r="J284" s="3346"/>
      <c r="K284" s="3458"/>
      <c r="L284" s="3342"/>
    </row>
    <row r="285" spans="1:12" s="3343" customFormat="1" ht="15.75" x14ac:dyDescent="0.25">
      <c r="A285" s="3342"/>
      <c r="B285" s="3393" t="s">
        <v>2635</v>
      </c>
      <c r="C285" s="3357"/>
      <c r="D285" s="3357"/>
      <c r="E285" s="3414">
        <v>0</v>
      </c>
      <c r="F285" s="3394">
        <f t="shared" si="24"/>
        <v>0</v>
      </c>
      <c r="G285" s="3455">
        <f t="shared" si="22"/>
        <v>0</v>
      </c>
      <c r="H285" s="1727"/>
      <c r="I285" s="3516"/>
      <c r="J285" s="3346"/>
      <c r="K285" s="3458"/>
      <c r="L285" s="3342"/>
    </row>
    <row r="286" spans="1:12" s="3343" customFormat="1" ht="15.75" x14ac:dyDescent="0.25">
      <c r="A286" s="3342"/>
      <c r="B286" s="3393" t="s">
        <v>2636</v>
      </c>
      <c r="C286" s="3357"/>
      <c r="D286" s="3357"/>
      <c r="E286" s="3414">
        <v>0</v>
      </c>
      <c r="F286" s="3394">
        <f t="shared" si="24"/>
        <v>0</v>
      </c>
      <c r="G286" s="3455">
        <f t="shared" si="22"/>
        <v>0</v>
      </c>
      <c r="H286" s="1727"/>
      <c r="I286" s="3516"/>
      <c r="J286" s="3346"/>
      <c r="K286" s="3458"/>
      <c r="L286" s="3342"/>
    </row>
    <row r="287" spans="1:12" s="3343" customFormat="1" ht="15.75" x14ac:dyDescent="0.25">
      <c r="A287" s="3342"/>
      <c r="B287" s="3393" t="s">
        <v>2637</v>
      </c>
      <c r="C287" s="3357"/>
      <c r="D287" s="3357"/>
      <c r="E287" s="3414">
        <v>0</v>
      </c>
      <c r="F287" s="3394">
        <f t="shared" si="24"/>
        <v>0</v>
      </c>
      <c r="G287" s="3455">
        <f t="shared" si="22"/>
        <v>0</v>
      </c>
      <c r="H287" s="1727"/>
      <c r="I287" s="3516"/>
      <c r="J287" s="3346"/>
      <c r="K287" s="3458"/>
      <c r="L287" s="3342"/>
    </row>
    <row r="288" spans="1:12" s="3343" customFormat="1" ht="15.75" x14ac:dyDescent="0.25">
      <c r="A288" s="3342"/>
      <c r="B288" s="3393" t="s">
        <v>2638</v>
      </c>
      <c r="C288" s="3357"/>
      <c r="D288" s="3357"/>
      <c r="E288" s="3414">
        <v>0</v>
      </c>
      <c r="F288" s="3394">
        <f t="shared" si="24"/>
        <v>0</v>
      </c>
      <c r="G288" s="3455">
        <f t="shared" si="22"/>
        <v>0</v>
      </c>
      <c r="H288" s="1727"/>
      <c r="I288" s="3516"/>
      <c r="J288" s="3346"/>
      <c r="K288" s="3458"/>
      <c r="L288" s="3342"/>
    </row>
    <row r="289" spans="1:12" s="3343" customFormat="1" ht="15.75" x14ac:dyDescent="0.25">
      <c r="A289" s="3342"/>
      <c r="B289" s="3393" t="s">
        <v>2639</v>
      </c>
      <c r="C289" s="3357"/>
      <c r="D289" s="3357"/>
      <c r="E289" s="3414">
        <v>0</v>
      </c>
      <c r="F289" s="3394">
        <f t="shared" si="24"/>
        <v>0</v>
      </c>
      <c r="G289" s="3455">
        <f t="shared" si="22"/>
        <v>0</v>
      </c>
      <c r="H289" s="1727"/>
      <c r="I289" s="3516"/>
      <c r="J289" s="3346"/>
      <c r="K289" s="3458"/>
      <c r="L289" s="3342"/>
    </row>
    <row r="290" spans="1:12" s="3343" customFormat="1" ht="15.75" x14ac:dyDescent="0.25">
      <c r="A290" s="3342"/>
      <c r="B290" s="3393" t="s">
        <v>2640</v>
      </c>
      <c r="C290" s="3357"/>
      <c r="D290" s="3357"/>
      <c r="E290" s="3414">
        <v>0</v>
      </c>
      <c r="F290" s="3394">
        <f t="shared" si="24"/>
        <v>0</v>
      </c>
      <c r="G290" s="3455">
        <f t="shared" si="22"/>
        <v>0</v>
      </c>
      <c r="H290" s="1727"/>
      <c r="I290" s="3516"/>
      <c r="J290" s="3346"/>
      <c r="K290" s="3458"/>
      <c r="L290" s="3342"/>
    </row>
    <row r="291" spans="1:12" s="3343" customFormat="1" ht="15.75" x14ac:dyDescent="0.25">
      <c r="A291" s="3342"/>
      <c r="B291" s="3393" t="s">
        <v>2933</v>
      </c>
      <c r="C291" s="3357"/>
      <c r="D291" s="3357"/>
      <c r="E291" s="3414">
        <v>0</v>
      </c>
      <c r="F291" s="3394">
        <f t="shared" ref="F291:F307" si="25">E291/$E$223</f>
        <v>0</v>
      </c>
      <c r="G291" s="3455">
        <f t="shared" si="22"/>
        <v>0</v>
      </c>
      <c r="H291" s="1727"/>
      <c r="I291" s="3516"/>
      <c r="J291" s="3346"/>
      <c r="K291" s="3458"/>
      <c r="L291" s="3342"/>
    </row>
    <row r="292" spans="1:12" s="3343" customFormat="1" ht="15.75" x14ac:dyDescent="0.25">
      <c r="A292" s="3342"/>
      <c r="B292" s="3393" t="s">
        <v>2934</v>
      </c>
      <c r="C292" s="3357"/>
      <c r="D292" s="3357"/>
      <c r="E292" s="3414">
        <v>0</v>
      </c>
      <c r="F292" s="3394">
        <f t="shared" si="25"/>
        <v>0</v>
      </c>
      <c r="G292" s="3455">
        <f t="shared" si="22"/>
        <v>0</v>
      </c>
      <c r="H292" s="1727"/>
      <c r="I292" s="3516"/>
      <c r="J292" s="3346"/>
      <c r="K292" s="3458"/>
      <c r="L292" s="3342"/>
    </row>
    <row r="293" spans="1:12" s="3343" customFormat="1" ht="15.75" x14ac:dyDescent="0.25">
      <c r="A293" s="3342"/>
      <c r="B293" s="3393" t="s">
        <v>2641</v>
      </c>
      <c r="C293" s="3357"/>
      <c r="D293" s="3357"/>
      <c r="E293" s="3414">
        <v>0</v>
      </c>
      <c r="F293" s="3394">
        <f t="shared" si="25"/>
        <v>0</v>
      </c>
      <c r="G293" s="3455">
        <f t="shared" si="22"/>
        <v>0</v>
      </c>
      <c r="H293" s="1727"/>
      <c r="I293" s="3516"/>
      <c r="J293" s="3346"/>
      <c r="K293" s="3458"/>
      <c r="L293" s="3342"/>
    </row>
    <row r="294" spans="1:12" s="3343" customFormat="1" ht="15.75" x14ac:dyDescent="0.25">
      <c r="A294" s="3342"/>
      <c r="B294" s="3393" t="s">
        <v>2642</v>
      </c>
      <c r="C294" s="3357"/>
      <c r="D294" s="3357"/>
      <c r="E294" s="3414">
        <v>0</v>
      </c>
      <c r="F294" s="3394">
        <f t="shared" si="25"/>
        <v>0</v>
      </c>
      <c r="G294" s="3455">
        <f t="shared" ref="G294:G307" si="26">IF($C$226=0,0,F294/$C$226)</f>
        <v>0</v>
      </c>
      <c r="H294" s="1727"/>
      <c r="I294" s="3516"/>
      <c r="J294" s="3346"/>
      <c r="K294" s="3458"/>
      <c r="L294" s="3342"/>
    </row>
    <row r="295" spans="1:12" s="3343" customFormat="1" ht="15.75" x14ac:dyDescent="0.25">
      <c r="A295" s="3342"/>
      <c r="B295" s="3393" t="s">
        <v>2643</v>
      </c>
      <c r="C295" s="3357"/>
      <c r="D295" s="3357"/>
      <c r="E295" s="3414">
        <v>0</v>
      </c>
      <c r="F295" s="3394">
        <f t="shared" si="25"/>
        <v>0</v>
      </c>
      <c r="G295" s="3455">
        <f t="shared" si="26"/>
        <v>0</v>
      </c>
      <c r="H295" s="1727"/>
      <c r="I295" s="3516"/>
      <c r="J295" s="3346"/>
      <c r="K295" s="3458"/>
      <c r="L295" s="3342"/>
    </row>
    <row r="296" spans="1:12" s="3343" customFormat="1" ht="15.75" x14ac:dyDescent="0.25">
      <c r="A296" s="3342"/>
      <c r="B296" s="3393" t="s">
        <v>2644</v>
      </c>
      <c r="C296" s="3357"/>
      <c r="D296" s="3357"/>
      <c r="E296" s="3414">
        <v>0</v>
      </c>
      <c r="F296" s="3394">
        <f t="shared" si="25"/>
        <v>0</v>
      </c>
      <c r="G296" s="3455">
        <f t="shared" si="26"/>
        <v>0</v>
      </c>
      <c r="H296" s="1727"/>
      <c r="I296" s="3516"/>
      <c r="J296" s="3346"/>
      <c r="K296" s="3458"/>
      <c r="L296" s="3342"/>
    </row>
    <row r="297" spans="1:12" s="3343" customFormat="1" ht="15.75" x14ac:dyDescent="0.25">
      <c r="A297" s="3342"/>
      <c r="B297" s="3393" t="s">
        <v>2645</v>
      </c>
      <c r="C297" s="3357"/>
      <c r="D297" s="3357"/>
      <c r="E297" s="3414">
        <v>0</v>
      </c>
      <c r="F297" s="3394">
        <f t="shared" si="25"/>
        <v>0</v>
      </c>
      <c r="G297" s="3455">
        <f t="shared" si="26"/>
        <v>0</v>
      </c>
      <c r="H297" s="1727"/>
      <c r="I297" s="3516"/>
      <c r="J297" s="3346"/>
      <c r="K297" s="3458"/>
      <c r="L297" s="3342"/>
    </row>
    <row r="298" spans="1:12" s="3343" customFormat="1" ht="15.75" x14ac:dyDescent="0.25">
      <c r="A298" s="3342"/>
      <c r="B298" s="3393" t="s">
        <v>2646</v>
      </c>
      <c r="C298" s="3357"/>
      <c r="D298" s="3357"/>
      <c r="E298" s="3414">
        <v>0</v>
      </c>
      <c r="F298" s="3394">
        <f t="shared" si="25"/>
        <v>0</v>
      </c>
      <c r="G298" s="3455">
        <f t="shared" si="26"/>
        <v>0</v>
      </c>
      <c r="H298" s="1727"/>
      <c r="I298" s="3516"/>
      <c r="J298" s="3346"/>
      <c r="K298" s="3458"/>
      <c r="L298" s="3342"/>
    </row>
    <row r="299" spans="1:12" s="3343" customFormat="1" ht="15.75" x14ac:dyDescent="0.25">
      <c r="A299" s="3342"/>
      <c r="B299" s="3393" t="s">
        <v>2647</v>
      </c>
      <c r="C299" s="3357"/>
      <c r="D299" s="3357"/>
      <c r="E299" s="3414">
        <v>0</v>
      </c>
      <c r="F299" s="3394">
        <f t="shared" si="25"/>
        <v>0</v>
      </c>
      <c r="G299" s="3455">
        <f t="shared" si="26"/>
        <v>0</v>
      </c>
      <c r="H299" s="1727"/>
      <c r="I299" s="3516"/>
      <c r="J299" s="3346"/>
      <c r="K299" s="3458"/>
      <c r="L299" s="3342"/>
    </row>
    <row r="300" spans="1:12" s="3343" customFormat="1" ht="15.75" x14ac:dyDescent="0.25">
      <c r="A300" s="3342"/>
      <c r="B300" s="3393" t="s">
        <v>2936</v>
      </c>
      <c r="C300" s="3357"/>
      <c r="D300" s="3357"/>
      <c r="E300" s="3414">
        <v>0</v>
      </c>
      <c r="F300" s="3394">
        <f t="shared" si="25"/>
        <v>0</v>
      </c>
      <c r="G300" s="3455">
        <f t="shared" si="26"/>
        <v>0</v>
      </c>
      <c r="H300" s="1727"/>
      <c r="I300" s="3516"/>
      <c r="J300" s="3346"/>
      <c r="K300" s="3458"/>
      <c r="L300" s="3342"/>
    </row>
    <row r="301" spans="1:12" s="3343" customFormat="1" ht="15.75" x14ac:dyDescent="0.25">
      <c r="A301" s="3342"/>
      <c r="B301" s="3393" t="s">
        <v>2648</v>
      </c>
      <c r="C301" s="3357"/>
      <c r="D301" s="3357"/>
      <c r="E301" s="3414">
        <v>0</v>
      </c>
      <c r="F301" s="3394">
        <f t="shared" si="25"/>
        <v>0</v>
      </c>
      <c r="G301" s="3455">
        <f t="shared" si="26"/>
        <v>0</v>
      </c>
      <c r="H301" s="1727"/>
      <c r="I301" s="3516"/>
      <c r="J301" s="3346"/>
      <c r="K301" s="3458"/>
      <c r="L301" s="3342"/>
    </row>
    <row r="302" spans="1:12" s="3343" customFormat="1" ht="15.75" x14ac:dyDescent="0.25">
      <c r="A302" s="3342"/>
      <c r="B302" s="3393" t="s">
        <v>2649</v>
      </c>
      <c r="C302" s="3357"/>
      <c r="D302" s="3357"/>
      <c r="E302" s="3414">
        <v>0</v>
      </c>
      <c r="F302" s="3394">
        <f t="shared" si="25"/>
        <v>0</v>
      </c>
      <c r="G302" s="3455">
        <f t="shared" si="26"/>
        <v>0</v>
      </c>
      <c r="H302" s="1727"/>
      <c r="I302" s="3516"/>
      <c r="J302" s="3346"/>
      <c r="K302" s="3458"/>
      <c r="L302" s="3342"/>
    </row>
    <row r="303" spans="1:12" s="3343" customFormat="1" ht="15.75" x14ac:dyDescent="0.25">
      <c r="A303" s="3342"/>
      <c r="B303" s="3393" t="s">
        <v>2650</v>
      </c>
      <c r="C303" s="3357"/>
      <c r="D303" s="3357"/>
      <c r="E303" s="3414">
        <v>0</v>
      </c>
      <c r="F303" s="3394">
        <f t="shared" si="25"/>
        <v>0</v>
      </c>
      <c r="G303" s="3455">
        <f t="shared" si="26"/>
        <v>0</v>
      </c>
      <c r="H303" s="1727"/>
      <c r="I303" s="3516"/>
      <c r="J303" s="3346"/>
      <c r="K303" s="3458"/>
      <c r="L303" s="3342"/>
    </row>
    <row r="304" spans="1:12" s="3343" customFormat="1" ht="15.75" x14ac:dyDescent="0.25">
      <c r="A304" s="3342"/>
      <c r="B304" s="3393" t="s">
        <v>2651</v>
      </c>
      <c r="C304" s="3357"/>
      <c r="D304" s="3357"/>
      <c r="E304" s="3414">
        <v>0</v>
      </c>
      <c r="F304" s="3394">
        <f t="shared" si="25"/>
        <v>0</v>
      </c>
      <c r="G304" s="3455">
        <f t="shared" si="26"/>
        <v>0</v>
      </c>
      <c r="H304" s="1727"/>
      <c r="I304" s="3516"/>
      <c r="J304" s="3346"/>
      <c r="K304" s="3458"/>
      <c r="L304" s="3342"/>
    </row>
    <row r="305" spans="1:12" s="3343" customFormat="1" ht="15.75" x14ac:dyDescent="0.25">
      <c r="A305" s="3342"/>
      <c r="B305" s="3393" t="s">
        <v>2652</v>
      </c>
      <c r="C305" s="3357"/>
      <c r="D305" s="3357"/>
      <c r="E305" s="3414">
        <v>0</v>
      </c>
      <c r="F305" s="3394">
        <f t="shared" si="25"/>
        <v>0</v>
      </c>
      <c r="G305" s="3455">
        <f t="shared" si="26"/>
        <v>0</v>
      </c>
      <c r="H305" s="1727"/>
      <c r="I305" s="3516"/>
      <c r="J305" s="3346"/>
      <c r="K305" s="3458"/>
      <c r="L305" s="3342"/>
    </row>
    <row r="306" spans="1:12" s="3343" customFormat="1" ht="15.75" x14ac:dyDescent="0.25">
      <c r="A306" s="3342"/>
      <c r="B306" s="3393" t="s">
        <v>2653</v>
      </c>
      <c r="C306" s="3357"/>
      <c r="D306" s="3357"/>
      <c r="E306" s="3414">
        <v>0</v>
      </c>
      <c r="F306" s="3394">
        <f t="shared" si="25"/>
        <v>0</v>
      </c>
      <c r="G306" s="3455">
        <f t="shared" si="26"/>
        <v>0</v>
      </c>
      <c r="H306" s="1727"/>
      <c r="I306" s="3516"/>
      <c r="J306" s="3346"/>
      <c r="K306" s="3458"/>
      <c r="L306" s="3342"/>
    </row>
    <row r="307" spans="1:12" s="3343" customFormat="1" ht="14.25" customHeight="1" thickBot="1" x14ac:dyDescent="0.3">
      <c r="A307" s="3459"/>
      <c r="B307" s="3415" t="s">
        <v>2654</v>
      </c>
      <c r="C307" s="3416"/>
      <c r="D307" s="3416"/>
      <c r="E307" s="3417">
        <v>0</v>
      </c>
      <c r="F307" s="3418">
        <f t="shared" si="25"/>
        <v>0</v>
      </c>
      <c r="G307" s="3456">
        <f t="shared" si="26"/>
        <v>0</v>
      </c>
      <c r="H307" s="2157"/>
      <c r="I307" s="3517"/>
      <c r="J307" s="3419"/>
      <c r="K307" s="3460"/>
      <c r="L307" s="3342"/>
    </row>
    <row r="308" spans="1:12" s="1382" customFormat="1" ht="16.5" thickTop="1" x14ac:dyDescent="0.25">
      <c r="A308"/>
      <c r="B308"/>
      <c r="C308"/>
      <c r="D308"/>
      <c r="E308"/>
      <c r="F308"/>
      <c r="G308"/>
      <c r="H308"/>
      <c r="I308" s="410"/>
      <c r="J308" s="411"/>
      <c r="K308" s="394"/>
    </row>
    <row r="309" spans="1:12" s="1382" customFormat="1" ht="15.75" x14ac:dyDescent="0.25">
      <c r="A309"/>
      <c r="B309"/>
      <c r="C309"/>
      <c r="D309"/>
      <c r="E309"/>
      <c r="F309"/>
      <c r="G309"/>
      <c r="H309"/>
      <c r="I309" s="410"/>
      <c r="J309" s="411"/>
      <c r="K309" s="394"/>
    </row>
    <row r="310" spans="1:12" s="1382" customFormat="1" ht="15.75" x14ac:dyDescent="0.25">
      <c r="A310"/>
      <c r="B310"/>
      <c r="C310"/>
      <c r="D310"/>
      <c r="E310"/>
      <c r="F310"/>
      <c r="G310"/>
      <c r="H310"/>
      <c r="I310" s="410"/>
      <c r="J310" s="411"/>
      <c r="K310" s="394"/>
    </row>
    <row r="311" spans="1:12" s="1382" customFormat="1" ht="15.75" x14ac:dyDescent="0.25">
      <c r="A311"/>
      <c r="B311"/>
      <c r="C311"/>
      <c r="D311"/>
      <c r="E311"/>
      <c r="F311"/>
      <c r="G311"/>
      <c r="H311"/>
      <c r="I311" s="410"/>
      <c r="J311" s="411"/>
      <c r="K311" s="394"/>
    </row>
    <row r="312" spans="1:12" s="1382" customFormat="1" ht="15.75" x14ac:dyDescent="0.25">
      <c r="A312" s="91"/>
      <c r="B312" s="93"/>
      <c r="C312" s="419"/>
      <c r="D312" s="418"/>
      <c r="E312" s="418"/>
      <c r="F312" s="418"/>
      <c r="G312" s="418"/>
      <c r="H312" s="67"/>
      <c r="I312" s="183"/>
      <c r="J312" s="183"/>
      <c r="K312" s="183"/>
    </row>
    <row r="313" spans="1:12" ht="15.75" x14ac:dyDescent="0.25">
      <c r="A313" s="1382"/>
      <c r="B313" s="1383" t="s">
        <v>957</v>
      </c>
      <c r="C313" s="1382"/>
      <c r="D313" s="1382"/>
      <c r="E313" s="1382"/>
      <c r="F313" s="1382"/>
      <c r="G313" s="1383" t="s">
        <v>958</v>
      </c>
      <c r="H313" s="1382"/>
      <c r="I313" s="1382"/>
      <c r="J313" s="1382"/>
      <c r="K313" s="1382"/>
    </row>
    <row r="314" spans="1:12" ht="15.75" x14ac:dyDescent="0.25">
      <c r="A314" s="1382"/>
      <c r="B314" s="1383"/>
      <c r="C314" s="1382"/>
      <c r="D314" s="1382"/>
      <c r="E314" s="1382"/>
      <c r="F314" s="1382"/>
      <c r="G314" s="1383"/>
      <c r="H314" s="1382"/>
      <c r="I314" s="1382"/>
      <c r="J314" s="1382"/>
      <c r="K314" s="1382"/>
    </row>
    <row r="315" spans="1:12" ht="16.5" thickBot="1" x14ac:dyDescent="0.3">
      <c r="A315" s="1382"/>
      <c r="B315" s="1379"/>
      <c r="C315" s="1382"/>
      <c r="D315" s="1382"/>
      <c r="E315" s="1382"/>
      <c r="F315" s="1382"/>
      <c r="G315" s="1379"/>
      <c r="H315" s="1382"/>
      <c r="I315" s="1382"/>
      <c r="J315" s="1382"/>
      <c r="K315" s="1382"/>
    </row>
    <row r="316" spans="1:12" ht="19.5" thickTop="1" x14ac:dyDescent="0.3">
      <c r="A316" s="960" t="s">
        <v>486</v>
      </c>
      <c r="B316" s="946"/>
      <c r="C316" s="946"/>
      <c r="D316" s="947"/>
      <c r="E316" s="947"/>
      <c r="F316" s="946"/>
      <c r="G316" s="946"/>
      <c r="H316" s="949"/>
    </row>
    <row r="317" spans="1:12" ht="15.75" x14ac:dyDescent="0.25">
      <c r="A317" s="964" t="s">
        <v>736</v>
      </c>
      <c r="B317" s="944"/>
      <c r="C317" s="944"/>
      <c r="D317" s="945"/>
      <c r="E317" s="945"/>
      <c r="F317" s="944"/>
      <c r="G317" s="944"/>
      <c r="H317" s="950"/>
    </row>
    <row r="318" spans="1:12" x14ac:dyDescent="0.25">
      <c r="A318" s="1054"/>
      <c r="B318" s="943" t="s">
        <v>326</v>
      </c>
      <c r="C318" s="945"/>
      <c r="D318" s="945"/>
      <c r="E318" s="945"/>
      <c r="F318" s="944"/>
      <c r="G318" s="944"/>
      <c r="H318" s="950"/>
    </row>
    <row r="319" spans="1:12" x14ac:dyDescent="0.25">
      <c r="A319" s="1054"/>
      <c r="B319" s="1356" t="s">
        <v>870</v>
      </c>
      <c r="C319" s="1357"/>
      <c r="D319" s="1357"/>
      <c r="E319" s="945"/>
      <c r="F319" s="944"/>
      <c r="G319" s="944"/>
      <c r="H319" s="950"/>
    </row>
    <row r="320" spans="1:12" x14ac:dyDescent="0.25">
      <c r="A320" s="1054"/>
      <c r="B320" s="942" t="s">
        <v>1103</v>
      </c>
      <c r="C320" s="945"/>
      <c r="D320" s="945"/>
      <c r="E320" s="945"/>
      <c r="F320" s="944"/>
      <c r="G320" s="944"/>
      <c r="H320" s="950"/>
    </row>
    <row r="321" spans="1:8" x14ac:dyDescent="0.25">
      <c r="A321" s="1054" t="s">
        <v>154</v>
      </c>
      <c r="B321" s="942" t="s">
        <v>1104</v>
      </c>
      <c r="C321" s="945"/>
      <c r="D321" s="945"/>
      <c r="E321" s="945"/>
      <c r="F321" s="944"/>
      <c r="G321" s="944"/>
      <c r="H321" s="950"/>
    </row>
    <row r="322" spans="1:8" x14ac:dyDescent="0.25">
      <c r="A322" s="1054"/>
      <c r="B322" s="942" t="s">
        <v>1105</v>
      </c>
      <c r="C322" s="945"/>
      <c r="D322" s="945"/>
      <c r="E322" s="945"/>
      <c r="F322" s="944"/>
      <c r="G322" s="944"/>
      <c r="H322" s="950"/>
    </row>
    <row r="323" spans="1:8" x14ac:dyDescent="0.25">
      <c r="A323" s="1890"/>
      <c r="B323" s="942" t="s">
        <v>1106</v>
      </c>
      <c r="C323" s="1019"/>
      <c r="D323" s="945"/>
      <c r="E323" s="945"/>
      <c r="F323" s="944"/>
      <c r="G323" s="944"/>
      <c r="H323" s="950"/>
    </row>
    <row r="324" spans="1:8" x14ac:dyDescent="0.25">
      <c r="A324" s="1890"/>
      <c r="B324" s="942" t="s">
        <v>1449</v>
      </c>
      <c r="C324" s="1019"/>
      <c r="D324" s="945"/>
      <c r="E324" s="945"/>
      <c r="F324" s="944"/>
      <c r="G324" s="944"/>
      <c r="H324" s="950"/>
    </row>
    <row r="325" spans="1:8" x14ac:dyDescent="0.25">
      <c r="A325" s="1890"/>
      <c r="B325" s="942" t="s">
        <v>1462</v>
      </c>
      <c r="C325" s="1019"/>
      <c r="D325" s="945"/>
      <c r="E325" s="945"/>
      <c r="F325" s="944"/>
      <c r="G325" s="944"/>
      <c r="H325" s="950"/>
    </row>
    <row r="326" spans="1:8" x14ac:dyDescent="0.25">
      <c r="A326" s="1890"/>
      <c r="B326" s="942" t="s">
        <v>1450</v>
      </c>
      <c r="C326" s="1019"/>
      <c r="D326" s="945"/>
      <c r="E326" s="945"/>
      <c r="F326" s="944"/>
      <c r="G326" s="944"/>
      <c r="H326" s="950"/>
    </row>
    <row r="327" spans="1:8" x14ac:dyDescent="0.25">
      <c r="A327" s="1890"/>
      <c r="B327" s="942" t="s">
        <v>1107</v>
      </c>
      <c r="C327" s="1019"/>
      <c r="D327" s="945"/>
      <c r="E327" s="945"/>
      <c r="F327" s="944"/>
      <c r="G327" s="944"/>
      <c r="H327" s="950"/>
    </row>
    <row r="328" spans="1:8" x14ac:dyDescent="0.25">
      <c r="A328" s="1890"/>
      <c r="B328" s="943" t="s">
        <v>1108</v>
      </c>
      <c r="C328" s="1019"/>
      <c r="D328" s="945"/>
      <c r="E328" s="945"/>
      <c r="F328" s="944"/>
      <c r="G328" s="944"/>
      <c r="H328" s="950"/>
    </row>
    <row r="329" spans="1:8" x14ac:dyDescent="0.25">
      <c r="A329" s="1890"/>
      <c r="B329" s="943" t="s">
        <v>1100</v>
      </c>
      <c r="C329" s="1019"/>
      <c r="D329" s="945"/>
      <c r="E329" s="945"/>
      <c r="F329" s="944"/>
      <c r="G329" s="944"/>
      <c r="H329" s="950"/>
    </row>
    <row r="330" spans="1:8" x14ac:dyDescent="0.25">
      <c r="A330" s="1054"/>
      <c r="B330" s="943" t="s">
        <v>1099</v>
      </c>
      <c r="C330" s="945"/>
      <c r="D330" s="945"/>
      <c r="E330" s="945"/>
      <c r="F330" s="944"/>
      <c r="G330" s="944"/>
      <c r="H330" s="950"/>
    </row>
    <row r="331" spans="1:8" x14ac:dyDescent="0.25">
      <c r="A331" s="1054"/>
      <c r="B331" s="943" t="s">
        <v>1098</v>
      </c>
      <c r="C331" s="945"/>
      <c r="D331" s="945"/>
      <c r="E331" s="945"/>
      <c r="F331" s="944"/>
      <c r="G331" s="944"/>
      <c r="H331" s="950"/>
    </row>
    <row r="332" spans="1:8" x14ac:dyDescent="0.25">
      <c r="A332" s="1054"/>
      <c r="B332" s="942" t="s">
        <v>1097</v>
      </c>
      <c r="C332" s="945"/>
      <c r="D332" s="945"/>
      <c r="E332" s="945"/>
      <c r="F332" s="944"/>
      <c r="G332" s="944"/>
      <c r="H332" s="950"/>
    </row>
    <row r="333" spans="1:8" x14ac:dyDescent="0.25">
      <c r="A333" s="1054"/>
      <c r="B333" s="943" t="s">
        <v>1101</v>
      </c>
      <c r="C333" s="945"/>
      <c r="D333" s="945"/>
      <c r="E333" s="945"/>
      <c r="F333" s="944"/>
      <c r="G333" s="944"/>
      <c r="H333" s="950"/>
    </row>
    <row r="334" spans="1:8" x14ac:dyDescent="0.25">
      <c r="A334" s="1054"/>
      <c r="B334" s="943" t="s">
        <v>1102</v>
      </c>
      <c r="C334" s="945"/>
      <c r="D334" s="1019" t="s">
        <v>1762</v>
      </c>
      <c r="E334" s="945"/>
      <c r="F334" s="944"/>
      <c r="G334" s="944"/>
      <c r="H334" s="950"/>
    </row>
    <row r="335" spans="1:8" x14ac:dyDescent="0.25">
      <c r="A335" s="1083"/>
      <c r="B335" s="1081" t="s">
        <v>719</v>
      </c>
      <c r="C335" s="945"/>
      <c r="D335" s="1019" t="s">
        <v>1764</v>
      </c>
      <c r="E335" s="945"/>
      <c r="F335" s="944"/>
      <c r="G335" s="944"/>
      <c r="H335" s="950"/>
    </row>
    <row r="336" spans="1:8" x14ac:dyDescent="0.25">
      <c r="A336" s="1083"/>
      <c r="B336" s="1081" t="s">
        <v>720</v>
      </c>
      <c r="C336" s="945"/>
      <c r="D336" s="1019" t="s">
        <v>1289</v>
      </c>
      <c r="E336" s="945"/>
      <c r="F336" s="945"/>
      <c r="G336" s="945"/>
      <c r="H336" s="950"/>
    </row>
    <row r="337" spans="1:8" x14ac:dyDescent="0.25">
      <c r="A337" s="1083"/>
      <c r="B337" s="1081" t="s">
        <v>721</v>
      </c>
      <c r="C337" s="945"/>
      <c r="D337" s="945" t="s">
        <v>722</v>
      </c>
      <c r="E337" s="945"/>
      <c r="F337" s="945"/>
      <c r="G337" s="945"/>
      <c r="H337" s="950"/>
    </row>
    <row r="338" spans="1:8" x14ac:dyDescent="0.25">
      <c r="A338" s="1083"/>
      <c r="B338" s="1081" t="s">
        <v>725</v>
      </c>
      <c r="C338" s="945"/>
      <c r="D338" s="1019" t="s">
        <v>1763</v>
      </c>
      <c r="E338" s="945"/>
      <c r="F338" s="945"/>
      <c r="G338" s="945"/>
      <c r="H338" s="950"/>
    </row>
    <row r="339" spans="1:8" ht="15.75" thickBot="1" x14ac:dyDescent="0.3">
      <c r="A339" s="1088"/>
      <c r="B339" s="1089" t="s">
        <v>577</v>
      </c>
      <c r="C339" s="948"/>
      <c r="D339" s="1087" t="s">
        <v>578</v>
      </c>
      <c r="E339" s="948"/>
      <c r="F339" s="948"/>
      <c r="G339" s="948"/>
      <c r="H339" s="951"/>
    </row>
    <row r="340" spans="1:8" ht="15.75" thickTop="1" x14ac:dyDescent="0.25"/>
  </sheetData>
  <sheetProtection sheet="1" objects="1" scenarios="1"/>
  <phoneticPr fontId="0" type="noConversion"/>
  <dataValidations count="1">
    <dataValidation type="list" allowBlank="1" showInputMessage="1" showErrorMessage="1" sqref="E45 E38">
      <formula1>"S1,S2"</formula1>
    </dataValidation>
  </dataValidations>
  <hyperlinks>
    <hyperlink ref="B1" location="'Appendix A'!A1" display="Previous worksheet (Appendix A)"/>
    <hyperlink ref="G1" location="'Appendix C'!A1" display="Next worksheet (Appendix C)"/>
    <hyperlink ref="B313" location="'Appendix A'!A1" display="Previous worksheet (Appendix A)"/>
    <hyperlink ref="G313" location="'Appendix C'!A1" display="Next worksheet (Appendix C)"/>
    <hyperlink ref="B321" location="'S. Setup'!A1" display="Setup"/>
    <hyperlink ref="B322" location="'1. AgeData'!A1" display="AgeData"/>
    <hyperlink ref="B323" location="'2. TaxData'!A1" display="TaxData"/>
    <hyperlink ref="B325" location="'4. PensionData'!A1" display="4. PensionData"/>
    <hyperlink ref="B326" location="'5. SocSecData'!A1" display="5. SocSecData"/>
    <hyperlink ref="B324" location="'3. WorkData'!A1" display="3. WorkData"/>
    <hyperlink ref="B327" location="'6. AnnuityData'!A1" display="AnnuityData"/>
    <hyperlink ref="B328" location="'7. IRAdata'!A1" display="IRAdata"/>
    <hyperlink ref="B329" location="'8. RothData'!A1" display="RothData"/>
    <hyperlink ref="B330" location="'9. SavingsData'!A1" display="SavingsData"/>
    <hyperlink ref="B320" location="'R. Results'!A1" display="Results"/>
    <hyperlink ref="B332" location="'11. CashData'!A1" display="CashData"/>
    <hyperlink ref="B331" location="'10. ExpensesData'!A1" display="ExpensesData"/>
    <hyperlink ref="B333" location="'12. RMDtable'!A1" display="RMDtable"/>
    <hyperlink ref="B318" location="Introduction!A1" display="Introduction"/>
    <hyperlink ref="B338" location="'Appendix D'!A1" display="Appendix D"/>
    <hyperlink ref="B335" location="'Appendix A'!A1" display="Appendix A"/>
    <hyperlink ref="B336" location="'Appendix B'!A1" display="Appendix B"/>
    <hyperlink ref="B337" location="'Appendix C'!A1" display="Appendix C"/>
    <hyperlink ref="B339" location="FAQ!A1" display="FAQ"/>
    <hyperlink ref="B319" location="Assumptions!A1" display="Assumptions"/>
    <hyperlink ref="B334" location="'RS. Resources'!A1" display="Resources"/>
  </hyperlinks>
  <printOptions headings="1" gridLines="1"/>
  <pageMargins left="0.7" right="0.7" top="0.75" bottom="0.75" header="0.3" footer="0.3"/>
  <pageSetup orientation="landscape" horizontalDpi="1200" verticalDpi="1200" r:id="rId1"/>
  <headerFooter>
    <oddHeader>&amp;L&amp;F&amp;C &amp;D &amp;T&amp;R &amp;A &amp;P</oddHead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W262"/>
  <sheetViews>
    <sheetView workbookViewId="0">
      <selection activeCell="B223" sqref="B223"/>
    </sheetView>
  </sheetViews>
  <sheetFormatPr defaultRowHeight="15" x14ac:dyDescent="0.25"/>
  <cols>
    <col min="1" max="1" width="16" customWidth="1"/>
  </cols>
  <sheetData>
    <row r="1" spans="1:12" s="1382" customFormat="1" ht="15.75" x14ac:dyDescent="0.25">
      <c r="B1" s="1383" t="s">
        <v>959</v>
      </c>
      <c r="G1" s="1383" t="s">
        <v>960</v>
      </c>
    </row>
    <row r="2" spans="1:12" s="1382" customFormat="1" ht="15.75" x14ac:dyDescent="0.25">
      <c r="A2" s="1417"/>
      <c r="B2" s="1418"/>
      <c r="C2" s="1417"/>
      <c r="D2" s="1417"/>
      <c r="E2" s="1417"/>
      <c r="F2" s="1417"/>
      <c r="G2" s="1418"/>
      <c r="H2" s="1417"/>
      <c r="I2" s="1417"/>
      <c r="J2" s="1417"/>
      <c r="K2" s="1417"/>
      <c r="L2" s="1417"/>
    </row>
    <row r="4" spans="1:12" ht="18.75" x14ac:dyDescent="0.3">
      <c r="A4" s="94" t="s">
        <v>873</v>
      </c>
    </row>
    <row r="5" spans="1:12" ht="18.75" x14ac:dyDescent="0.3">
      <c r="A5" s="94"/>
    </row>
    <row r="6" spans="1:12" ht="15.75" x14ac:dyDescent="0.25">
      <c r="A6" s="1582" t="s">
        <v>2989</v>
      </c>
    </row>
    <row r="7" spans="1:12" x14ac:dyDescent="0.25">
      <c r="A7" s="1317" t="s">
        <v>3467</v>
      </c>
    </row>
    <row r="8" spans="1:12" x14ac:dyDescent="0.25">
      <c r="A8" s="1317" t="s">
        <v>1028</v>
      </c>
    </row>
    <row r="9" spans="1:12" x14ac:dyDescent="0.25">
      <c r="A9" s="1317" t="s">
        <v>1029</v>
      </c>
      <c r="B9" s="180" t="s">
        <v>1021</v>
      </c>
    </row>
    <row r="10" spans="1:12" ht="15.75" x14ac:dyDescent="0.25">
      <c r="A10" s="1317" t="s">
        <v>2790</v>
      </c>
      <c r="B10" s="180"/>
    </row>
    <row r="11" spans="1:12" ht="14.25" customHeight="1" x14ac:dyDescent="0.25">
      <c r="A11" s="91"/>
    </row>
    <row r="12" spans="1:12" ht="14.25" customHeight="1" x14ac:dyDescent="0.25">
      <c r="A12" s="264" t="s">
        <v>2351</v>
      </c>
      <c r="B12" t="s">
        <v>2369</v>
      </c>
    </row>
    <row r="13" spans="1:12" ht="14.25" customHeight="1" x14ac:dyDescent="0.25">
      <c r="A13" s="91"/>
      <c r="B13" t="s">
        <v>1406</v>
      </c>
    </row>
    <row r="14" spans="1:12" ht="14.25" customHeight="1" x14ac:dyDescent="0.25">
      <c r="A14" s="91"/>
      <c r="B14" t="s">
        <v>1407</v>
      </c>
    </row>
    <row r="15" spans="1:12" ht="14.25" customHeight="1" x14ac:dyDescent="0.25">
      <c r="A15" s="91"/>
      <c r="B15" t="s">
        <v>1408</v>
      </c>
    </row>
    <row r="16" spans="1:12" ht="14.25" customHeight="1" x14ac:dyDescent="0.25">
      <c r="A16" s="91"/>
    </row>
    <row r="17" spans="1:2" x14ac:dyDescent="0.25">
      <c r="A17" s="179" t="s">
        <v>161</v>
      </c>
      <c r="B17" t="s">
        <v>738</v>
      </c>
    </row>
    <row r="18" spans="1:2" x14ac:dyDescent="0.25">
      <c r="B18" t="s">
        <v>1215</v>
      </c>
    </row>
    <row r="19" spans="1:2" x14ac:dyDescent="0.25">
      <c r="B19" t="s">
        <v>739</v>
      </c>
    </row>
    <row r="20" spans="1:2" x14ac:dyDescent="0.25">
      <c r="B20" t="s">
        <v>1003</v>
      </c>
    </row>
    <row r="21" spans="1:2" ht="15.75" x14ac:dyDescent="0.25">
      <c r="B21" t="s">
        <v>2789</v>
      </c>
    </row>
    <row r="23" spans="1:2" x14ac:dyDescent="0.25">
      <c r="A23" s="179" t="s">
        <v>358</v>
      </c>
      <c r="B23" t="s">
        <v>102</v>
      </c>
    </row>
    <row r="24" spans="1:2" x14ac:dyDescent="0.25">
      <c r="A24" s="179"/>
      <c r="B24" t="s">
        <v>740</v>
      </c>
    </row>
    <row r="25" spans="1:2" x14ac:dyDescent="0.25">
      <c r="A25" s="179"/>
      <c r="B25" t="s">
        <v>233</v>
      </c>
    </row>
    <row r="26" spans="1:2" x14ac:dyDescent="0.25">
      <c r="A26" s="179"/>
      <c r="B26" t="s">
        <v>741</v>
      </c>
    </row>
    <row r="27" spans="1:2" x14ac:dyDescent="0.25">
      <c r="A27" s="179"/>
      <c r="B27" t="s">
        <v>1007</v>
      </c>
    </row>
    <row r="28" spans="1:2" ht="15.75" x14ac:dyDescent="0.25">
      <c r="A28" s="179"/>
      <c r="B28" s="6" t="s">
        <v>2788</v>
      </c>
    </row>
    <row r="29" spans="1:2" x14ac:dyDescent="0.25">
      <c r="A29" s="179"/>
    </row>
    <row r="30" spans="1:2" x14ac:dyDescent="0.25">
      <c r="A30" s="1155" t="s">
        <v>994</v>
      </c>
      <c r="B30" t="s">
        <v>996</v>
      </c>
    </row>
    <row r="31" spans="1:2" x14ac:dyDescent="0.25">
      <c r="A31" s="1155"/>
      <c r="B31" t="s">
        <v>997</v>
      </c>
    </row>
    <row r="32" spans="1:2" x14ac:dyDescent="0.25">
      <c r="A32" s="1155"/>
      <c r="B32" t="s">
        <v>998</v>
      </c>
    </row>
    <row r="33" spans="1:7" x14ac:dyDescent="0.25">
      <c r="A33" s="179"/>
      <c r="B33" t="s">
        <v>999</v>
      </c>
    </row>
    <row r="34" spans="1:7" x14ac:dyDescent="0.25">
      <c r="A34" s="179"/>
      <c r="B34" t="s">
        <v>1000</v>
      </c>
    </row>
    <row r="35" spans="1:7" x14ac:dyDescent="0.25">
      <c r="A35" s="179"/>
    </row>
    <row r="36" spans="1:7" ht="30" x14ac:dyDescent="0.25">
      <c r="A36" s="1080" t="s">
        <v>119</v>
      </c>
      <c r="B36" t="s">
        <v>86</v>
      </c>
    </row>
    <row r="37" spans="1:7" x14ac:dyDescent="0.25">
      <c r="A37" s="179"/>
      <c r="B37" t="s">
        <v>87</v>
      </c>
    </row>
    <row r="38" spans="1:7" ht="15.75" x14ac:dyDescent="0.25">
      <c r="A38" s="179"/>
      <c r="B38" t="s">
        <v>2787</v>
      </c>
    </row>
    <row r="39" spans="1:7" x14ac:dyDescent="0.25">
      <c r="A39" s="179"/>
      <c r="B39" t="s">
        <v>120</v>
      </c>
    </row>
    <row r="40" spans="1:7" x14ac:dyDescent="0.25">
      <c r="A40" s="179"/>
    </row>
    <row r="41" spans="1:7" x14ac:dyDescent="0.25">
      <c r="A41" s="179" t="s">
        <v>365</v>
      </c>
      <c r="B41" t="s">
        <v>88</v>
      </c>
    </row>
    <row r="42" spans="1:7" x14ac:dyDescent="0.25">
      <c r="A42" s="179"/>
      <c r="B42" t="s">
        <v>1004</v>
      </c>
    </row>
    <row r="43" spans="1:7" x14ac:dyDescent="0.25">
      <c r="A43" s="179"/>
      <c r="B43" t="s">
        <v>1005</v>
      </c>
    </row>
    <row r="44" spans="1:7" x14ac:dyDescent="0.25">
      <c r="A44" s="179"/>
      <c r="B44" t="s">
        <v>1006</v>
      </c>
      <c r="G44" s="180" t="s">
        <v>366</v>
      </c>
    </row>
    <row r="45" spans="1:7" x14ac:dyDescent="0.25">
      <c r="A45" s="179"/>
    </row>
    <row r="46" spans="1:7" x14ac:dyDescent="0.25">
      <c r="A46" s="179" t="s">
        <v>160</v>
      </c>
      <c r="B46" s="1317" t="s">
        <v>1137</v>
      </c>
    </row>
    <row r="47" spans="1:7" x14ac:dyDescent="0.25">
      <c r="B47" t="s">
        <v>356</v>
      </c>
    </row>
    <row r="49" spans="1:9" x14ac:dyDescent="0.25">
      <c r="A49" s="1155" t="s">
        <v>1001</v>
      </c>
      <c r="B49" t="s">
        <v>2327</v>
      </c>
    </row>
    <row r="50" spans="1:9" x14ac:dyDescent="0.25">
      <c r="B50" t="s">
        <v>1002</v>
      </c>
    </row>
    <row r="52" spans="1:9" x14ac:dyDescent="0.25">
      <c r="A52" s="179" t="s">
        <v>159</v>
      </c>
      <c r="B52" s="1082" t="s">
        <v>99</v>
      </c>
    </row>
    <row r="53" spans="1:9" x14ac:dyDescent="0.25">
      <c r="B53" t="s">
        <v>1216</v>
      </c>
    </row>
    <row r="54" spans="1:9" x14ac:dyDescent="0.25">
      <c r="B54" t="s">
        <v>656</v>
      </c>
      <c r="C54" s="180" t="s">
        <v>370</v>
      </c>
      <c r="I54" s="180"/>
    </row>
    <row r="55" spans="1:9" x14ac:dyDescent="0.25">
      <c r="C55" s="180"/>
      <c r="I55" s="180"/>
    </row>
    <row r="56" spans="1:9" x14ac:dyDescent="0.25">
      <c r="A56" s="121" t="s">
        <v>2937</v>
      </c>
      <c r="B56" t="s">
        <v>2331</v>
      </c>
      <c r="C56" s="180"/>
      <c r="I56" s="180"/>
    </row>
    <row r="57" spans="1:9" x14ac:dyDescent="0.25">
      <c r="A57" s="179"/>
      <c r="B57" t="s">
        <v>2332</v>
      </c>
      <c r="C57" s="180"/>
      <c r="I57" s="180"/>
    </row>
    <row r="58" spans="1:9" x14ac:dyDescent="0.25">
      <c r="A58" s="179"/>
      <c r="B58" t="s">
        <v>2333</v>
      </c>
      <c r="C58" s="180"/>
      <c r="I58" s="180"/>
    </row>
    <row r="59" spans="1:9" x14ac:dyDescent="0.25">
      <c r="A59" s="179"/>
      <c r="B59" t="s">
        <v>2938</v>
      </c>
      <c r="C59" s="180"/>
      <c r="I59" s="180"/>
    </row>
    <row r="60" spans="1:9" ht="15.75" x14ac:dyDescent="0.25">
      <c r="A60" s="179"/>
      <c r="B60" t="s">
        <v>2807</v>
      </c>
      <c r="C60" s="180"/>
      <c r="I60" s="180"/>
    </row>
    <row r="61" spans="1:9" x14ac:dyDescent="0.25">
      <c r="B61" s="180"/>
      <c r="I61" s="180"/>
    </row>
    <row r="62" spans="1:9" ht="15.75" x14ac:dyDescent="0.25">
      <c r="A62" s="222" t="s">
        <v>89</v>
      </c>
      <c r="B62" t="s">
        <v>2785</v>
      </c>
      <c r="I62" s="180"/>
    </row>
    <row r="63" spans="1:9" ht="15.75" x14ac:dyDescent="0.25">
      <c r="B63" s="1317" t="s">
        <v>2786</v>
      </c>
      <c r="I63" s="180"/>
    </row>
    <row r="64" spans="1:9" x14ac:dyDescent="0.25">
      <c r="B64" t="s">
        <v>1217</v>
      </c>
      <c r="I64" s="180"/>
    </row>
    <row r="65" spans="1:10" x14ac:dyDescent="0.25">
      <c r="B65" t="s">
        <v>2939</v>
      </c>
      <c r="I65" s="180"/>
    </row>
    <row r="66" spans="1:10" x14ac:dyDescent="0.25">
      <c r="I66" s="180"/>
    </row>
    <row r="67" spans="1:10" x14ac:dyDescent="0.25">
      <c r="A67" s="1155" t="s">
        <v>991</v>
      </c>
      <c r="B67" t="s">
        <v>992</v>
      </c>
      <c r="I67" s="180"/>
    </row>
    <row r="68" spans="1:10" x14ac:dyDescent="0.25">
      <c r="A68" s="1155"/>
      <c r="B68" t="s">
        <v>993</v>
      </c>
      <c r="I68" s="180"/>
    </row>
    <row r="69" spans="1:10" x14ac:dyDescent="0.25">
      <c r="B69" t="s">
        <v>1218</v>
      </c>
      <c r="I69" s="180"/>
    </row>
    <row r="70" spans="1:10" x14ac:dyDescent="0.25">
      <c r="B70" t="s">
        <v>995</v>
      </c>
      <c r="I70" s="180"/>
    </row>
    <row r="71" spans="1:10" x14ac:dyDescent="0.25">
      <c r="I71" s="180"/>
    </row>
    <row r="72" spans="1:10" x14ac:dyDescent="0.25">
      <c r="A72" s="179" t="s">
        <v>138</v>
      </c>
      <c r="B72" s="1317" t="s">
        <v>1014</v>
      </c>
      <c r="J72" s="180"/>
    </row>
    <row r="73" spans="1:10" x14ac:dyDescent="0.25">
      <c r="A73" s="179"/>
      <c r="B73" t="s">
        <v>1015</v>
      </c>
      <c r="J73" s="180"/>
    </row>
    <row r="74" spans="1:10" x14ac:dyDescent="0.25">
      <c r="A74" s="179"/>
      <c r="J74" s="180"/>
    </row>
    <row r="75" spans="1:10" x14ac:dyDescent="0.25">
      <c r="A75" s="121" t="s">
        <v>1677</v>
      </c>
      <c r="B75" t="s">
        <v>2324</v>
      </c>
      <c r="J75" s="180"/>
    </row>
    <row r="76" spans="1:10" x14ac:dyDescent="0.25">
      <c r="A76" s="179"/>
      <c r="B76" t="s">
        <v>2326</v>
      </c>
      <c r="J76" s="180"/>
    </row>
    <row r="77" spans="1:10" x14ac:dyDescent="0.25">
      <c r="A77" s="179"/>
      <c r="B77" t="s">
        <v>2325</v>
      </c>
      <c r="J77" s="180"/>
    </row>
    <row r="78" spans="1:10" x14ac:dyDescent="0.25">
      <c r="A78" s="179"/>
      <c r="J78" s="180"/>
    </row>
    <row r="79" spans="1:10" x14ac:dyDescent="0.25">
      <c r="A79" s="121" t="s">
        <v>133</v>
      </c>
      <c r="B79" t="s">
        <v>90</v>
      </c>
      <c r="J79" s="180"/>
    </row>
    <row r="80" spans="1:10" ht="15.75" x14ac:dyDescent="0.25">
      <c r="A80" s="121"/>
      <c r="B80" t="s">
        <v>2784</v>
      </c>
      <c r="J80" s="180"/>
    </row>
    <row r="81" spans="1:10" x14ac:dyDescent="0.25">
      <c r="A81" s="121"/>
      <c r="B81" s="831" t="s">
        <v>439</v>
      </c>
      <c r="J81" s="180"/>
    </row>
    <row r="82" spans="1:10" x14ac:dyDescent="0.25">
      <c r="A82" s="121"/>
      <c r="B82" s="1317" t="s">
        <v>1219</v>
      </c>
      <c r="J82" s="180"/>
    </row>
    <row r="83" spans="1:10" x14ac:dyDescent="0.25">
      <c r="A83" s="121"/>
      <c r="B83" s="91"/>
      <c r="J83" s="180"/>
    </row>
    <row r="84" spans="1:10" x14ac:dyDescent="0.25">
      <c r="A84" s="121" t="s">
        <v>2317</v>
      </c>
      <c r="B84" s="1317" t="s">
        <v>2319</v>
      </c>
      <c r="J84" s="180"/>
    </row>
    <row r="85" spans="1:10" x14ac:dyDescent="0.25">
      <c r="A85" s="121"/>
      <c r="B85" s="1317" t="s">
        <v>2320</v>
      </c>
      <c r="J85" s="180"/>
    </row>
    <row r="86" spans="1:10" x14ac:dyDescent="0.25">
      <c r="A86" s="121"/>
      <c r="B86" s="91"/>
      <c r="J86" s="180"/>
    </row>
    <row r="87" spans="1:10" x14ac:dyDescent="0.25">
      <c r="A87" s="121" t="s">
        <v>2318</v>
      </c>
      <c r="B87" s="1317" t="s">
        <v>2321</v>
      </c>
      <c r="J87" s="180"/>
    </row>
    <row r="88" spans="1:10" x14ac:dyDescent="0.25">
      <c r="A88" s="121"/>
      <c r="B88" s="1317" t="s">
        <v>2322</v>
      </c>
      <c r="J88" s="180"/>
    </row>
    <row r="89" spans="1:10" x14ac:dyDescent="0.25">
      <c r="A89" s="121"/>
      <c r="B89" s="1317" t="s">
        <v>2323</v>
      </c>
      <c r="J89" s="180"/>
    </row>
    <row r="90" spans="1:10" x14ac:dyDescent="0.25">
      <c r="A90" s="121"/>
      <c r="B90" s="91"/>
      <c r="J90" s="180"/>
    </row>
    <row r="91" spans="1:10" x14ac:dyDescent="0.25">
      <c r="A91" s="121" t="s">
        <v>438</v>
      </c>
      <c r="B91" s="91" t="s">
        <v>98</v>
      </c>
      <c r="J91" s="180"/>
    </row>
    <row r="92" spans="1:10" x14ac:dyDescent="0.25">
      <c r="A92" s="121"/>
      <c r="B92" s="91" t="s">
        <v>91</v>
      </c>
      <c r="J92" s="180"/>
    </row>
    <row r="93" spans="1:10" ht="15.75" x14ac:dyDescent="0.25">
      <c r="A93" s="121"/>
      <c r="B93" s="1317" t="s">
        <v>2783</v>
      </c>
      <c r="J93" s="180"/>
    </row>
    <row r="94" spans="1:10" ht="15.75" x14ac:dyDescent="0.25">
      <c r="A94" s="121"/>
      <c r="B94" s="1317" t="s">
        <v>2782</v>
      </c>
      <c r="J94" s="180"/>
    </row>
    <row r="95" spans="1:10" x14ac:dyDescent="0.25">
      <c r="J95" s="180"/>
    </row>
    <row r="96" spans="1:10" x14ac:dyDescent="0.25">
      <c r="A96" s="179" t="s">
        <v>355</v>
      </c>
      <c r="B96" t="s">
        <v>92</v>
      </c>
      <c r="J96" s="180"/>
    </row>
    <row r="97" spans="1:10" x14ac:dyDescent="0.25">
      <c r="B97" t="s">
        <v>93</v>
      </c>
      <c r="J97" s="180"/>
    </row>
    <row r="98" spans="1:10" x14ac:dyDescent="0.25">
      <c r="B98" t="s">
        <v>1018</v>
      </c>
      <c r="J98" s="180"/>
    </row>
    <row r="99" spans="1:10" x14ac:dyDescent="0.25">
      <c r="B99" t="s">
        <v>1019</v>
      </c>
      <c r="J99" s="180"/>
    </row>
    <row r="100" spans="1:10" x14ac:dyDescent="0.25">
      <c r="B100" t="s">
        <v>1020</v>
      </c>
      <c r="J100" s="180"/>
    </row>
    <row r="101" spans="1:10" x14ac:dyDescent="0.25">
      <c r="B101" t="s">
        <v>1220</v>
      </c>
      <c r="J101" s="180"/>
    </row>
    <row r="102" spans="1:10" ht="15.75" x14ac:dyDescent="0.25">
      <c r="B102" t="s">
        <v>2781</v>
      </c>
      <c r="J102" s="180"/>
    </row>
    <row r="103" spans="1:10" x14ac:dyDescent="0.25">
      <c r="B103" t="s">
        <v>234</v>
      </c>
      <c r="E103" s="181" t="s">
        <v>48</v>
      </c>
      <c r="J103" s="180"/>
    </row>
    <row r="104" spans="1:10" x14ac:dyDescent="0.25">
      <c r="F104" s="181"/>
      <c r="J104" s="180"/>
    </row>
    <row r="105" spans="1:10" ht="15.75" x14ac:dyDescent="0.25">
      <c r="A105" s="121" t="s">
        <v>334</v>
      </c>
      <c r="B105" t="s">
        <v>2940</v>
      </c>
      <c r="G105" s="181"/>
      <c r="J105" s="180"/>
    </row>
    <row r="106" spans="1:10" ht="15.75" x14ac:dyDescent="0.25">
      <c r="A106" s="121"/>
      <c r="B106" t="s">
        <v>2780</v>
      </c>
      <c r="G106" s="181"/>
      <c r="J106" s="180"/>
    </row>
    <row r="107" spans="1:10" x14ac:dyDescent="0.25">
      <c r="A107" s="121"/>
      <c r="B107" t="s">
        <v>261</v>
      </c>
      <c r="G107" s="181"/>
      <c r="J107" s="180"/>
    </row>
    <row r="108" spans="1:10" x14ac:dyDescent="0.25">
      <c r="A108" s="121"/>
      <c r="B108" t="s">
        <v>1023</v>
      </c>
      <c r="G108" s="181"/>
      <c r="J108" s="180"/>
    </row>
    <row r="109" spans="1:10" x14ac:dyDescent="0.25">
      <c r="A109" s="121"/>
      <c r="G109" s="181"/>
      <c r="J109" s="180"/>
    </row>
    <row r="110" spans="1:10" x14ac:dyDescent="0.25">
      <c r="A110" s="121" t="s">
        <v>1008</v>
      </c>
      <c r="B110" t="s">
        <v>1009</v>
      </c>
      <c r="G110" s="181"/>
      <c r="J110" s="180"/>
    </row>
    <row r="111" spans="1:10" x14ac:dyDescent="0.25">
      <c r="A111" s="121"/>
      <c r="B111" t="s">
        <v>1010</v>
      </c>
      <c r="G111" s="181"/>
      <c r="J111" s="180"/>
    </row>
    <row r="112" spans="1:10" x14ac:dyDescent="0.25">
      <c r="A112" s="121"/>
      <c r="G112" s="181"/>
      <c r="J112" s="180"/>
    </row>
    <row r="113" spans="1:10" x14ac:dyDescent="0.25">
      <c r="A113" s="339" t="s">
        <v>650</v>
      </c>
      <c r="B113" s="501" t="s">
        <v>235</v>
      </c>
      <c r="C113" s="501"/>
      <c r="D113" s="501"/>
      <c r="E113" s="501"/>
      <c r="F113" s="501"/>
      <c r="G113" s="984"/>
      <c r="H113" s="501"/>
      <c r="I113" s="501"/>
      <c r="J113" s="501"/>
    </row>
    <row r="114" spans="1:10" x14ac:dyDescent="0.25">
      <c r="A114" s="339"/>
      <c r="B114" s="501" t="s">
        <v>928</v>
      </c>
      <c r="C114" s="501"/>
      <c r="D114" s="501"/>
      <c r="E114" s="501"/>
      <c r="F114" s="501"/>
      <c r="G114" s="984"/>
      <c r="H114" s="501"/>
      <c r="I114" s="501"/>
      <c r="J114" s="501"/>
    </row>
    <row r="115" spans="1:10" x14ac:dyDescent="0.25">
      <c r="A115" s="121"/>
      <c r="G115" s="181"/>
      <c r="J115" s="180"/>
    </row>
    <row r="116" spans="1:10" x14ac:dyDescent="0.25">
      <c r="A116" s="1" t="s">
        <v>2941</v>
      </c>
      <c r="B116" t="s">
        <v>2334</v>
      </c>
      <c r="G116" s="181"/>
      <c r="J116" s="180"/>
    </row>
    <row r="117" spans="1:10" x14ac:dyDescent="0.25">
      <c r="A117" s="121"/>
      <c r="B117" t="s">
        <v>575</v>
      </c>
      <c r="G117" s="181"/>
      <c r="J117" s="180"/>
    </row>
    <row r="118" spans="1:10" x14ac:dyDescent="0.25">
      <c r="A118" s="121"/>
      <c r="B118" t="s">
        <v>1022</v>
      </c>
      <c r="G118" s="181"/>
      <c r="J118" s="180"/>
    </row>
    <row r="119" spans="1:10" x14ac:dyDescent="0.25">
      <c r="A119" s="121"/>
      <c r="B119" t="s">
        <v>2336</v>
      </c>
      <c r="G119" s="181"/>
      <c r="J119" s="180"/>
    </row>
    <row r="120" spans="1:10" x14ac:dyDescent="0.25">
      <c r="A120" s="121"/>
      <c r="G120" s="181"/>
      <c r="J120" s="180"/>
    </row>
    <row r="121" spans="1:10" ht="30" x14ac:dyDescent="0.25">
      <c r="A121" s="264" t="s">
        <v>2942</v>
      </c>
      <c r="B121" t="s">
        <v>2335</v>
      </c>
      <c r="G121" s="181"/>
      <c r="J121" s="180"/>
    </row>
    <row r="122" spans="1:10" x14ac:dyDescent="0.25">
      <c r="A122" s="121"/>
      <c r="B122" t="s">
        <v>2337</v>
      </c>
      <c r="G122" s="181"/>
      <c r="J122" s="180"/>
    </row>
    <row r="123" spans="1:10" x14ac:dyDescent="0.25">
      <c r="A123" s="121"/>
      <c r="B123" t="s">
        <v>2338</v>
      </c>
      <c r="G123" s="181"/>
      <c r="J123" s="180"/>
    </row>
    <row r="124" spans="1:10" x14ac:dyDescent="0.25">
      <c r="A124" s="121"/>
      <c r="G124" s="181"/>
      <c r="J124" s="180"/>
    </row>
    <row r="125" spans="1:10" x14ac:dyDescent="0.25">
      <c r="A125" s="179" t="s">
        <v>351</v>
      </c>
      <c r="B125" t="s">
        <v>94</v>
      </c>
    </row>
    <row r="126" spans="1:10" x14ac:dyDescent="0.25">
      <c r="A126" s="179"/>
      <c r="B126" t="s">
        <v>2943</v>
      </c>
    </row>
    <row r="127" spans="1:10" x14ac:dyDescent="0.25">
      <c r="A127" s="179"/>
      <c r="B127" t="s">
        <v>284</v>
      </c>
    </row>
    <row r="128" spans="1:10" ht="15.75" x14ac:dyDescent="0.25">
      <c r="A128" s="179"/>
      <c r="B128" t="s">
        <v>2808</v>
      </c>
    </row>
    <row r="129" spans="1:8" x14ac:dyDescent="0.25">
      <c r="A129" s="179"/>
    </row>
    <row r="130" spans="1:8" x14ac:dyDescent="0.25">
      <c r="A130" s="179" t="s">
        <v>359</v>
      </c>
      <c r="B130" t="s">
        <v>95</v>
      </c>
    </row>
    <row r="131" spans="1:8" x14ac:dyDescent="0.25">
      <c r="A131" s="179"/>
      <c r="B131" t="s">
        <v>440</v>
      </c>
    </row>
    <row r="132" spans="1:8" x14ac:dyDescent="0.25">
      <c r="A132" s="179"/>
      <c r="B132" t="s">
        <v>1016</v>
      </c>
    </row>
    <row r="133" spans="1:8" x14ac:dyDescent="0.25">
      <c r="A133" s="179"/>
      <c r="B133" t="s">
        <v>1017</v>
      </c>
    </row>
    <row r="134" spans="1:8" x14ac:dyDescent="0.25">
      <c r="A134" s="179"/>
      <c r="B134" s="985"/>
      <c r="C134" s="985"/>
      <c r="D134" s="985"/>
      <c r="E134" s="986"/>
      <c r="F134" s="985"/>
      <c r="G134" s="985"/>
      <c r="H134" s="985"/>
    </row>
    <row r="135" spans="1:8" x14ac:dyDescent="0.25">
      <c r="A135" s="179" t="s">
        <v>137</v>
      </c>
      <c r="B135" s="1082" t="s">
        <v>101</v>
      </c>
    </row>
    <row r="136" spans="1:8" x14ac:dyDescent="0.25">
      <c r="A136" s="179"/>
      <c r="B136" t="s">
        <v>1030</v>
      </c>
    </row>
    <row r="137" spans="1:8" x14ac:dyDescent="0.25">
      <c r="A137" s="179"/>
      <c r="B137" t="s">
        <v>1031</v>
      </c>
    </row>
    <row r="138" spans="1:8" x14ac:dyDescent="0.25">
      <c r="A138" s="179"/>
    </row>
    <row r="139" spans="1:8" ht="30" x14ac:dyDescent="0.25">
      <c r="A139" s="264" t="s">
        <v>493</v>
      </c>
      <c r="B139" t="s">
        <v>2944</v>
      </c>
    </row>
    <row r="140" spans="1:8" x14ac:dyDescent="0.25">
      <c r="A140" s="179"/>
      <c r="B140" t="s">
        <v>236</v>
      </c>
    </row>
    <row r="141" spans="1:8" x14ac:dyDescent="0.25">
      <c r="A141" s="179"/>
      <c r="B141" t="s">
        <v>237</v>
      </c>
    </row>
    <row r="142" spans="1:8" x14ac:dyDescent="0.25">
      <c r="A142" s="179"/>
      <c r="B142" t="s">
        <v>524</v>
      </c>
    </row>
    <row r="143" spans="1:8" ht="15.75" x14ac:dyDescent="0.25">
      <c r="A143" s="179"/>
      <c r="B143" t="s">
        <v>1222</v>
      </c>
    </row>
    <row r="144" spans="1:8" x14ac:dyDescent="0.25">
      <c r="A144" s="179"/>
    </row>
    <row r="145" spans="1:9" x14ac:dyDescent="0.25">
      <c r="A145" s="179" t="s">
        <v>360</v>
      </c>
      <c r="B145" t="s">
        <v>96</v>
      </c>
    </row>
    <row r="146" spans="1:9" x14ac:dyDescent="0.25">
      <c r="A146" s="179"/>
      <c r="B146" t="s">
        <v>239</v>
      </c>
    </row>
    <row r="147" spans="1:9" x14ac:dyDescent="0.25">
      <c r="A147" s="179"/>
      <c r="B147" t="s">
        <v>1223</v>
      </c>
      <c r="H147" s="83" t="s">
        <v>48</v>
      </c>
    </row>
    <row r="148" spans="1:9" x14ac:dyDescent="0.25">
      <c r="A148" s="179"/>
    </row>
    <row r="149" spans="1:9" x14ac:dyDescent="0.25">
      <c r="A149" s="179" t="s">
        <v>354</v>
      </c>
      <c r="B149" s="67" t="s">
        <v>2770</v>
      </c>
    </row>
    <row r="150" spans="1:9" x14ac:dyDescent="0.25">
      <c r="A150" s="179"/>
      <c r="B150" s="67" t="s">
        <v>2771</v>
      </c>
    </row>
    <row r="151" spans="1:9" ht="15.75" x14ac:dyDescent="0.25">
      <c r="A151" s="179"/>
      <c r="B151" t="s">
        <v>2772</v>
      </c>
    </row>
    <row r="152" spans="1:9" x14ac:dyDescent="0.25">
      <c r="A152" s="179"/>
    </row>
    <row r="153" spans="1:9" x14ac:dyDescent="0.25">
      <c r="A153" s="179" t="s">
        <v>353</v>
      </c>
      <c r="B153" t="s">
        <v>97</v>
      </c>
    </row>
    <row r="154" spans="1:9" x14ac:dyDescent="0.25">
      <c r="A154" s="179"/>
      <c r="B154" t="s">
        <v>1040</v>
      </c>
    </row>
    <row r="155" spans="1:9" ht="15.75" x14ac:dyDescent="0.25">
      <c r="A155" s="179"/>
      <c r="B155" t="s">
        <v>1224</v>
      </c>
    </row>
    <row r="156" spans="1:9" x14ac:dyDescent="0.25">
      <c r="A156" s="179"/>
    </row>
    <row r="157" spans="1:9" x14ac:dyDescent="0.25">
      <c r="A157" s="179" t="s">
        <v>361</v>
      </c>
      <c r="B157" t="s">
        <v>929</v>
      </c>
    </row>
    <row r="158" spans="1:9" x14ac:dyDescent="0.25">
      <c r="A158" s="179"/>
      <c r="B158" t="s">
        <v>238</v>
      </c>
    </row>
    <row r="159" spans="1:9" x14ac:dyDescent="0.25">
      <c r="A159" s="179"/>
      <c r="B159" s="1638" t="s">
        <v>2949</v>
      </c>
      <c r="I159" s="63"/>
    </row>
    <row r="160" spans="1:9" x14ac:dyDescent="0.25">
      <c r="A160" s="179"/>
      <c r="B160" s="1638" t="s">
        <v>2954</v>
      </c>
      <c r="I160" s="63"/>
    </row>
    <row r="161" spans="1:10" x14ac:dyDescent="0.25">
      <c r="A161" s="179"/>
      <c r="B161" s="165" t="s">
        <v>2950</v>
      </c>
      <c r="H161" t="s">
        <v>2952</v>
      </c>
      <c r="I161" s="63"/>
    </row>
    <row r="162" spans="1:10" x14ac:dyDescent="0.25">
      <c r="A162" s="179"/>
      <c r="B162" s="165" t="s">
        <v>2953</v>
      </c>
      <c r="D162" s="985"/>
      <c r="E162" s="986"/>
      <c r="F162" s="985"/>
      <c r="G162" s="985"/>
      <c r="H162" s="2" t="s">
        <v>2951</v>
      </c>
    </row>
    <row r="163" spans="1:10" x14ac:dyDescent="0.25">
      <c r="A163" s="179"/>
    </row>
    <row r="164" spans="1:10" x14ac:dyDescent="0.25">
      <c r="A164" s="121" t="s">
        <v>492</v>
      </c>
      <c r="B164" t="s">
        <v>241</v>
      </c>
    </row>
    <row r="165" spans="1:10" x14ac:dyDescent="0.25">
      <c r="A165" s="179"/>
      <c r="B165" t="s">
        <v>240</v>
      </c>
    </row>
    <row r="166" spans="1:10" x14ac:dyDescent="0.25">
      <c r="A166" s="179"/>
    </row>
    <row r="167" spans="1:10" x14ac:dyDescent="0.25">
      <c r="A167" s="121" t="s">
        <v>1011</v>
      </c>
      <c r="B167" t="s">
        <v>1012</v>
      </c>
    </row>
    <row r="168" spans="1:10" x14ac:dyDescent="0.25">
      <c r="A168" s="121"/>
      <c r="B168" t="s">
        <v>1013</v>
      </c>
    </row>
    <row r="169" spans="1:10" x14ac:dyDescent="0.25">
      <c r="A169" s="179"/>
    </row>
    <row r="170" spans="1:10" x14ac:dyDescent="0.25">
      <c r="A170" s="179" t="s">
        <v>357</v>
      </c>
      <c r="B170" t="s">
        <v>685</v>
      </c>
    </row>
    <row r="171" spans="1:10" x14ac:dyDescent="0.25">
      <c r="A171" s="179"/>
      <c r="B171" t="s">
        <v>488</v>
      </c>
    </row>
    <row r="172" spans="1:10" ht="15.75" x14ac:dyDescent="0.25">
      <c r="A172" s="179"/>
      <c r="B172" s="180" t="s">
        <v>364</v>
      </c>
      <c r="D172" t="s">
        <v>2809</v>
      </c>
      <c r="J172" s="180"/>
    </row>
    <row r="173" spans="1:10" x14ac:dyDescent="0.25">
      <c r="A173" s="179"/>
    </row>
    <row r="174" spans="1:10" x14ac:dyDescent="0.25">
      <c r="A174" s="121" t="s">
        <v>1037</v>
      </c>
      <c r="B174" t="s">
        <v>1038</v>
      </c>
    </row>
    <row r="175" spans="1:10" x14ac:dyDescent="0.25">
      <c r="A175" s="179"/>
      <c r="B175" t="s">
        <v>1039</v>
      </c>
    </row>
    <row r="176" spans="1:10" x14ac:dyDescent="0.25">
      <c r="A176" s="179"/>
    </row>
    <row r="177" spans="1:23" x14ac:dyDescent="0.25">
      <c r="A177" s="121" t="s">
        <v>1032</v>
      </c>
      <c r="B177" t="s">
        <v>1033</v>
      </c>
    </row>
    <row r="178" spans="1:23" x14ac:dyDescent="0.25">
      <c r="A178" s="179"/>
      <c r="B178" t="s">
        <v>1034</v>
      </c>
    </row>
    <row r="179" spans="1:23" x14ac:dyDescent="0.25">
      <c r="A179" s="179"/>
      <c r="B179" t="s">
        <v>1035</v>
      </c>
    </row>
    <row r="180" spans="1:23" x14ac:dyDescent="0.25">
      <c r="A180" s="179"/>
      <c r="B180" t="s">
        <v>1036</v>
      </c>
    </row>
    <row r="181" spans="1:23" x14ac:dyDescent="0.25">
      <c r="A181" s="179"/>
    </row>
    <row r="182" spans="1:23" x14ac:dyDescent="0.25">
      <c r="A182" s="121" t="s">
        <v>1871</v>
      </c>
      <c r="B182" t="s">
        <v>2330</v>
      </c>
    </row>
    <row r="183" spans="1:23" x14ac:dyDescent="0.25">
      <c r="A183" s="121"/>
      <c r="B183" s="67" t="s">
        <v>3039</v>
      </c>
    </row>
    <row r="184" spans="1:23" x14ac:dyDescent="0.25">
      <c r="A184" s="179"/>
      <c r="B184" t="s">
        <v>2388</v>
      </c>
      <c r="O184" s="1317"/>
      <c r="P184" s="17"/>
      <c r="Q184" s="17"/>
      <c r="R184" s="25"/>
      <c r="S184" s="24"/>
      <c r="T184" s="6"/>
      <c r="U184" s="6"/>
      <c r="V184" s="6"/>
      <c r="W184" s="6"/>
    </row>
    <row r="185" spans="1:23" x14ac:dyDescent="0.25">
      <c r="A185" s="179"/>
      <c r="B185" s="67" t="s">
        <v>3040</v>
      </c>
      <c r="P185" s="17"/>
      <c r="Q185" s="17"/>
      <c r="R185" s="25"/>
      <c r="S185" s="24"/>
      <c r="T185" s="6"/>
      <c r="U185" s="6"/>
      <c r="V185" s="6"/>
      <c r="W185" s="6"/>
    </row>
    <row r="186" spans="1:23" x14ac:dyDescent="0.25">
      <c r="A186" s="179"/>
      <c r="B186" s="67" t="s">
        <v>3041</v>
      </c>
      <c r="P186" s="17"/>
      <c r="R186" s="25"/>
      <c r="S186" s="24"/>
      <c r="T186" s="6"/>
      <c r="U186" s="6"/>
      <c r="V186" s="6"/>
      <c r="W186" s="6"/>
    </row>
    <row r="187" spans="1:23" x14ac:dyDescent="0.25">
      <c r="A187" s="179"/>
      <c r="B187" s="67"/>
      <c r="P187" s="17"/>
      <c r="R187" s="25"/>
      <c r="S187" s="24"/>
      <c r="T187" s="6"/>
      <c r="U187" s="6"/>
      <c r="V187" s="6"/>
      <c r="W187" s="6"/>
    </row>
    <row r="188" spans="1:23" x14ac:dyDescent="0.25">
      <c r="A188" s="179"/>
      <c r="P188" s="17"/>
      <c r="R188" s="25"/>
      <c r="S188" s="24"/>
      <c r="T188" s="6"/>
      <c r="U188" s="6"/>
      <c r="V188" s="6"/>
      <c r="W188" s="6"/>
    </row>
    <row r="189" spans="1:23" x14ac:dyDescent="0.25">
      <c r="A189" s="179"/>
      <c r="P189" s="17"/>
      <c r="R189" s="25"/>
      <c r="S189" s="24"/>
      <c r="T189" s="6"/>
      <c r="U189" s="6"/>
      <c r="V189" s="6"/>
      <c r="W189" s="6"/>
    </row>
    <row r="190" spans="1:23" x14ac:dyDescent="0.25">
      <c r="A190" s="179"/>
      <c r="P190" s="17"/>
      <c r="R190" s="25"/>
      <c r="S190" s="24"/>
      <c r="T190" s="6"/>
      <c r="U190" s="6"/>
      <c r="V190" s="6"/>
      <c r="W190" s="6"/>
    </row>
    <row r="191" spans="1:23" x14ac:dyDescent="0.25">
      <c r="A191" s="179"/>
      <c r="P191" s="17"/>
      <c r="R191" s="25"/>
      <c r="S191" s="24"/>
      <c r="T191" s="6"/>
      <c r="U191" s="6"/>
      <c r="V191" s="6"/>
      <c r="W191" s="6"/>
    </row>
    <row r="192" spans="1:23" x14ac:dyDescent="0.25">
      <c r="A192" s="179"/>
      <c r="P192" s="17"/>
      <c r="R192" s="25"/>
      <c r="S192" s="24"/>
      <c r="T192" s="6"/>
      <c r="U192" s="6"/>
      <c r="V192" s="6"/>
      <c r="W192" s="6"/>
    </row>
    <row r="193" spans="1:2" x14ac:dyDescent="0.25">
      <c r="A193" s="121" t="s">
        <v>350</v>
      </c>
      <c r="B193" t="s">
        <v>2945</v>
      </c>
    </row>
    <row r="194" spans="1:2" x14ac:dyDescent="0.25">
      <c r="A194" s="121"/>
    </row>
    <row r="195" spans="1:2" ht="30" x14ac:dyDescent="0.25">
      <c r="A195" s="264" t="s">
        <v>2946</v>
      </c>
      <c r="B195" s="1370" t="s">
        <v>2947</v>
      </c>
    </row>
    <row r="196" spans="1:2" x14ac:dyDescent="0.25">
      <c r="A196" s="121"/>
      <c r="B196" t="s">
        <v>2761</v>
      </c>
    </row>
    <row r="197" spans="1:2" x14ac:dyDescent="0.25">
      <c r="A197" s="121"/>
      <c r="B197" t="s">
        <v>2948</v>
      </c>
    </row>
    <row r="198" spans="1:2" x14ac:dyDescent="0.25">
      <c r="A198" s="179"/>
    </row>
    <row r="199" spans="1:2" s="6" customFormat="1" x14ac:dyDescent="0.25">
      <c r="A199" s="223" t="s">
        <v>491</v>
      </c>
      <c r="B199" s="6" t="s">
        <v>1041</v>
      </c>
    </row>
    <row r="200" spans="1:2" x14ac:dyDescent="0.25">
      <c r="A200" s="179"/>
      <c r="B200" t="s">
        <v>1042</v>
      </c>
    </row>
    <row r="201" spans="1:2" x14ac:dyDescent="0.25">
      <c r="A201" s="179"/>
      <c r="B201" t="s">
        <v>1043</v>
      </c>
    </row>
    <row r="202" spans="1:2" x14ac:dyDescent="0.25">
      <c r="A202" s="179"/>
    </row>
    <row r="203" spans="1:2" x14ac:dyDescent="0.25">
      <c r="A203" s="179" t="s">
        <v>341</v>
      </c>
      <c r="B203" t="s">
        <v>1044</v>
      </c>
    </row>
    <row r="204" spans="1:2" x14ac:dyDescent="0.25">
      <c r="A204" s="179"/>
      <c r="B204" t="s">
        <v>1221</v>
      </c>
    </row>
    <row r="205" spans="1:2" ht="15.75" x14ac:dyDescent="0.25">
      <c r="A205" s="179"/>
      <c r="B205" t="s">
        <v>2779</v>
      </c>
    </row>
    <row r="206" spans="1:2" x14ac:dyDescent="0.25">
      <c r="A206" s="179"/>
    </row>
    <row r="207" spans="1:2" x14ac:dyDescent="0.25">
      <c r="A207" s="179" t="s">
        <v>573</v>
      </c>
      <c r="B207" t="s">
        <v>100</v>
      </c>
    </row>
    <row r="208" spans="1:2" x14ac:dyDescent="0.25">
      <c r="A208" s="179"/>
      <c r="B208" t="s">
        <v>244</v>
      </c>
    </row>
    <row r="209" spans="1:2" x14ac:dyDescent="0.25">
      <c r="A209" s="179"/>
      <c r="B209" t="s">
        <v>245</v>
      </c>
    </row>
    <row r="210" spans="1:2" x14ac:dyDescent="0.25">
      <c r="A210" s="179"/>
    </row>
    <row r="211" spans="1:2" x14ac:dyDescent="0.25">
      <c r="A211" s="179" t="s">
        <v>574</v>
      </c>
      <c r="B211" t="s">
        <v>1045</v>
      </c>
    </row>
    <row r="212" spans="1:2" x14ac:dyDescent="0.25">
      <c r="A212" s="179"/>
      <c r="B212" t="s">
        <v>1046</v>
      </c>
    </row>
    <row r="213" spans="1:2" x14ac:dyDescent="0.25">
      <c r="A213" s="179"/>
      <c r="B213" t="s">
        <v>1047</v>
      </c>
    </row>
    <row r="214" spans="1:2" x14ac:dyDescent="0.25">
      <c r="A214" s="179"/>
      <c r="B214" t="s">
        <v>1048</v>
      </c>
    </row>
    <row r="215" spans="1:2" x14ac:dyDescent="0.25">
      <c r="A215" s="179"/>
      <c r="B215" s="180" t="s">
        <v>243</v>
      </c>
    </row>
    <row r="216" spans="1:2" x14ac:dyDescent="0.25">
      <c r="A216" s="179"/>
    </row>
    <row r="217" spans="1:2" x14ac:dyDescent="0.25">
      <c r="A217" s="179" t="s">
        <v>352</v>
      </c>
      <c r="B217" t="s">
        <v>2774</v>
      </c>
    </row>
    <row r="218" spans="1:2" x14ac:dyDescent="0.25">
      <c r="B218" t="s">
        <v>2775</v>
      </c>
    </row>
    <row r="219" spans="1:2" ht="15.75" x14ac:dyDescent="0.25">
      <c r="B219" t="s">
        <v>2776</v>
      </c>
    </row>
    <row r="221" spans="1:2" x14ac:dyDescent="0.25">
      <c r="A221" s="121" t="s">
        <v>1795</v>
      </c>
      <c r="B221" s="67" t="s">
        <v>2777</v>
      </c>
    </row>
    <row r="222" spans="1:2" x14ac:dyDescent="0.25">
      <c r="B222" t="s">
        <v>3578</v>
      </c>
    </row>
    <row r="223" spans="1:2" x14ac:dyDescent="0.25">
      <c r="B223" t="s">
        <v>3577</v>
      </c>
    </row>
    <row r="224" spans="1:2" ht="15.75" x14ac:dyDescent="0.25">
      <c r="B224" t="s">
        <v>2778</v>
      </c>
    </row>
    <row r="226" spans="1:8" x14ac:dyDescent="0.25">
      <c r="A226" s="121" t="s">
        <v>2762</v>
      </c>
      <c r="B226" t="s">
        <v>2764</v>
      </c>
    </row>
    <row r="227" spans="1:8" x14ac:dyDescent="0.25">
      <c r="B227" t="s">
        <v>2765</v>
      </c>
    </row>
    <row r="228" spans="1:8" x14ac:dyDescent="0.25">
      <c r="B228" t="s">
        <v>2766</v>
      </c>
    </row>
    <row r="229" spans="1:8" ht="15.75" x14ac:dyDescent="0.25">
      <c r="B229" t="s">
        <v>2773</v>
      </c>
    </row>
    <row r="231" spans="1:8" x14ac:dyDescent="0.25">
      <c r="A231" s="121" t="s">
        <v>2763</v>
      </c>
      <c r="B231" t="s">
        <v>2767</v>
      </c>
    </row>
    <row r="232" spans="1:8" x14ac:dyDescent="0.25">
      <c r="A232" s="121"/>
      <c r="B232" t="s">
        <v>2768</v>
      </c>
    </row>
    <row r="233" spans="1:8" x14ac:dyDescent="0.25">
      <c r="A233" s="121"/>
      <c r="B233" t="s">
        <v>2769</v>
      </c>
    </row>
    <row r="234" spans="1:8" ht="15.75" x14ac:dyDescent="0.25">
      <c r="B234" t="s">
        <v>2773</v>
      </c>
    </row>
    <row r="236" spans="1:8" s="1382" customFormat="1" ht="15.75" x14ac:dyDescent="0.25">
      <c r="B236" s="1383" t="s">
        <v>959</v>
      </c>
      <c r="G236" s="1383" t="s">
        <v>960</v>
      </c>
    </row>
    <row r="237" spans="1:8" s="1382" customFormat="1" ht="16.5" thickBot="1" x14ac:dyDescent="0.3">
      <c r="B237" s="1383"/>
      <c r="G237" s="1383"/>
    </row>
    <row r="238" spans="1:8" ht="19.5" thickTop="1" x14ac:dyDescent="0.3">
      <c r="A238" s="960" t="s">
        <v>486</v>
      </c>
      <c r="B238" s="946"/>
      <c r="C238" s="946"/>
      <c r="D238" s="947"/>
      <c r="E238" s="947"/>
      <c r="F238" s="946"/>
      <c r="G238" s="946"/>
      <c r="H238" s="949"/>
    </row>
    <row r="239" spans="1:8" ht="15.75" x14ac:dyDescent="0.25">
      <c r="A239" s="964" t="s">
        <v>736</v>
      </c>
      <c r="B239" s="944"/>
      <c r="C239" s="944"/>
      <c r="D239" s="945"/>
      <c r="E239" s="945"/>
      <c r="F239" s="944"/>
      <c r="G239" s="944"/>
      <c r="H239" s="950"/>
    </row>
    <row r="240" spans="1:8" x14ac:dyDescent="0.25">
      <c r="A240" s="1054"/>
      <c r="B240" s="943" t="s">
        <v>326</v>
      </c>
      <c r="C240" s="945"/>
      <c r="D240" s="945"/>
      <c r="E240" s="945"/>
      <c r="F240" s="944"/>
      <c r="G240" s="944"/>
      <c r="H240" s="950"/>
    </row>
    <row r="241" spans="1:8" x14ac:dyDescent="0.25">
      <c r="A241" s="1054"/>
      <c r="B241" s="1356" t="s">
        <v>870</v>
      </c>
      <c r="C241" s="1357"/>
      <c r="D241" s="1357"/>
      <c r="E241" s="945"/>
      <c r="F241" s="944"/>
      <c r="G241" s="944"/>
      <c r="H241" s="950"/>
    </row>
    <row r="242" spans="1:8" x14ac:dyDescent="0.25">
      <c r="A242" s="1054"/>
      <c r="B242" s="942" t="s">
        <v>1103</v>
      </c>
      <c r="C242" s="945"/>
      <c r="D242" s="945"/>
      <c r="E242" s="945"/>
      <c r="F242" s="944"/>
      <c r="G242" s="944"/>
      <c r="H242" s="950"/>
    </row>
    <row r="243" spans="1:8" x14ac:dyDescent="0.25">
      <c r="A243" s="1054" t="s">
        <v>154</v>
      </c>
      <c r="B243" s="942" t="s">
        <v>1104</v>
      </c>
      <c r="C243" s="945"/>
      <c r="D243" s="945"/>
      <c r="E243" s="945"/>
      <c r="F243" s="944"/>
      <c r="G243" s="944"/>
      <c r="H243" s="950"/>
    </row>
    <row r="244" spans="1:8" x14ac:dyDescent="0.25">
      <c r="A244" s="1054"/>
      <c r="B244" s="942" t="s">
        <v>1105</v>
      </c>
      <c r="C244" s="945"/>
      <c r="D244" s="945"/>
      <c r="E244" s="945"/>
      <c r="F244" s="944"/>
      <c r="G244" s="944"/>
      <c r="H244" s="950"/>
    </row>
    <row r="245" spans="1:8" x14ac:dyDescent="0.25">
      <c r="A245" s="1890"/>
      <c r="B245" s="942" t="s">
        <v>1106</v>
      </c>
      <c r="C245" s="1019"/>
      <c r="D245" s="945"/>
      <c r="E245" s="945"/>
      <c r="F245" s="944"/>
      <c r="G245" s="944"/>
      <c r="H245" s="950"/>
    </row>
    <row r="246" spans="1:8" x14ac:dyDescent="0.25">
      <c r="A246" s="1890"/>
      <c r="B246" s="942" t="s">
        <v>1449</v>
      </c>
      <c r="C246" s="1019"/>
      <c r="D246" s="945"/>
      <c r="E246" s="945"/>
      <c r="F246" s="944"/>
      <c r="G246" s="944"/>
      <c r="H246" s="950"/>
    </row>
    <row r="247" spans="1:8" x14ac:dyDescent="0.25">
      <c r="A247" s="1890"/>
      <c r="B247" s="942" t="s">
        <v>1462</v>
      </c>
      <c r="C247" s="1019"/>
      <c r="D247" s="945"/>
      <c r="E247" s="945"/>
      <c r="F247" s="944"/>
      <c r="G247" s="944"/>
      <c r="H247" s="950"/>
    </row>
    <row r="248" spans="1:8" x14ac:dyDescent="0.25">
      <c r="A248" s="1890"/>
      <c r="B248" s="942" t="s">
        <v>1450</v>
      </c>
      <c r="C248" s="1019"/>
      <c r="D248" s="945"/>
      <c r="E248" s="945"/>
      <c r="F248" s="944"/>
      <c r="G248" s="944"/>
      <c r="H248" s="950"/>
    </row>
    <row r="249" spans="1:8" x14ac:dyDescent="0.25">
      <c r="A249" s="1890"/>
      <c r="B249" s="942" t="s">
        <v>1107</v>
      </c>
      <c r="C249" s="1019"/>
      <c r="D249" s="945"/>
      <c r="E249" s="945"/>
      <c r="F249" s="944"/>
      <c r="G249" s="944"/>
      <c r="H249" s="950"/>
    </row>
    <row r="250" spans="1:8" x14ac:dyDescent="0.25">
      <c r="A250" s="1890"/>
      <c r="B250" s="943" t="s">
        <v>1108</v>
      </c>
      <c r="C250" s="1019"/>
      <c r="D250" s="945"/>
      <c r="E250" s="945"/>
      <c r="F250" s="944"/>
      <c r="G250" s="944"/>
      <c r="H250" s="950"/>
    </row>
    <row r="251" spans="1:8" x14ac:dyDescent="0.25">
      <c r="A251" s="1890"/>
      <c r="B251" s="943" t="s">
        <v>1100</v>
      </c>
      <c r="C251" s="1019"/>
      <c r="D251" s="945"/>
      <c r="E251" s="945"/>
      <c r="F251" s="944"/>
      <c r="G251" s="944"/>
      <c r="H251" s="950"/>
    </row>
    <row r="252" spans="1:8" x14ac:dyDescent="0.25">
      <c r="A252" s="1054"/>
      <c r="B252" s="943" t="s">
        <v>1099</v>
      </c>
      <c r="C252" s="945"/>
      <c r="D252" s="945"/>
      <c r="E252" s="945"/>
      <c r="F252" s="944"/>
      <c r="G252" s="944"/>
      <c r="H252" s="950"/>
    </row>
    <row r="253" spans="1:8" x14ac:dyDescent="0.25">
      <c r="A253" s="1054"/>
      <c r="B253" s="943" t="s">
        <v>1098</v>
      </c>
      <c r="C253" s="945"/>
      <c r="D253" s="945"/>
      <c r="E253" s="945"/>
      <c r="F253" s="944"/>
      <c r="G253" s="944"/>
      <c r="H253" s="950"/>
    </row>
    <row r="254" spans="1:8" x14ac:dyDescent="0.25">
      <c r="A254" s="1054"/>
      <c r="B254" s="942" t="s">
        <v>1097</v>
      </c>
      <c r="C254" s="945"/>
      <c r="D254" s="945"/>
      <c r="E254" s="945"/>
      <c r="F254" s="944"/>
      <c r="G254" s="944"/>
      <c r="H254" s="950"/>
    </row>
    <row r="255" spans="1:8" x14ac:dyDescent="0.25">
      <c r="A255" s="1054"/>
      <c r="B255" s="943" t="s">
        <v>1101</v>
      </c>
      <c r="C255" s="945"/>
      <c r="D255" s="945"/>
      <c r="E255" s="945"/>
      <c r="F255" s="944"/>
      <c r="G255" s="944"/>
      <c r="H255" s="950"/>
    </row>
    <row r="256" spans="1:8" x14ac:dyDescent="0.25">
      <c r="A256" s="1054"/>
      <c r="B256" s="943" t="s">
        <v>1102</v>
      </c>
      <c r="C256" s="945"/>
      <c r="D256" s="1019" t="s">
        <v>1762</v>
      </c>
      <c r="E256" s="945"/>
      <c r="F256" s="944"/>
      <c r="G256" s="944"/>
      <c r="H256" s="950"/>
    </row>
    <row r="257" spans="1:8" x14ac:dyDescent="0.25">
      <c r="A257" s="1083"/>
      <c r="B257" s="1081" t="s">
        <v>719</v>
      </c>
      <c r="C257" s="945"/>
      <c r="D257" s="1019" t="s">
        <v>1764</v>
      </c>
      <c r="E257" s="945"/>
      <c r="F257" s="944"/>
      <c r="G257" s="944"/>
      <c r="H257" s="950"/>
    </row>
    <row r="258" spans="1:8" x14ac:dyDescent="0.25">
      <c r="A258" s="1083"/>
      <c r="B258" s="1081" t="s">
        <v>720</v>
      </c>
      <c r="C258" s="945"/>
      <c r="D258" s="1019" t="s">
        <v>1289</v>
      </c>
      <c r="E258" s="945"/>
      <c r="F258" s="945"/>
      <c r="G258" s="945"/>
      <c r="H258" s="950"/>
    </row>
    <row r="259" spans="1:8" x14ac:dyDescent="0.25">
      <c r="A259" s="1083"/>
      <c r="B259" s="1081" t="s">
        <v>721</v>
      </c>
      <c r="C259" s="945"/>
      <c r="D259" s="945" t="s">
        <v>722</v>
      </c>
      <c r="E259" s="945"/>
      <c r="F259" s="945"/>
      <c r="G259" s="945"/>
      <c r="H259" s="950"/>
    </row>
    <row r="260" spans="1:8" x14ac:dyDescent="0.25">
      <c r="A260" s="1083"/>
      <c r="B260" s="1081" t="s">
        <v>725</v>
      </c>
      <c r="C260" s="945"/>
      <c r="D260" s="1019" t="s">
        <v>1763</v>
      </c>
      <c r="E260" s="945"/>
      <c r="F260" s="945"/>
      <c r="G260" s="945"/>
      <c r="H260" s="950"/>
    </row>
    <row r="261" spans="1:8" ht="15.75" thickBot="1" x14ac:dyDescent="0.3">
      <c r="A261" s="1088"/>
      <c r="B261" s="1089" t="s">
        <v>577</v>
      </c>
      <c r="C261" s="948"/>
      <c r="D261" s="1087" t="s">
        <v>578</v>
      </c>
      <c r="E261" s="948"/>
      <c r="F261" s="948"/>
      <c r="G261" s="948"/>
      <c r="H261" s="951"/>
    </row>
    <row r="262" spans="1:8" ht="15.75" thickTop="1" x14ac:dyDescent="0.25"/>
  </sheetData>
  <sheetProtection sheet="1" objects="1" scenarios="1"/>
  <phoneticPr fontId="0" type="noConversion"/>
  <hyperlinks>
    <hyperlink ref="E103" r:id="rId1"/>
    <hyperlink ref="B172" r:id="rId2"/>
    <hyperlink ref="G44" r:id="rId3"/>
    <hyperlink ref="C54" r:id="rId4"/>
    <hyperlink ref="H147" r:id="rId5"/>
    <hyperlink ref="B1" location="'Appendix B'!A1" display="Previous worksheet (Appendix B)"/>
    <hyperlink ref="G1" location="'Appendix D'!A1" display="Next worksheet (Appendix D)"/>
    <hyperlink ref="B236" location="'Appendix B'!A1" display="Previous worksheet (Appendix B)"/>
    <hyperlink ref="G236" location="'Appendix D'!A1" display="Next worksheet (Appendix D)"/>
    <hyperlink ref="B9" r:id="rId6"/>
    <hyperlink ref="B215" r:id="rId7"/>
    <hyperlink ref="B243" location="'S. Setup'!A1" display="Setup"/>
    <hyperlink ref="B244" location="'1. AgeData'!A1" display="AgeData"/>
    <hyperlink ref="B245" location="'2. TaxData'!A1" display="TaxData"/>
    <hyperlink ref="B247" location="'4. PensionData'!A1" display="4. PensionData"/>
    <hyperlink ref="B248" location="'5. SocSecData'!A1" display="5. SocSecData"/>
    <hyperlink ref="B246" location="'3. WorkData'!A1" display="3. WorkData"/>
    <hyperlink ref="B249" location="'6. AnnuityData'!A1" display="AnnuityData"/>
    <hyperlink ref="B250" location="'7. IRAdata'!A1" display="IRAdata"/>
    <hyperlink ref="B251" location="'8. RothData'!A1" display="RothData"/>
    <hyperlink ref="B252" location="'9. SavingsData'!A1" display="SavingsData"/>
    <hyperlink ref="B242" location="'R. Results'!A1" display="Results"/>
    <hyperlink ref="B254" location="'11. CashData'!A1" display="CashData"/>
    <hyperlink ref="B253" location="'10. ExpensesData'!A1" display="ExpensesData"/>
    <hyperlink ref="B255" location="'12. RMDtable'!A1" display="RMDtable"/>
    <hyperlink ref="B240" location="Introduction!A1" display="Introduction"/>
    <hyperlink ref="B260" location="'Appendix D'!A1" display="Appendix D"/>
    <hyperlink ref="B257" location="'Appendix A'!A1" display="Appendix A"/>
    <hyperlink ref="B258" location="'Appendix B'!A1" display="Appendix B"/>
    <hyperlink ref="B259" location="'Appendix C'!A1" display="Appendix C"/>
    <hyperlink ref="B261" location="FAQ!A1" display="FAQ"/>
    <hyperlink ref="B241" location="Assumptions!A1" display="Assumptions"/>
    <hyperlink ref="B256" location="'RS. Resources'!A1" display="Resources"/>
  </hyperlinks>
  <printOptions headings="1" gridLines="1"/>
  <pageMargins left="0.7" right="0.7" top="0.75" bottom="0.75" header="0.3" footer="0.3"/>
  <pageSetup orientation="landscape" horizontalDpi="1200" verticalDpi="1200" r:id="rId8"/>
  <headerFooter>
    <oddHeader>&amp;L&amp;F&amp;C  &amp;D &amp;T &amp;R &amp;A &amp;P</oddHeader>
  </headerFooter>
  <drawing r:id="rId9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M390"/>
  <sheetViews>
    <sheetView workbookViewId="0">
      <selection activeCell="B281" sqref="B281"/>
    </sheetView>
  </sheetViews>
  <sheetFormatPr defaultRowHeight="15" x14ac:dyDescent="0.25"/>
  <cols>
    <col min="1" max="1" width="16.28515625" customWidth="1"/>
    <col min="2" max="2" width="12.140625" customWidth="1"/>
    <col min="4" max="4" width="9.85546875" customWidth="1"/>
    <col min="11" max="11" width="13.42578125" customWidth="1"/>
    <col min="12" max="12" width="9.28515625" customWidth="1"/>
  </cols>
  <sheetData>
    <row r="1" spans="1:12" s="1382" customFormat="1" ht="15.75" x14ac:dyDescent="0.25">
      <c r="B1" s="1383" t="s">
        <v>961</v>
      </c>
      <c r="G1" s="1383" t="s">
        <v>962</v>
      </c>
    </row>
    <row r="2" spans="1:12" s="1382" customFormat="1" ht="15.75" x14ac:dyDescent="0.25">
      <c r="A2" s="1417"/>
      <c r="B2" s="1418"/>
      <c r="C2" s="1417"/>
      <c r="D2" s="1417"/>
      <c r="E2" s="1417"/>
      <c r="F2" s="1417"/>
      <c r="G2" s="1418"/>
      <c r="H2" s="1417"/>
      <c r="I2" s="1417"/>
      <c r="J2" s="1417"/>
      <c r="K2" s="1417"/>
      <c r="L2" s="1417"/>
    </row>
    <row r="4" spans="1:12" ht="18.75" x14ac:dyDescent="0.3">
      <c r="A4" s="94" t="s">
        <v>892</v>
      </c>
    </row>
    <row r="5" spans="1:12" ht="18.75" x14ac:dyDescent="0.3">
      <c r="A5" s="94"/>
    </row>
    <row r="6" spans="1:12" ht="15.75" x14ac:dyDescent="0.25">
      <c r="A6" s="1582" t="s">
        <v>2989</v>
      </c>
    </row>
    <row r="7" spans="1:12" ht="15.75" x14ac:dyDescent="0.25">
      <c r="A7" s="767" t="s">
        <v>3579</v>
      </c>
    </row>
    <row r="8" spans="1:12" ht="15.75" x14ac:dyDescent="0.25">
      <c r="A8" s="767" t="s">
        <v>3580</v>
      </c>
    </row>
    <row r="9" spans="1:12" ht="15.75" x14ac:dyDescent="0.25">
      <c r="A9" s="767" t="s">
        <v>3581</v>
      </c>
    </row>
    <row r="10" spans="1:12" ht="19.5" thickBot="1" x14ac:dyDescent="0.35">
      <c r="A10" s="94"/>
    </row>
    <row r="11" spans="1:12" ht="18.75" x14ac:dyDescent="0.3">
      <c r="A11" s="699" t="s">
        <v>253</v>
      </c>
      <c r="B11" s="701"/>
      <c r="C11" s="701"/>
      <c r="D11" s="701"/>
      <c r="E11" s="701"/>
      <c r="F11" s="745"/>
    </row>
    <row r="12" spans="1:12" ht="15.75" x14ac:dyDescent="0.25">
      <c r="A12" s="3071" t="s">
        <v>891</v>
      </c>
      <c r="B12" s="6"/>
      <c r="C12" s="6"/>
      <c r="F12" s="746"/>
    </row>
    <row r="13" spans="1:12" ht="15.75" x14ac:dyDescent="0.25">
      <c r="A13" s="767" t="s">
        <v>2328</v>
      </c>
      <c r="F13" s="746"/>
    </row>
    <row r="14" spans="1:12" ht="16.5" thickBot="1" x14ac:dyDescent="0.3">
      <c r="A14" s="3243" t="s">
        <v>2474</v>
      </c>
      <c r="B14" s="707"/>
      <c r="C14" s="707"/>
      <c r="D14" s="707"/>
      <c r="E14" s="707"/>
      <c r="F14" s="747"/>
    </row>
    <row r="15" spans="1:12" ht="18.75" x14ac:dyDescent="0.3">
      <c r="A15" s="94"/>
    </row>
    <row r="16" spans="1:12" s="1368" customFormat="1" ht="18.75" x14ac:dyDescent="0.3">
      <c r="A16" s="94" t="s">
        <v>891</v>
      </c>
    </row>
    <row r="17" spans="1:1" x14ac:dyDescent="0.25">
      <c r="A17" s="91" t="s">
        <v>737</v>
      </c>
    </row>
    <row r="18" spans="1:1" x14ac:dyDescent="0.25">
      <c r="A18" s="1317" t="s">
        <v>2955</v>
      </c>
    </row>
    <row r="19" spans="1:1" x14ac:dyDescent="0.25">
      <c r="A19" s="91"/>
    </row>
    <row r="20" spans="1:1" x14ac:dyDescent="0.25">
      <c r="A20" t="s">
        <v>383</v>
      </c>
    </row>
    <row r="21" spans="1:1" x14ac:dyDescent="0.25">
      <c r="A21" t="s">
        <v>272</v>
      </c>
    </row>
    <row r="22" spans="1:1" x14ac:dyDescent="0.25">
      <c r="A22" t="s">
        <v>1148</v>
      </c>
    </row>
    <row r="23" spans="1:1" x14ac:dyDescent="0.25">
      <c r="A23" t="s">
        <v>1561</v>
      </c>
    </row>
    <row r="24" spans="1:1" x14ac:dyDescent="0.25">
      <c r="A24" t="s">
        <v>1562</v>
      </c>
    </row>
    <row r="25" spans="1:1" x14ac:dyDescent="0.25">
      <c r="A25" t="s">
        <v>2758</v>
      </c>
    </row>
    <row r="26" spans="1:1" x14ac:dyDescent="0.25">
      <c r="A26" t="s">
        <v>2956</v>
      </c>
    </row>
    <row r="27" spans="1:1" x14ac:dyDescent="0.25">
      <c r="A27" t="s">
        <v>3582</v>
      </c>
    </row>
    <row r="28" spans="1:1" x14ac:dyDescent="0.25">
      <c r="A28" t="s">
        <v>1049</v>
      </c>
    </row>
    <row r="29" spans="1:1" x14ac:dyDescent="0.25">
      <c r="A29" t="s">
        <v>2957</v>
      </c>
    </row>
    <row r="30" spans="1:1" x14ac:dyDescent="0.25">
      <c r="A30" t="s">
        <v>2329</v>
      </c>
    </row>
    <row r="31" spans="1:1" x14ac:dyDescent="0.25">
      <c r="A31" t="s">
        <v>1193</v>
      </c>
    </row>
    <row r="32" spans="1:1" x14ac:dyDescent="0.25">
      <c r="A32" t="s">
        <v>933</v>
      </c>
    </row>
    <row r="33" spans="1:1" x14ac:dyDescent="0.25">
      <c r="A33" t="s">
        <v>2958</v>
      </c>
    </row>
    <row r="34" spans="1:1" x14ac:dyDescent="0.25">
      <c r="A34" t="s">
        <v>1395</v>
      </c>
    </row>
    <row r="35" spans="1:1" x14ac:dyDescent="0.25">
      <c r="A35" t="s">
        <v>2959</v>
      </c>
    </row>
    <row r="36" spans="1:1" x14ac:dyDescent="0.25">
      <c r="A36" t="s">
        <v>1563</v>
      </c>
    </row>
    <row r="37" spans="1:1" x14ac:dyDescent="0.25">
      <c r="A37" t="s">
        <v>1559</v>
      </c>
    </row>
    <row r="38" spans="1:1" x14ac:dyDescent="0.25">
      <c r="A38" t="s">
        <v>1560</v>
      </c>
    </row>
    <row r="39" spans="1:1" x14ac:dyDescent="0.25">
      <c r="A39" t="s">
        <v>1085</v>
      </c>
    </row>
    <row r="40" spans="1:1" x14ac:dyDescent="0.25">
      <c r="A40" t="s">
        <v>1086</v>
      </c>
    </row>
    <row r="41" spans="1:1" x14ac:dyDescent="0.25">
      <c r="A41" t="s">
        <v>1050</v>
      </c>
    </row>
    <row r="42" spans="1:1" x14ac:dyDescent="0.25">
      <c r="A42" t="s">
        <v>2960</v>
      </c>
    </row>
    <row r="43" spans="1:1" x14ac:dyDescent="0.25">
      <c r="A43" t="s">
        <v>2760</v>
      </c>
    </row>
    <row r="44" spans="1:1" x14ac:dyDescent="0.25">
      <c r="A44" t="s">
        <v>2691</v>
      </c>
    </row>
    <row r="45" spans="1:1" x14ac:dyDescent="0.25">
      <c r="A45" t="s">
        <v>1087</v>
      </c>
    </row>
    <row r="46" spans="1:1" x14ac:dyDescent="0.25">
      <c r="A46" t="s">
        <v>1247</v>
      </c>
    </row>
    <row r="47" spans="1:1" x14ac:dyDescent="0.25">
      <c r="A47" t="s">
        <v>1230</v>
      </c>
    </row>
    <row r="48" spans="1:1" x14ac:dyDescent="0.25">
      <c r="A48" t="s">
        <v>1396</v>
      </c>
    </row>
    <row r="49" spans="1:7" x14ac:dyDescent="0.25">
      <c r="A49" t="s">
        <v>1558</v>
      </c>
    </row>
    <row r="50" spans="1:7" x14ac:dyDescent="0.25">
      <c r="A50" t="s">
        <v>1231</v>
      </c>
    </row>
    <row r="51" spans="1:7" x14ac:dyDescent="0.25">
      <c r="A51" t="s">
        <v>2978</v>
      </c>
    </row>
    <row r="52" spans="1:7" x14ac:dyDescent="0.25">
      <c r="A52" t="s">
        <v>2979</v>
      </c>
    </row>
    <row r="53" spans="1:7" x14ac:dyDescent="0.25">
      <c r="A53" t="s">
        <v>2980</v>
      </c>
    </row>
    <row r="54" spans="1:7" x14ac:dyDescent="0.25">
      <c r="A54" t="s">
        <v>2985</v>
      </c>
    </row>
    <row r="55" spans="1:7" x14ac:dyDescent="0.25">
      <c r="A55" t="s">
        <v>2986</v>
      </c>
    </row>
    <row r="56" spans="1:7" x14ac:dyDescent="0.25">
      <c r="A56" t="s">
        <v>2987</v>
      </c>
    </row>
    <row r="57" spans="1:7" x14ac:dyDescent="0.25">
      <c r="A57" t="s">
        <v>2988</v>
      </c>
    </row>
    <row r="58" spans="1:7" x14ac:dyDescent="0.25">
      <c r="A58" t="s">
        <v>1904</v>
      </c>
    </row>
    <row r="59" spans="1:7" x14ac:dyDescent="0.25">
      <c r="A59" t="s">
        <v>1903</v>
      </c>
    </row>
    <row r="60" spans="1:7" x14ac:dyDescent="0.25">
      <c r="A60" t="s">
        <v>2350</v>
      </c>
    </row>
    <row r="61" spans="1:7" x14ac:dyDescent="0.25">
      <c r="A61" t="s">
        <v>2981</v>
      </c>
    </row>
    <row r="62" spans="1:7" x14ac:dyDescent="0.25">
      <c r="A62" t="s">
        <v>2982</v>
      </c>
    </row>
    <row r="64" spans="1:7" x14ac:dyDescent="0.25">
      <c r="G64" s="1296"/>
    </row>
    <row r="65" spans="1:7" ht="18.75" x14ac:dyDescent="0.3">
      <c r="A65" s="94" t="s">
        <v>2328</v>
      </c>
      <c r="G65" s="1366"/>
    </row>
    <row r="66" spans="1:7" ht="18.75" x14ac:dyDescent="0.3">
      <c r="A66" s="94"/>
      <c r="G66" s="1366"/>
    </row>
    <row r="67" spans="1:7" x14ac:dyDescent="0.25">
      <c r="A67" s="1370" t="s">
        <v>759</v>
      </c>
      <c r="B67" s="1370">
        <v>42616</v>
      </c>
      <c r="G67" s="1366"/>
    </row>
    <row r="68" spans="1:7" x14ac:dyDescent="0.25">
      <c r="A68" s="1370"/>
      <c r="B68" s="1370" t="s">
        <v>3468</v>
      </c>
      <c r="G68" s="1366"/>
    </row>
    <row r="69" spans="1:7" ht="18.75" x14ac:dyDescent="0.3">
      <c r="A69" s="94"/>
      <c r="G69" s="1366"/>
    </row>
    <row r="70" spans="1:7" x14ac:dyDescent="0.25">
      <c r="A70" s="1370" t="s">
        <v>759</v>
      </c>
      <c r="B70" s="1370">
        <v>42607</v>
      </c>
      <c r="D70" s="1317" t="s">
        <v>3060</v>
      </c>
      <c r="G70" s="1366"/>
    </row>
    <row r="71" spans="1:7" x14ac:dyDescent="0.25">
      <c r="A71" s="1370"/>
      <c r="B71" s="1370" t="s">
        <v>3133</v>
      </c>
      <c r="G71" s="1366"/>
    </row>
    <row r="72" spans="1:7" x14ac:dyDescent="0.25">
      <c r="A72" s="1370"/>
      <c r="B72" s="1370" t="s">
        <v>3134</v>
      </c>
      <c r="G72" s="1366"/>
    </row>
    <row r="73" spans="1:7" ht="18.75" x14ac:dyDescent="0.3">
      <c r="A73" s="94"/>
      <c r="G73" s="1366"/>
    </row>
    <row r="74" spans="1:7" x14ac:dyDescent="0.25">
      <c r="A74" s="1370" t="s">
        <v>759</v>
      </c>
      <c r="B74" s="1370">
        <v>42589</v>
      </c>
      <c r="D74" s="1317" t="s">
        <v>2670</v>
      </c>
      <c r="G74" s="1366"/>
    </row>
    <row r="75" spans="1:7" x14ac:dyDescent="0.25">
      <c r="A75" s="1370"/>
      <c r="B75" s="1370" t="s">
        <v>3021</v>
      </c>
      <c r="G75" s="1366"/>
    </row>
    <row r="76" spans="1:7" x14ac:dyDescent="0.25">
      <c r="A76" s="1370"/>
      <c r="B76" s="1370" t="s">
        <v>3022</v>
      </c>
      <c r="G76" s="1366"/>
    </row>
    <row r="77" spans="1:7" ht="18.75" x14ac:dyDescent="0.3">
      <c r="A77" s="94"/>
      <c r="G77" s="1366"/>
    </row>
    <row r="78" spans="1:7" x14ac:dyDescent="0.25">
      <c r="A78" s="1370" t="s">
        <v>759</v>
      </c>
      <c r="B78" s="1370">
        <v>42587</v>
      </c>
      <c r="D78" s="1317" t="s">
        <v>2670</v>
      </c>
      <c r="G78" s="1366"/>
    </row>
    <row r="79" spans="1:7" x14ac:dyDescent="0.25">
      <c r="A79" s="1370"/>
      <c r="B79" s="1370" t="s">
        <v>2971</v>
      </c>
      <c r="G79" s="1366"/>
    </row>
    <row r="80" spans="1:7" ht="18.75" x14ac:dyDescent="0.3">
      <c r="A80" s="94"/>
      <c r="G80" s="1366"/>
    </row>
    <row r="81" spans="1:7" x14ac:dyDescent="0.25">
      <c r="A81" s="1370" t="s">
        <v>759</v>
      </c>
      <c r="B81" s="1370">
        <v>42586</v>
      </c>
      <c r="D81" s="1317" t="s">
        <v>2670</v>
      </c>
      <c r="G81" s="1366"/>
    </row>
    <row r="82" spans="1:7" x14ac:dyDescent="0.25">
      <c r="A82" s="1370"/>
      <c r="B82" s="1370" t="s">
        <v>2759</v>
      </c>
      <c r="G82" s="1366"/>
    </row>
    <row r="83" spans="1:7" x14ac:dyDescent="0.25">
      <c r="A83" s="1370"/>
      <c r="B83" s="1370"/>
      <c r="G83" s="1366"/>
    </row>
    <row r="84" spans="1:7" x14ac:dyDescent="0.25">
      <c r="A84" s="1370" t="s">
        <v>759</v>
      </c>
      <c r="B84" s="1370">
        <v>42583</v>
      </c>
      <c r="D84" s="1317" t="s">
        <v>2670</v>
      </c>
      <c r="G84" s="1366"/>
    </row>
    <row r="85" spans="1:7" x14ac:dyDescent="0.25">
      <c r="A85" s="1370"/>
      <c r="B85" s="1370" t="s">
        <v>3584</v>
      </c>
      <c r="G85" s="1366"/>
    </row>
    <row r="86" spans="1:7" x14ac:dyDescent="0.25">
      <c r="A86" s="1370"/>
      <c r="B86" s="1370" t="s">
        <v>3583</v>
      </c>
      <c r="G86" s="1366"/>
    </row>
    <row r="87" spans="1:7" ht="18.75" x14ac:dyDescent="0.3">
      <c r="A87" s="94"/>
      <c r="G87" s="1366"/>
    </row>
    <row r="88" spans="1:7" x14ac:dyDescent="0.25">
      <c r="A88" s="1370" t="s">
        <v>759</v>
      </c>
      <c r="B88" s="1370">
        <v>42578</v>
      </c>
      <c r="D88" s="1317" t="s">
        <v>2670</v>
      </c>
      <c r="G88" s="1366"/>
    </row>
    <row r="89" spans="1:7" x14ac:dyDescent="0.25">
      <c r="A89" s="1370"/>
      <c r="B89" s="1370" t="s">
        <v>3585</v>
      </c>
      <c r="G89" s="1366"/>
    </row>
    <row r="90" spans="1:7" x14ac:dyDescent="0.25">
      <c r="A90" s="1370"/>
      <c r="B90" s="1370" t="s">
        <v>3586</v>
      </c>
      <c r="G90" s="1366"/>
    </row>
    <row r="91" spans="1:7" ht="18.75" x14ac:dyDescent="0.3">
      <c r="A91" s="94"/>
      <c r="G91" s="1366"/>
    </row>
    <row r="92" spans="1:7" x14ac:dyDescent="0.25">
      <c r="A92" s="1370" t="s">
        <v>759</v>
      </c>
      <c r="B92" s="1370">
        <v>42566</v>
      </c>
      <c r="D92" s="1317" t="s">
        <v>2540</v>
      </c>
      <c r="G92" s="1366"/>
    </row>
    <row r="93" spans="1:7" x14ac:dyDescent="0.25">
      <c r="A93" s="1370"/>
      <c r="B93" s="1370" t="s">
        <v>3587</v>
      </c>
      <c r="G93" s="1366"/>
    </row>
    <row r="94" spans="1:7" ht="18.75" x14ac:dyDescent="0.3">
      <c r="A94" s="94"/>
      <c r="B94" t="s">
        <v>3588</v>
      </c>
      <c r="G94" s="1366"/>
    </row>
    <row r="95" spans="1:7" ht="18.75" x14ac:dyDescent="0.3">
      <c r="A95" s="94"/>
      <c r="G95" s="1366"/>
    </row>
    <row r="96" spans="1:7" x14ac:dyDescent="0.25">
      <c r="A96" s="1370" t="s">
        <v>759</v>
      </c>
      <c r="B96" s="1370">
        <v>42565</v>
      </c>
      <c r="D96" s="1317" t="s">
        <v>2529</v>
      </c>
      <c r="G96" s="1366"/>
    </row>
    <row r="97" spans="1:7" x14ac:dyDescent="0.25">
      <c r="A97" s="1370"/>
      <c r="B97" s="1370" t="s">
        <v>2961</v>
      </c>
      <c r="G97" s="1366"/>
    </row>
    <row r="98" spans="1:7" ht="18.75" x14ac:dyDescent="0.3">
      <c r="A98" s="94"/>
      <c r="B98" t="s">
        <v>2669</v>
      </c>
      <c r="G98" s="1366"/>
    </row>
    <row r="99" spans="1:7" ht="18.75" x14ac:dyDescent="0.3">
      <c r="A99" s="94"/>
      <c r="B99" t="s">
        <v>2962</v>
      </c>
      <c r="G99" s="1366"/>
    </row>
    <row r="100" spans="1:7" ht="18.75" x14ac:dyDescent="0.3">
      <c r="A100" s="94"/>
    </row>
    <row r="101" spans="1:7" x14ac:dyDescent="0.25">
      <c r="A101" s="1370" t="s">
        <v>759</v>
      </c>
      <c r="B101" s="1370">
        <v>42538</v>
      </c>
      <c r="C101" s="1317"/>
      <c r="D101" s="1317" t="s">
        <v>2349</v>
      </c>
    </row>
    <row r="102" spans="1:7" x14ac:dyDescent="0.25">
      <c r="A102" s="1370"/>
      <c r="B102" s="1370" t="s">
        <v>3589</v>
      </c>
      <c r="C102" s="1317"/>
      <c r="D102" s="1317"/>
    </row>
    <row r="103" spans="1:7" x14ac:dyDescent="0.25">
      <c r="A103" s="1370"/>
      <c r="B103" s="1370" t="s">
        <v>3590</v>
      </c>
      <c r="C103" s="1317"/>
      <c r="D103" s="1317"/>
    </row>
    <row r="104" spans="1:7" x14ac:dyDescent="0.25">
      <c r="A104" s="1370"/>
      <c r="B104" s="1296" t="s">
        <v>1954</v>
      </c>
      <c r="C104" s="1317"/>
      <c r="D104" s="1317"/>
    </row>
    <row r="105" spans="1:7" s="1367" customFormat="1" ht="15.75" x14ac:dyDescent="0.25">
      <c r="A105" s="221"/>
      <c r="B105" s="1367" t="s">
        <v>3591</v>
      </c>
    </row>
    <row r="106" spans="1:7" s="1367" customFormat="1" ht="15.75" x14ac:dyDescent="0.25">
      <c r="A106" s="221"/>
      <c r="B106" s="1367" t="s">
        <v>3592</v>
      </c>
    </row>
    <row r="107" spans="1:7" s="1367" customFormat="1" ht="15.75" x14ac:dyDescent="0.25">
      <c r="A107" s="221"/>
      <c r="B107" s="1367" t="s">
        <v>3593</v>
      </c>
    </row>
    <row r="108" spans="1:7" s="1367" customFormat="1" ht="15.75" x14ac:dyDescent="0.25">
      <c r="A108" s="221"/>
      <c r="B108" s="1367" t="s">
        <v>3594</v>
      </c>
    </row>
    <row r="109" spans="1:7" s="1367" customFormat="1" ht="15.75" x14ac:dyDescent="0.25">
      <c r="A109" s="221"/>
      <c r="B109" s="1367" t="s">
        <v>3595</v>
      </c>
    </row>
    <row r="110" spans="1:7" s="1367" customFormat="1" ht="15.75" x14ac:dyDescent="0.25">
      <c r="A110" s="221"/>
      <c r="B110" s="1367" t="s">
        <v>3596</v>
      </c>
    </row>
    <row r="111" spans="1:7" ht="18.75" x14ac:dyDescent="0.3">
      <c r="A111" s="94"/>
      <c r="B111" t="s">
        <v>3598</v>
      </c>
    </row>
    <row r="112" spans="1:7" ht="18.75" x14ac:dyDescent="0.3">
      <c r="A112" s="94"/>
      <c r="B112" t="s">
        <v>3597</v>
      </c>
    </row>
    <row r="113" spans="1:4" ht="18.75" x14ac:dyDescent="0.3">
      <c r="A113" s="94"/>
      <c r="B113" t="s">
        <v>2518</v>
      </c>
    </row>
    <row r="114" spans="1:4" ht="18.75" x14ac:dyDescent="0.3">
      <c r="A114" s="94"/>
    </row>
    <row r="115" spans="1:4" x14ac:dyDescent="0.25">
      <c r="A115" s="1370" t="s">
        <v>759</v>
      </c>
      <c r="B115" s="1370">
        <v>42355</v>
      </c>
      <c r="C115" s="1317"/>
      <c r="D115" s="1317" t="s">
        <v>1840</v>
      </c>
    </row>
    <row r="116" spans="1:4" s="1367" customFormat="1" ht="15.75" x14ac:dyDescent="0.25">
      <c r="A116" s="221"/>
      <c r="B116" s="1367" t="s">
        <v>3599</v>
      </c>
    </row>
    <row r="117" spans="1:4" s="1367" customFormat="1" ht="15.75" x14ac:dyDescent="0.25">
      <c r="A117" s="221"/>
      <c r="B117" s="1367" t="s">
        <v>3600</v>
      </c>
    </row>
    <row r="118" spans="1:4" s="1367" customFormat="1" ht="15.75" x14ac:dyDescent="0.25">
      <c r="A118" s="221"/>
      <c r="B118" s="1367" t="s">
        <v>3601</v>
      </c>
    </row>
    <row r="119" spans="1:4" s="1367" customFormat="1" ht="15.75" x14ac:dyDescent="0.25">
      <c r="A119" s="221"/>
      <c r="B119" s="1367" t="s">
        <v>3602</v>
      </c>
    </row>
    <row r="120" spans="1:4" ht="18.75" x14ac:dyDescent="0.3">
      <c r="A120" s="94"/>
    </row>
    <row r="121" spans="1:4" x14ac:dyDescent="0.25">
      <c r="A121" s="1370" t="s">
        <v>759</v>
      </c>
      <c r="B121" s="1370">
        <v>42355</v>
      </c>
      <c r="C121" s="1317"/>
      <c r="D121" s="1317" t="s">
        <v>1787</v>
      </c>
    </row>
    <row r="122" spans="1:4" x14ac:dyDescent="0.25">
      <c r="A122" s="1370"/>
      <c r="B122" t="s">
        <v>1818</v>
      </c>
      <c r="C122" s="1317"/>
      <c r="D122" s="1317"/>
    </row>
    <row r="123" spans="1:4" x14ac:dyDescent="0.25">
      <c r="A123" s="1370"/>
      <c r="B123" t="s">
        <v>3603</v>
      </c>
      <c r="C123" s="1317"/>
      <c r="D123" s="1317"/>
    </row>
    <row r="124" spans="1:4" ht="18.75" x14ac:dyDescent="0.3">
      <c r="A124" s="94"/>
      <c r="B124" t="s">
        <v>3605</v>
      </c>
    </row>
    <row r="125" spans="1:4" ht="18.75" x14ac:dyDescent="0.3">
      <c r="A125" s="94"/>
      <c r="B125" t="s">
        <v>3604</v>
      </c>
    </row>
    <row r="126" spans="1:4" ht="18.75" x14ac:dyDescent="0.3">
      <c r="A126" s="94"/>
      <c r="B126" t="s">
        <v>3606</v>
      </c>
    </row>
    <row r="127" spans="1:4" ht="18.75" x14ac:dyDescent="0.3">
      <c r="A127" s="94"/>
      <c r="B127" t="s">
        <v>3607</v>
      </c>
    </row>
    <row r="128" spans="1:4" ht="18.75" x14ac:dyDescent="0.3">
      <c r="A128" s="94"/>
      <c r="B128" t="s">
        <v>3608</v>
      </c>
    </row>
    <row r="129" spans="1:4" ht="18.75" x14ac:dyDescent="0.3">
      <c r="A129" s="94"/>
    </row>
    <row r="130" spans="1:4" x14ac:dyDescent="0.25">
      <c r="A130" s="1370" t="s">
        <v>759</v>
      </c>
      <c r="B130" s="1370">
        <v>42347</v>
      </c>
      <c r="C130" s="1317"/>
      <c r="D130" s="1317" t="s">
        <v>1758</v>
      </c>
    </row>
    <row r="131" spans="1:4" ht="18.75" x14ac:dyDescent="0.3">
      <c r="A131" s="94"/>
      <c r="B131" t="s">
        <v>1759</v>
      </c>
    </row>
    <row r="132" spans="1:4" ht="18.75" x14ac:dyDescent="0.3">
      <c r="A132" s="94"/>
      <c r="B132" t="s">
        <v>1760</v>
      </c>
    </row>
    <row r="133" spans="1:4" ht="18.75" x14ac:dyDescent="0.3">
      <c r="A133" s="94"/>
    </row>
    <row r="134" spans="1:4" x14ac:dyDescent="0.25">
      <c r="A134" s="1370" t="s">
        <v>759</v>
      </c>
      <c r="B134" s="1370">
        <v>42345</v>
      </c>
      <c r="C134" s="1317"/>
      <c r="D134" s="1317" t="s">
        <v>1725</v>
      </c>
    </row>
    <row r="135" spans="1:4" ht="18.75" x14ac:dyDescent="0.3">
      <c r="A135" s="94"/>
      <c r="B135" t="s">
        <v>1726</v>
      </c>
    </row>
    <row r="136" spans="1:4" ht="18.75" x14ac:dyDescent="0.3">
      <c r="A136" s="94"/>
      <c r="B136" t="s">
        <v>1750</v>
      </c>
    </row>
    <row r="137" spans="1:4" ht="18.75" x14ac:dyDescent="0.3">
      <c r="A137" s="94"/>
    </row>
    <row r="138" spans="1:4" x14ac:dyDescent="0.25">
      <c r="A138" s="1370" t="s">
        <v>759</v>
      </c>
      <c r="B138" s="1370">
        <v>42344</v>
      </c>
      <c r="C138" s="1317"/>
      <c r="D138" s="1317" t="s">
        <v>1722</v>
      </c>
    </row>
    <row r="139" spans="1:4" ht="18.75" x14ac:dyDescent="0.3">
      <c r="A139" s="94"/>
      <c r="B139" t="s">
        <v>1723</v>
      </c>
    </row>
    <row r="140" spans="1:4" ht="18.75" x14ac:dyDescent="0.3">
      <c r="A140" s="94"/>
      <c r="B140" t="s">
        <v>1724</v>
      </c>
    </row>
    <row r="141" spans="1:4" ht="18.75" x14ac:dyDescent="0.3">
      <c r="A141" s="94"/>
    </row>
    <row r="142" spans="1:4" x14ac:dyDescent="0.25">
      <c r="A142" s="1370" t="s">
        <v>759</v>
      </c>
      <c r="B142" s="1370">
        <v>42342</v>
      </c>
      <c r="D142" s="1317" t="s">
        <v>1648</v>
      </c>
    </row>
    <row r="143" spans="1:4" ht="18.75" x14ac:dyDescent="0.3">
      <c r="A143" s="94"/>
      <c r="B143" t="s">
        <v>1869</v>
      </c>
    </row>
    <row r="144" spans="1:4" ht="18.75" x14ac:dyDescent="0.3">
      <c r="A144" s="94"/>
      <c r="B144" t="s">
        <v>1870</v>
      </c>
    </row>
    <row r="145" spans="1:6" ht="18.75" x14ac:dyDescent="0.3">
      <c r="A145" s="94"/>
      <c r="B145" t="s">
        <v>1700</v>
      </c>
    </row>
    <row r="146" spans="1:6" ht="18.75" x14ac:dyDescent="0.3">
      <c r="A146" s="94"/>
      <c r="B146" t="s">
        <v>1701</v>
      </c>
      <c r="D146" s="978" t="s">
        <v>1699</v>
      </c>
      <c r="F146" t="s">
        <v>1702</v>
      </c>
    </row>
    <row r="147" spans="1:6" ht="18.75" x14ac:dyDescent="0.3">
      <c r="A147" s="94"/>
      <c r="B147" t="s">
        <v>2963</v>
      </c>
    </row>
    <row r="148" spans="1:6" ht="18.75" x14ac:dyDescent="0.3">
      <c r="A148" s="94"/>
      <c r="B148" t="s">
        <v>1703</v>
      </c>
    </row>
    <row r="149" spans="1:6" ht="18.75" x14ac:dyDescent="0.3">
      <c r="A149" s="94"/>
      <c r="B149" t="s">
        <v>1704</v>
      </c>
    </row>
    <row r="150" spans="1:6" ht="18.75" x14ac:dyDescent="0.3">
      <c r="A150" s="94"/>
      <c r="B150" s="1155" t="s">
        <v>1705</v>
      </c>
    </row>
    <row r="151" spans="1:6" ht="18.75" x14ac:dyDescent="0.3">
      <c r="A151" s="94"/>
    </row>
    <row r="152" spans="1:6" x14ac:dyDescent="0.25">
      <c r="A152" s="1370" t="s">
        <v>759</v>
      </c>
      <c r="B152" s="1370">
        <v>42339</v>
      </c>
      <c r="D152" s="1317" t="s">
        <v>1571</v>
      </c>
    </row>
    <row r="153" spans="1:6" ht="18.75" x14ac:dyDescent="0.3">
      <c r="A153" s="94"/>
      <c r="B153" t="s">
        <v>1577</v>
      </c>
    </row>
    <row r="154" spans="1:6" ht="18.75" x14ac:dyDescent="0.3">
      <c r="A154" s="94"/>
      <c r="B154" t="s">
        <v>1578</v>
      </c>
    </row>
    <row r="155" spans="1:6" ht="18.75" x14ac:dyDescent="0.3">
      <c r="A155" s="94"/>
      <c r="B155" t="s">
        <v>1579</v>
      </c>
    </row>
    <row r="156" spans="1:6" ht="18.75" x14ac:dyDescent="0.3">
      <c r="A156" s="94"/>
      <c r="B156" t="s">
        <v>1580</v>
      </c>
    </row>
    <row r="157" spans="1:6" ht="18.75" x14ac:dyDescent="0.3">
      <c r="A157" s="94"/>
      <c r="B157" t="s">
        <v>1627</v>
      </c>
    </row>
    <row r="158" spans="1:6" ht="18.75" x14ac:dyDescent="0.3">
      <c r="A158" s="94"/>
    </row>
    <row r="159" spans="1:6" x14ac:dyDescent="0.25">
      <c r="A159" s="1370" t="s">
        <v>759</v>
      </c>
      <c r="B159" s="1370">
        <v>42337</v>
      </c>
      <c r="D159" s="1317" t="s">
        <v>1555</v>
      </c>
    </row>
    <row r="160" spans="1:6" ht="18.75" x14ac:dyDescent="0.3">
      <c r="A160" s="94"/>
      <c r="B160" t="s">
        <v>1556</v>
      </c>
    </row>
    <row r="161" spans="1:4" ht="18.75" x14ac:dyDescent="0.3">
      <c r="A161" s="94"/>
      <c r="B161" t="s">
        <v>1557</v>
      </c>
    </row>
    <row r="162" spans="1:4" ht="18.75" x14ac:dyDescent="0.3">
      <c r="A162" s="94"/>
      <c r="B162" t="s">
        <v>1566</v>
      </c>
    </row>
    <row r="163" spans="1:4" ht="18.75" x14ac:dyDescent="0.3">
      <c r="A163" s="94"/>
    </row>
    <row r="164" spans="1:4" x14ac:dyDescent="0.25">
      <c r="A164" s="1370" t="s">
        <v>759</v>
      </c>
      <c r="B164" s="1370">
        <v>42336</v>
      </c>
      <c r="D164" s="1317" t="s">
        <v>1482</v>
      </c>
    </row>
    <row r="165" spans="1:4" ht="18.75" x14ac:dyDescent="0.3">
      <c r="A165" s="94"/>
      <c r="B165" t="s">
        <v>1483</v>
      </c>
    </row>
    <row r="166" spans="1:4" ht="18.75" x14ac:dyDescent="0.3">
      <c r="A166" s="94"/>
      <c r="B166" t="s">
        <v>1510</v>
      </c>
    </row>
    <row r="167" spans="1:4" ht="18.75" x14ac:dyDescent="0.3">
      <c r="A167" s="94"/>
      <c r="B167" t="s">
        <v>2964</v>
      </c>
    </row>
    <row r="168" spans="1:4" ht="18.75" x14ac:dyDescent="0.3">
      <c r="A168" s="94"/>
      <c r="B168" t="s">
        <v>2965</v>
      </c>
    </row>
    <row r="169" spans="1:4" ht="18.75" x14ac:dyDescent="0.3">
      <c r="A169" s="94"/>
      <c r="B169" t="s">
        <v>1533</v>
      </c>
    </row>
    <row r="170" spans="1:4" ht="18.75" x14ac:dyDescent="0.3">
      <c r="A170" s="94"/>
      <c r="B170" t="s">
        <v>1544</v>
      </c>
    </row>
    <row r="171" spans="1:4" ht="18.75" x14ac:dyDescent="0.3">
      <c r="A171" s="94"/>
      <c r="B171" t="s">
        <v>1545</v>
      </c>
    </row>
    <row r="172" spans="1:4" ht="18.75" x14ac:dyDescent="0.3">
      <c r="A172" s="94"/>
      <c r="B172" t="s">
        <v>2966</v>
      </c>
    </row>
    <row r="173" spans="1:4" ht="18.75" x14ac:dyDescent="0.3">
      <c r="A173" s="94"/>
      <c r="B173" t="s">
        <v>3609</v>
      </c>
    </row>
    <row r="174" spans="1:4" ht="18.75" x14ac:dyDescent="0.3">
      <c r="A174" s="94"/>
    </row>
    <row r="175" spans="1:4" x14ac:dyDescent="0.25">
      <c r="A175" s="1370" t="s">
        <v>759</v>
      </c>
      <c r="B175" s="1370">
        <v>42328</v>
      </c>
      <c r="D175" s="1317" t="s">
        <v>1461</v>
      </c>
    </row>
    <row r="176" spans="1:4" ht="18.75" x14ac:dyDescent="0.3">
      <c r="A176" s="94"/>
      <c r="B176" t="s">
        <v>1467</v>
      </c>
    </row>
    <row r="177" spans="1:13" ht="18.75" x14ac:dyDescent="0.3">
      <c r="A177" s="94"/>
      <c r="B177" t="s">
        <v>1471</v>
      </c>
    </row>
    <row r="178" spans="1:13" ht="18.75" x14ac:dyDescent="0.3">
      <c r="A178" s="94"/>
      <c r="B178" t="s">
        <v>1470</v>
      </c>
    </row>
    <row r="179" spans="1:13" ht="18.75" x14ac:dyDescent="0.3">
      <c r="A179" s="94"/>
      <c r="B179" t="s">
        <v>1472</v>
      </c>
    </row>
    <row r="180" spans="1:13" ht="18.75" x14ac:dyDescent="0.3">
      <c r="A180" s="94"/>
    </row>
    <row r="181" spans="1:13" x14ac:dyDescent="0.25">
      <c r="A181" s="1370" t="s">
        <v>759</v>
      </c>
      <c r="B181" s="1370">
        <v>42325</v>
      </c>
      <c r="D181" s="1317" t="s">
        <v>1421</v>
      </c>
    </row>
    <row r="182" spans="1:13" ht="18.75" x14ac:dyDescent="0.3">
      <c r="A182" s="94"/>
      <c r="B182" t="s">
        <v>1422</v>
      </c>
    </row>
    <row r="183" spans="1:13" ht="18.75" x14ac:dyDescent="0.3">
      <c r="A183" s="94"/>
      <c r="B183" t="s">
        <v>3615</v>
      </c>
    </row>
    <row r="184" spans="1:13" ht="18.75" x14ac:dyDescent="0.3">
      <c r="A184" s="94"/>
      <c r="B184" s="1296" t="s">
        <v>3614</v>
      </c>
    </row>
    <row r="185" spans="1:13" ht="18.75" x14ac:dyDescent="0.3">
      <c r="A185" s="94"/>
      <c r="B185" s="1296" t="s">
        <v>3610</v>
      </c>
      <c r="M185" s="1296"/>
    </row>
    <row r="186" spans="1:13" ht="18.75" x14ac:dyDescent="0.3">
      <c r="A186" s="94"/>
      <c r="B186" s="1296" t="s">
        <v>3611</v>
      </c>
      <c r="M186" s="1296"/>
    </row>
    <row r="187" spans="1:13" ht="18.75" x14ac:dyDescent="0.3">
      <c r="A187" s="94"/>
      <c r="B187" s="1296" t="s">
        <v>3612</v>
      </c>
      <c r="M187" s="1296"/>
    </row>
    <row r="188" spans="1:13" ht="18.75" x14ac:dyDescent="0.3">
      <c r="A188" s="94"/>
      <c r="B188" s="1296" t="s">
        <v>3613</v>
      </c>
    </row>
    <row r="189" spans="1:13" ht="18.75" x14ac:dyDescent="0.3">
      <c r="A189" s="94"/>
    </row>
    <row r="190" spans="1:13" x14ac:dyDescent="0.25">
      <c r="A190" s="1370" t="s">
        <v>759</v>
      </c>
      <c r="B190" s="1370">
        <v>42324</v>
      </c>
      <c r="D190" s="1317" t="s">
        <v>1405</v>
      </c>
    </row>
    <row r="191" spans="1:13" ht="18.75" x14ac:dyDescent="0.3">
      <c r="A191" s="94"/>
      <c r="B191" t="s">
        <v>1409</v>
      </c>
    </row>
    <row r="192" spans="1:13" ht="18.75" x14ac:dyDescent="0.3">
      <c r="A192" s="94"/>
      <c r="B192" t="s">
        <v>1418</v>
      </c>
    </row>
    <row r="193" spans="1:4" ht="18.75" x14ac:dyDescent="0.3">
      <c r="A193" s="94"/>
    </row>
    <row r="194" spans="1:4" x14ac:dyDescent="0.25">
      <c r="A194" s="1370" t="s">
        <v>759</v>
      </c>
      <c r="B194" s="1370">
        <v>42321</v>
      </c>
      <c r="D194" s="1317" t="s">
        <v>1344</v>
      </c>
    </row>
    <row r="195" spans="1:4" ht="18.75" x14ac:dyDescent="0.3">
      <c r="A195" s="94"/>
      <c r="B195" t="s">
        <v>3616</v>
      </c>
    </row>
    <row r="196" spans="1:4" ht="18.75" x14ac:dyDescent="0.3">
      <c r="A196" s="94"/>
      <c r="B196" t="s">
        <v>3617</v>
      </c>
    </row>
    <row r="197" spans="1:4" ht="18.75" x14ac:dyDescent="0.3">
      <c r="A197" s="94"/>
      <c r="B197" t="s">
        <v>3618</v>
      </c>
    </row>
    <row r="198" spans="1:4" ht="18.75" x14ac:dyDescent="0.3">
      <c r="A198" s="94"/>
    </row>
    <row r="199" spans="1:4" x14ac:dyDescent="0.25">
      <c r="A199" s="1370" t="s">
        <v>759</v>
      </c>
      <c r="B199" s="1370">
        <v>42317</v>
      </c>
      <c r="D199" s="1317" t="s">
        <v>1310</v>
      </c>
    </row>
    <row r="200" spans="1:4" x14ac:dyDescent="0.25">
      <c r="A200" s="1370"/>
      <c r="B200" s="1370" t="s">
        <v>3619</v>
      </c>
      <c r="D200" s="1317"/>
    </row>
    <row r="201" spans="1:4" x14ac:dyDescent="0.25">
      <c r="A201" s="1370"/>
      <c r="B201" s="1370" t="s">
        <v>3620</v>
      </c>
      <c r="D201" s="1317"/>
    </row>
    <row r="202" spans="1:4" x14ac:dyDescent="0.25">
      <c r="A202" s="1370"/>
      <c r="B202" s="1370" t="s">
        <v>3621</v>
      </c>
      <c r="D202" s="1317"/>
    </row>
    <row r="203" spans="1:4" x14ac:dyDescent="0.25">
      <c r="A203" s="1370"/>
      <c r="B203" t="s">
        <v>1343</v>
      </c>
    </row>
    <row r="204" spans="1:4" ht="18.75" x14ac:dyDescent="0.3">
      <c r="A204" s="94"/>
      <c r="B204" t="s">
        <v>3622</v>
      </c>
    </row>
    <row r="205" spans="1:4" ht="18.75" x14ac:dyDescent="0.3">
      <c r="A205" s="94"/>
      <c r="B205" t="s">
        <v>3623</v>
      </c>
    </row>
    <row r="206" spans="1:4" ht="18.75" x14ac:dyDescent="0.3">
      <c r="A206" s="94"/>
      <c r="B206" t="s">
        <v>2967</v>
      </c>
    </row>
    <row r="207" spans="1:4" ht="18.75" x14ac:dyDescent="0.3">
      <c r="A207" s="94"/>
      <c r="B207" t="s">
        <v>1341</v>
      </c>
    </row>
    <row r="208" spans="1:4" ht="18.75" x14ac:dyDescent="0.3">
      <c r="A208" s="94"/>
      <c r="B208" s="1155" t="s">
        <v>1342</v>
      </c>
    </row>
    <row r="209" spans="1:4" ht="18.75" x14ac:dyDescent="0.3">
      <c r="A209" s="94"/>
      <c r="B209" t="s">
        <v>3624</v>
      </c>
    </row>
    <row r="210" spans="1:4" ht="18.75" x14ac:dyDescent="0.3">
      <c r="A210" s="94"/>
      <c r="B210" t="s">
        <v>3625</v>
      </c>
    </row>
    <row r="211" spans="1:4" ht="18.75" x14ac:dyDescent="0.3">
      <c r="A211" s="94"/>
      <c r="B211" t="s">
        <v>3626</v>
      </c>
    </row>
    <row r="212" spans="1:4" ht="18.75" x14ac:dyDescent="0.3">
      <c r="A212" s="94"/>
    </row>
    <row r="213" spans="1:4" x14ac:dyDescent="0.25">
      <c r="A213" s="1370" t="s">
        <v>759</v>
      </c>
      <c r="B213" s="1370">
        <v>42316</v>
      </c>
      <c r="D213" s="1317" t="s">
        <v>1248</v>
      </c>
    </row>
    <row r="214" spans="1:4" x14ac:dyDescent="0.25">
      <c r="A214" s="1370"/>
      <c r="B214" t="s">
        <v>3627</v>
      </c>
    </row>
    <row r="215" spans="1:4" x14ac:dyDescent="0.25">
      <c r="A215" s="1370"/>
      <c r="B215" t="s">
        <v>3628</v>
      </c>
    </row>
    <row r="216" spans="1:4" x14ac:dyDescent="0.25">
      <c r="A216" s="1370"/>
      <c r="B216" s="1549" t="s">
        <v>2968</v>
      </c>
    </row>
    <row r="217" spans="1:4" x14ac:dyDescent="0.25">
      <c r="A217" s="1370"/>
      <c r="B217" t="s">
        <v>1279</v>
      </c>
    </row>
    <row r="218" spans="1:4" x14ac:dyDescent="0.25">
      <c r="A218" s="1370"/>
      <c r="B218" s="1370" t="s">
        <v>1276</v>
      </c>
    </row>
    <row r="219" spans="1:4" ht="18.75" x14ac:dyDescent="0.3">
      <c r="A219" s="94"/>
      <c r="B219" t="s">
        <v>1275</v>
      </c>
    </row>
    <row r="220" spans="1:4" ht="18.75" x14ac:dyDescent="0.3">
      <c r="A220" s="94"/>
      <c r="B220" t="s">
        <v>1277</v>
      </c>
    </row>
    <row r="221" spans="1:4" ht="18.75" x14ac:dyDescent="0.3">
      <c r="A221" s="94"/>
      <c r="B221" t="s">
        <v>1309</v>
      </c>
    </row>
    <row r="222" spans="1:4" ht="18.75" x14ac:dyDescent="0.3">
      <c r="A222" s="94"/>
    </row>
    <row r="223" spans="1:4" x14ac:dyDescent="0.25">
      <c r="A223" s="1370" t="s">
        <v>759</v>
      </c>
      <c r="B223" s="182">
        <v>42312</v>
      </c>
      <c r="D223" s="1317" t="s">
        <v>1240</v>
      </c>
    </row>
    <row r="224" spans="1:4" x14ac:dyDescent="0.25">
      <c r="A224" s="1370"/>
      <c r="B224" s="1370" t="s">
        <v>1243</v>
      </c>
    </row>
    <row r="225" spans="1:4" x14ac:dyDescent="0.25">
      <c r="A225" s="1370"/>
      <c r="B225" s="1370" t="s">
        <v>1239</v>
      </c>
    </row>
    <row r="226" spans="1:4" x14ac:dyDescent="0.25">
      <c r="A226" s="1370"/>
    </row>
    <row r="227" spans="1:4" x14ac:dyDescent="0.25">
      <c r="A227" t="s">
        <v>759</v>
      </c>
      <c r="B227" s="1548">
        <v>42310</v>
      </c>
      <c r="D227" t="s">
        <v>1241</v>
      </c>
    </row>
    <row r="228" spans="1:4" x14ac:dyDescent="0.25">
      <c r="B228" t="s">
        <v>1244</v>
      </c>
    </row>
    <row r="229" spans="1:4" x14ac:dyDescent="0.25">
      <c r="B229" t="s">
        <v>1242</v>
      </c>
    </row>
    <row r="230" spans="1:4" ht="18.75" x14ac:dyDescent="0.3">
      <c r="A230" s="94"/>
    </row>
    <row r="231" spans="1:4" x14ac:dyDescent="0.25">
      <c r="A231" s="1370" t="s">
        <v>759</v>
      </c>
      <c r="B231" s="182">
        <v>42303</v>
      </c>
      <c r="D231" s="1317" t="s">
        <v>1191</v>
      </c>
    </row>
    <row r="232" spans="1:4" x14ac:dyDescent="0.25">
      <c r="A232" s="1370"/>
      <c r="B232" s="1370" t="s">
        <v>1229</v>
      </c>
    </row>
    <row r="233" spans="1:4" ht="18.75" x14ac:dyDescent="0.3">
      <c r="A233" s="94"/>
      <c r="B233" t="s">
        <v>1233</v>
      </c>
    </row>
    <row r="234" spans="1:4" ht="18.75" x14ac:dyDescent="0.3">
      <c r="A234" s="94"/>
      <c r="B234" t="s">
        <v>1232</v>
      </c>
    </row>
    <row r="235" spans="1:4" ht="18.75" x14ac:dyDescent="0.3">
      <c r="A235" s="94"/>
    </row>
    <row r="236" spans="1:4" x14ac:dyDescent="0.25">
      <c r="A236" s="1370" t="s">
        <v>759</v>
      </c>
      <c r="B236" s="182">
        <v>42302</v>
      </c>
      <c r="C236" s="124"/>
      <c r="D236" s="1317" t="s">
        <v>1096</v>
      </c>
    </row>
    <row r="237" spans="1:4" x14ac:dyDescent="0.25">
      <c r="A237" s="1370"/>
      <c r="B237" s="1370" t="s">
        <v>1150</v>
      </c>
      <c r="C237" s="124"/>
      <c r="D237" s="1317"/>
    </row>
    <row r="238" spans="1:4" x14ac:dyDescent="0.25">
      <c r="A238" s="1370"/>
      <c r="B238" s="1370" t="s">
        <v>1147</v>
      </c>
      <c r="C238" s="124"/>
      <c r="D238" s="1317"/>
    </row>
    <row r="239" spans="1:4" x14ac:dyDescent="0.25">
      <c r="A239" s="1370"/>
      <c r="B239" s="1370" t="s">
        <v>2810</v>
      </c>
      <c r="C239" s="124"/>
      <c r="D239" s="1317"/>
    </row>
    <row r="240" spans="1:4" x14ac:dyDescent="0.25">
      <c r="A240" s="90"/>
      <c r="B240" s="1370"/>
      <c r="C240" s="124"/>
      <c r="D240" s="91"/>
    </row>
    <row r="241" spans="1:4" x14ac:dyDescent="0.25">
      <c r="A241" s="1370" t="s">
        <v>759</v>
      </c>
      <c r="B241" s="182">
        <v>42292</v>
      </c>
      <c r="C241" s="124"/>
      <c r="D241" s="1317" t="s">
        <v>1089</v>
      </c>
    </row>
    <row r="242" spans="1:4" x14ac:dyDescent="0.25">
      <c r="A242" s="1370"/>
      <c r="B242" s="1370" t="s">
        <v>1095</v>
      </c>
      <c r="C242" s="124"/>
      <c r="D242" s="1317"/>
    </row>
    <row r="243" spans="1:4" x14ac:dyDescent="0.25">
      <c r="A243" s="90"/>
      <c r="B243" s="182"/>
      <c r="C243" s="124"/>
      <c r="D243" s="91"/>
    </row>
    <row r="244" spans="1:4" x14ac:dyDescent="0.25">
      <c r="A244" s="1370" t="s">
        <v>759</v>
      </c>
      <c r="B244" s="182">
        <v>42289</v>
      </c>
      <c r="C244" s="124"/>
      <c r="D244" s="1317" t="s">
        <v>971</v>
      </c>
    </row>
    <row r="245" spans="1:4" x14ac:dyDescent="0.25">
      <c r="A245" s="1370"/>
      <c r="B245" s="1370" t="s">
        <v>3632</v>
      </c>
      <c r="C245" s="124"/>
      <c r="D245" s="1317"/>
    </row>
    <row r="246" spans="1:4" x14ac:dyDescent="0.25">
      <c r="A246" s="1370"/>
      <c r="B246" s="1370" t="s">
        <v>3631</v>
      </c>
      <c r="C246" s="124"/>
      <c r="D246" s="1317"/>
    </row>
    <row r="247" spans="1:4" x14ac:dyDescent="0.25">
      <c r="A247" s="1370"/>
      <c r="B247" s="1296" t="s">
        <v>2811</v>
      </c>
      <c r="C247" s="124"/>
      <c r="D247" s="1317"/>
    </row>
    <row r="248" spans="1:4" x14ac:dyDescent="0.25">
      <c r="A248" s="1370"/>
      <c r="B248" s="1370" t="s">
        <v>1225</v>
      </c>
      <c r="C248" s="124"/>
      <c r="D248" s="1317"/>
    </row>
    <row r="249" spans="1:4" x14ac:dyDescent="0.25">
      <c r="A249" s="90"/>
      <c r="B249" s="182"/>
      <c r="C249" s="124"/>
      <c r="D249" s="91"/>
    </row>
    <row r="250" spans="1:4" x14ac:dyDescent="0.25">
      <c r="A250" s="1370" t="s">
        <v>759</v>
      </c>
      <c r="B250" s="182">
        <v>42288</v>
      </c>
      <c r="C250" s="124"/>
      <c r="D250" s="1317" t="s">
        <v>971</v>
      </c>
    </row>
    <row r="251" spans="1:4" x14ac:dyDescent="0.25">
      <c r="A251" s="90"/>
      <c r="B251" s="1370" t="s">
        <v>3629</v>
      </c>
      <c r="C251" s="124"/>
      <c r="D251" s="1317"/>
    </row>
    <row r="252" spans="1:4" x14ac:dyDescent="0.25">
      <c r="A252" s="90"/>
      <c r="B252" s="1370" t="s">
        <v>3630</v>
      </c>
      <c r="C252" s="124"/>
      <c r="D252" s="1317"/>
    </row>
    <row r="253" spans="1:4" x14ac:dyDescent="0.25">
      <c r="A253" s="90"/>
      <c r="B253" s="1370" t="s">
        <v>3635</v>
      </c>
      <c r="C253" s="124"/>
      <c r="D253" s="1317"/>
    </row>
    <row r="254" spans="1:4" x14ac:dyDescent="0.25">
      <c r="A254" s="90"/>
      <c r="B254" s="1370" t="s">
        <v>3636</v>
      </c>
      <c r="C254" s="124"/>
      <c r="D254" s="1317"/>
    </row>
    <row r="255" spans="1:4" x14ac:dyDescent="0.25">
      <c r="A255" s="90"/>
      <c r="B255" s="1370" t="s">
        <v>3633</v>
      </c>
      <c r="C255" s="124"/>
      <c r="D255" s="1317"/>
    </row>
    <row r="256" spans="1:4" x14ac:dyDescent="0.25">
      <c r="A256" s="90"/>
      <c r="B256" s="1370" t="s">
        <v>3634</v>
      </c>
      <c r="C256" s="124"/>
      <c r="D256" s="1317"/>
    </row>
    <row r="258" spans="1:6" x14ac:dyDescent="0.25">
      <c r="A258" s="90" t="s">
        <v>759</v>
      </c>
      <c r="B258" s="182">
        <v>42261</v>
      </c>
      <c r="C258" s="124"/>
      <c r="D258" s="1317" t="s">
        <v>967</v>
      </c>
    </row>
    <row r="259" spans="1:6" x14ac:dyDescent="0.25">
      <c r="A259" s="90"/>
      <c r="B259" s="1370" t="s">
        <v>990</v>
      </c>
      <c r="C259" s="124"/>
      <c r="D259" s="978" t="s">
        <v>1102</v>
      </c>
      <c r="F259" t="s">
        <v>3637</v>
      </c>
    </row>
    <row r="260" spans="1:6" x14ac:dyDescent="0.25">
      <c r="A260" s="90"/>
      <c r="B260" s="1370" t="s">
        <v>3638</v>
      </c>
    </row>
    <row r="261" spans="1:6" x14ac:dyDescent="0.25">
      <c r="A261" s="90"/>
      <c r="B261" s="1370" t="s">
        <v>1088</v>
      </c>
    </row>
    <row r="262" spans="1:6" x14ac:dyDescent="0.25">
      <c r="A262" s="90"/>
      <c r="B262" s="1370"/>
      <c r="C262" s="124"/>
      <c r="D262" s="1317"/>
    </row>
    <row r="263" spans="1:6" x14ac:dyDescent="0.25">
      <c r="A263" s="90" t="s">
        <v>759</v>
      </c>
      <c r="B263" s="182">
        <v>42260</v>
      </c>
      <c r="C263" s="124"/>
      <c r="D263" s="1317" t="s">
        <v>951</v>
      </c>
    </row>
    <row r="264" spans="1:6" x14ac:dyDescent="0.25">
      <c r="A264" s="90"/>
      <c r="B264" s="1370" t="s">
        <v>3639</v>
      </c>
      <c r="C264" s="124"/>
      <c r="D264" s="1317"/>
    </row>
    <row r="265" spans="1:6" x14ac:dyDescent="0.25">
      <c r="A265" s="90"/>
      <c r="B265" s="1370" t="s">
        <v>3640</v>
      </c>
      <c r="C265" s="124"/>
      <c r="D265" s="1317"/>
    </row>
    <row r="266" spans="1:6" x14ac:dyDescent="0.25">
      <c r="A266" s="90"/>
      <c r="B266" s="1370"/>
      <c r="C266" s="124"/>
      <c r="D266" s="1317"/>
    </row>
    <row r="267" spans="1:6" x14ac:dyDescent="0.25">
      <c r="A267" s="90" t="s">
        <v>759</v>
      </c>
      <c r="B267" s="182">
        <v>42259</v>
      </c>
      <c r="C267" s="124"/>
      <c r="D267" s="1317" t="s">
        <v>897</v>
      </c>
    </row>
    <row r="268" spans="1:6" x14ac:dyDescent="0.25">
      <c r="A268" s="90"/>
      <c r="B268" s="1370" t="s">
        <v>930</v>
      </c>
      <c r="C268" s="124"/>
      <c r="D268" s="1317"/>
    </row>
    <row r="269" spans="1:6" x14ac:dyDescent="0.25">
      <c r="A269" s="90"/>
      <c r="B269" s="1370" t="s">
        <v>931</v>
      </c>
      <c r="C269" s="124"/>
      <c r="D269" s="1317"/>
    </row>
    <row r="270" spans="1:6" x14ac:dyDescent="0.25">
      <c r="A270" s="90"/>
      <c r="B270" s="1370" t="s">
        <v>932</v>
      </c>
      <c r="C270" s="124"/>
      <c r="D270" s="1317"/>
    </row>
    <row r="272" spans="1:6" x14ac:dyDescent="0.25">
      <c r="A272" s="90" t="s">
        <v>759</v>
      </c>
      <c r="B272" s="182">
        <v>42258</v>
      </c>
      <c r="C272" s="124"/>
      <c r="D272" s="1317" t="s">
        <v>839</v>
      </c>
    </row>
    <row r="273" spans="1:5" x14ac:dyDescent="0.25">
      <c r="A273" s="90"/>
      <c r="B273" s="1370" t="s">
        <v>894</v>
      </c>
      <c r="C273" s="1025" t="s">
        <v>870</v>
      </c>
      <c r="D273" s="1317"/>
      <c r="E273" t="s">
        <v>3641</v>
      </c>
    </row>
    <row r="274" spans="1:5" x14ac:dyDescent="0.25">
      <c r="A274" s="90"/>
      <c r="B274" s="1370" t="s">
        <v>3642</v>
      </c>
      <c r="C274" s="124"/>
      <c r="D274" s="1317"/>
      <c r="E274" s="1371"/>
    </row>
    <row r="275" spans="1:5" x14ac:dyDescent="0.25">
      <c r="A275" s="1370"/>
      <c r="B275" s="1370"/>
      <c r="C275" s="124"/>
      <c r="D275" s="1317"/>
    </row>
    <row r="276" spans="1:5" x14ac:dyDescent="0.25">
      <c r="A276" s="90" t="s">
        <v>759</v>
      </c>
      <c r="B276" s="182">
        <v>42255</v>
      </c>
      <c r="C276" s="124"/>
      <c r="D276" s="1317" t="s">
        <v>837</v>
      </c>
    </row>
    <row r="277" spans="1:5" x14ac:dyDescent="0.25">
      <c r="A277" s="90"/>
      <c r="B277" s="1370" t="s">
        <v>895</v>
      </c>
      <c r="C277" s="124"/>
      <c r="D277" s="1317"/>
    </row>
    <row r="278" spans="1:5" x14ac:dyDescent="0.25">
      <c r="A278" s="1370"/>
      <c r="B278" s="1370"/>
      <c r="C278" s="124"/>
      <c r="D278" s="1317"/>
    </row>
    <row r="279" spans="1:5" x14ac:dyDescent="0.25">
      <c r="A279" s="90" t="s">
        <v>759</v>
      </c>
      <c r="B279" s="182">
        <v>42234</v>
      </c>
      <c r="C279" s="124"/>
      <c r="D279" s="91" t="s">
        <v>807</v>
      </c>
    </row>
    <row r="280" spans="1:5" x14ac:dyDescent="0.25">
      <c r="A280" s="90"/>
      <c r="B280" s="1370" t="s">
        <v>3643</v>
      </c>
      <c r="C280" s="124"/>
      <c r="D280" s="91"/>
    </row>
    <row r="281" spans="1:5" x14ac:dyDescent="0.25">
      <c r="A281" s="1370"/>
      <c r="B281" s="1370"/>
      <c r="C281" s="124"/>
      <c r="D281" s="1317"/>
    </row>
    <row r="282" spans="1:5" x14ac:dyDescent="0.25">
      <c r="A282" s="90" t="s">
        <v>759</v>
      </c>
      <c r="B282" s="182">
        <v>42013</v>
      </c>
      <c r="C282" s="124"/>
      <c r="D282" s="91" t="s">
        <v>779</v>
      </c>
    </row>
    <row r="283" spans="1:5" x14ac:dyDescent="0.25">
      <c r="A283" s="90"/>
      <c r="B283" s="1370" t="s">
        <v>893</v>
      </c>
      <c r="C283" s="124"/>
      <c r="D283" s="91"/>
    </row>
    <row r="284" spans="1:5" x14ac:dyDescent="0.25">
      <c r="A284" s="90"/>
      <c r="B284" s="1370"/>
      <c r="C284" s="124"/>
      <c r="D284" s="91"/>
    </row>
    <row r="285" spans="1:5" x14ac:dyDescent="0.25">
      <c r="A285" s="1370" t="s">
        <v>1149</v>
      </c>
      <c r="B285" s="1370"/>
      <c r="C285" s="124"/>
      <c r="D285" s="91"/>
    </row>
    <row r="286" spans="1:5" x14ac:dyDescent="0.25">
      <c r="A286" s="1370"/>
      <c r="B286" s="1370"/>
      <c r="C286" s="124"/>
      <c r="D286" s="91"/>
    </row>
    <row r="287" spans="1:5" x14ac:dyDescent="0.25">
      <c r="A287" s="1370"/>
      <c r="B287" s="1370"/>
      <c r="C287" s="124"/>
      <c r="D287" s="91"/>
    </row>
    <row r="288" spans="1:5" ht="18.75" x14ac:dyDescent="0.3">
      <c r="A288" s="1028" t="s">
        <v>2474</v>
      </c>
      <c r="B288" s="1370"/>
      <c r="C288" s="124"/>
      <c r="D288" s="91"/>
    </row>
    <row r="289" spans="1:10" x14ac:dyDescent="0.25">
      <c r="A289" s="1370" t="s">
        <v>2516</v>
      </c>
      <c r="B289" s="1370"/>
      <c r="C289" s="124"/>
      <c r="D289" s="91"/>
    </row>
    <row r="290" spans="1:10" x14ac:dyDescent="0.25">
      <c r="A290" s="1370"/>
      <c r="B290" s="1370"/>
      <c r="C290" s="124"/>
      <c r="D290" s="91"/>
    </row>
    <row r="291" spans="1:10" ht="15.75" thickBot="1" x14ac:dyDescent="0.3">
      <c r="A291" s="3244" t="s">
        <v>574</v>
      </c>
      <c r="B291" s="3244" t="s">
        <v>2472</v>
      </c>
      <c r="C291" s="1314"/>
      <c r="D291" s="1314"/>
      <c r="E291" s="1314"/>
      <c r="F291" s="1314"/>
      <c r="G291" s="1314"/>
      <c r="H291" s="1314"/>
      <c r="I291" s="1314"/>
      <c r="J291" s="1314"/>
    </row>
    <row r="292" spans="1:10" ht="15.75" thickTop="1" x14ac:dyDescent="0.25">
      <c r="A292" t="s">
        <v>2969</v>
      </c>
    </row>
    <row r="293" spans="1:10" x14ac:dyDescent="0.25">
      <c r="A293" t="s">
        <v>2517</v>
      </c>
    </row>
    <row r="295" spans="1:10" x14ac:dyDescent="0.25">
      <c r="A295" t="s">
        <v>2483</v>
      </c>
      <c r="B295" t="s">
        <v>2482</v>
      </c>
    </row>
    <row r="296" spans="1:10" x14ac:dyDescent="0.25">
      <c r="B296" s="1155" t="s">
        <v>2490</v>
      </c>
    </row>
    <row r="297" spans="1:10" x14ac:dyDescent="0.25">
      <c r="B297" s="1155" t="s">
        <v>2489</v>
      </c>
    </row>
    <row r="298" spans="1:10" x14ac:dyDescent="0.25">
      <c r="B298" s="1155" t="s">
        <v>2491</v>
      </c>
    </row>
    <row r="300" spans="1:10" x14ac:dyDescent="0.25">
      <c r="A300" t="s">
        <v>1105</v>
      </c>
      <c r="B300" t="s">
        <v>2470</v>
      </c>
    </row>
    <row r="301" spans="1:10" x14ac:dyDescent="0.25">
      <c r="A301" t="s">
        <v>1106</v>
      </c>
      <c r="B301" t="s">
        <v>381</v>
      </c>
      <c r="C301" s="124"/>
      <c r="D301" s="124"/>
    </row>
    <row r="302" spans="1:10" x14ac:dyDescent="0.25">
      <c r="B302" s="1155" t="s">
        <v>2514</v>
      </c>
      <c r="D302" s="124"/>
    </row>
    <row r="303" spans="1:10" x14ac:dyDescent="0.25">
      <c r="B303" s="1155" t="s">
        <v>2497</v>
      </c>
      <c r="D303" s="124"/>
    </row>
    <row r="304" spans="1:10" x14ac:dyDescent="0.25">
      <c r="B304" t="s">
        <v>111</v>
      </c>
      <c r="D304" s="124"/>
    </row>
    <row r="305" spans="1:4" x14ac:dyDescent="0.25">
      <c r="B305" s="1155" t="s">
        <v>2515</v>
      </c>
      <c r="D305" s="124"/>
    </row>
    <row r="306" spans="1:4" x14ac:dyDescent="0.25">
      <c r="B306" s="1155" t="s">
        <v>2497</v>
      </c>
      <c r="D306" s="124"/>
    </row>
    <row r="307" spans="1:4" x14ac:dyDescent="0.25">
      <c r="A307" t="s">
        <v>2471</v>
      </c>
      <c r="B307" t="s">
        <v>2970</v>
      </c>
      <c r="C307" s="124"/>
      <c r="D307" s="124"/>
    </row>
    <row r="308" spans="1:4" x14ac:dyDescent="0.25">
      <c r="A308" s="124"/>
      <c r="B308" s="1155" t="s">
        <v>2473</v>
      </c>
      <c r="C308" s="124"/>
      <c r="D308" s="124"/>
    </row>
    <row r="309" spans="1:4" x14ac:dyDescent="0.25">
      <c r="A309" t="s">
        <v>1462</v>
      </c>
      <c r="B309" t="s">
        <v>1448</v>
      </c>
      <c r="C309" s="124"/>
      <c r="D309" s="124"/>
    </row>
    <row r="310" spans="1:4" x14ac:dyDescent="0.25">
      <c r="A310" s="124"/>
      <c r="B310" s="1155" t="s">
        <v>2480</v>
      </c>
      <c r="C310" s="124"/>
      <c r="D310" s="124"/>
    </row>
    <row r="311" spans="1:4" x14ac:dyDescent="0.25">
      <c r="A311" t="s">
        <v>1450</v>
      </c>
      <c r="B311" t="s">
        <v>1786</v>
      </c>
    </row>
    <row r="312" spans="1:4" x14ac:dyDescent="0.25">
      <c r="B312" s="1155" t="s">
        <v>2480</v>
      </c>
    </row>
    <row r="313" spans="1:4" x14ac:dyDescent="0.25">
      <c r="A313" t="s">
        <v>1107</v>
      </c>
      <c r="B313" t="s">
        <v>130</v>
      </c>
      <c r="C313" s="124"/>
    </row>
    <row r="314" spans="1:4" x14ac:dyDescent="0.25">
      <c r="B314" s="1155" t="s">
        <v>2473</v>
      </c>
      <c r="C314" s="124"/>
    </row>
    <row r="315" spans="1:4" x14ac:dyDescent="0.25">
      <c r="A315" t="s">
        <v>1108</v>
      </c>
      <c r="B315" t="s">
        <v>2475</v>
      </c>
      <c r="D315" s="124"/>
    </row>
    <row r="316" spans="1:4" x14ac:dyDescent="0.25">
      <c r="B316" s="1155" t="s">
        <v>2509</v>
      </c>
      <c r="C316" s="124"/>
    </row>
    <row r="317" spans="1:4" x14ac:dyDescent="0.25">
      <c r="A317" t="s">
        <v>1100</v>
      </c>
      <c r="B317" t="s">
        <v>2476</v>
      </c>
      <c r="D317" s="124"/>
    </row>
    <row r="318" spans="1:4" x14ac:dyDescent="0.25">
      <c r="B318" s="1155" t="s">
        <v>2510</v>
      </c>
      <c r="D318" s="1317"/>
    </row>
    <row r="319" spans="1:4" x14ac:dyDescent="0.25">
      <c r="A319" s="1317" t="s">
        <v>1099</v>
      </c>
      <c r="B319" t="s">
        <v>2478</v>
      </c>
      <c r="C319" s="124"/>
      <c r="D319" s="1317"/>
    </row>
    <row r="320" spans="1:4" x14ac:dyDescent="0.25">
      <c r="A320" s="124"/>
      <c r="B320" s="1155" t="s">
        <v>2477</v>
      </c>
      <c r="D320" s="124"/>
    </row>
    <row r="321" spans="1:4" x14ac:dyDescent="0.25">
      <c r="B321" t="s">
        <v>2492</v>
      </c>
      <c r="D321" s="1317"/>
    </row>
    <row r="322" spans="1:4" x14ac:dyDescent="0.25">
      <c r="B322" s="67" t="s">
        <v>2493</v>
      </c>
      <c r="D322" s="1317"/>
    </row>
    <row r="323" spans="1:4" x14ac:dyDescent="0.25">
      <c r="B323" s="1155" t="s">
        <v>2477</v>
      </c>
    </row>
    <row r="324" spans="1:4" x14ac:dyDescent="0.25">
      <c r="B324" t="s">
        <v>1836</v>
      </c>
      <c r="C324" s="124"/>
    </row>
    <row r="325" spans="1:4" x14ac:dyDescent="0.25">
      <c r="B325" s="1155" t="s">
        <v>2495</v>
      </c>
      <c r="C325" s="124"/>
    </row>
    <row r="326" spans="1:4" x14ac:dyDescent="0.25">
      <c r="A326" s="1317" t="s">
        <v>1098</v>
      </c>
      <c r="B326" t="s">
        <v>1531</v>
      </c>
      <c r="C326" s="124"/>
    </row>
    <row r="327" spans="1:4" x14ac:dyDescent="0.25">
      <c r="A327" s="124"/>
      <c r="B327" s="1155" t="s">
        <v>2498</v>
      </c>
      <c r="C327" s="124"/>
    </row>
    <row r="328" spans="1:4" x14ac:dyDescent="0.25">
      <c r="A328" s="1317" t="s">
        <v>1097</v>
      </c>
      <c r="B328" t="s">
        <v>278</v>
      </c>
      <c r="C328" s="124"/>
      <c r="D328" s="124"/>
    </row>
    <row r="329" spans="1:4" x14ac:dyDescent="0.25">
      <c r="A329" s="1317"/>
      <c r="B329" s="1155" t="s">
        <v>2499</v>
      </c>
      <c r="C329" s="124"/>
      <c r="D329" s="124"/>
    </row>
    <row r="330" spans="1:4" x14ac:dyDescent="0.25">
      <c r="A330" s="1317"/>
      <c r="B330" t="s">
        <v>126</v>
      </c>
      <c r="C330" s="124"/>
      <c r="D330" s="124"/>
    </row>
    <row r="331" spans="1:4" x14ac:dyDescent="0.25">
      <c r="B331" s="1155" t="s">
        <v>2500</v>
      </c>
      <c r="C331" s="124"/>
      <c r="D331" s="124"/>
    </row>
    <row r="332" spans="1:4" x14ac:dyDescent="0.25">
      <c r="C332" s="124"/>
      <c r="D332" s="124"/>
    </row>
    <row r="333" spans="1:4" x14ac:dyDescent="0.25">
      <c r="A333" s="1317" t="s">
        <v>2484</v>
      </c>
      <c r="B333" s="1296" t="s">
        <v>2402</v>
      </c>
      <c r="C333" s="124"/>
      <c r="D333" s="124"/>
    </row>
    <row r="334" spans="1:4" x14ac:dyDescent="0.25">
      <c r="B334" t="s">
        <v>2091</v>
      </c>
      <c r="C334" s="124"/>
      <c r="D334" s="124"/>
    </row>
    <row r="335" spans="1:4" x14ac:dyDescent="0.25">
      <c r="B335" s="1155" t="s">
        <v>2511</v>
      </c>
      <c r="C335" s="124"/>
      <c r="D335" s="124"/>
    </row>
    <row r="336" spans="1:4" x14ac:dyDescent="0.25">
      <c r="A336" s="124"/>
      <c r="B336" s="1296" t="s">
        <v>2092</v>
      </c>
      <c r="C336" s="124"/>
      <c r="D336" s="124"/>
    </row>
    <row r="337" spans="1:4" x14ac:dyDescent="0.25">
      <c r="A337" s="124"/>
      <c r="B337" s="63" t="s">
        <v>2505</v>
      </c>
      <c r="C337" s="124"/>
      <c r="D337" s="124"/>
    </row>
    <row r="338" spans="1:4" x14ac:dyDescent="0.25">
      <c r="A338" s="124"/>
      <c r="B338" s="1296" t="s">
        <v>434</v>
      </c>
      <c r="C338" s="124"/>
      <c r="D338" s="124"/>
    </row>
    <row r="339" spans="1:4" x14ac:dyDescent="0.25">
      <c r="A339" s="124"/>
      <c r="B339" s="1026" t="s">
        <v>2504</v>
      </c>
      <c r="C339" s="124"/>
      <c r="D339" s="124"/>
    </row>
    <row r="340" spans="1:4" x14ac:dyDescent="0.25">
      <c r="A340" s="124"/>
      <c r="B340" s="1296" t="s">
        <v>609</v>
      </c>
      <c r="C340" s="124"/>
      <c r="D340" s="124"/>
    </row>
    <row r="341" spans="1:4" x14ac:dyDescent="0.25">
      <c r="A341" s="124"/>
      <c r="B341" s="1026" t="s">
        <v>2503</v>
      </c>
      <c r="C341" s="124"/>
      <c r="D341" s="124"/>
    </row>
    <row r="342" spans="1:4" x14ac:dyDescent="0.25">
      <c r="A342" s="124"/>
      <c r="B342" s="1296" t="s">
        <v>1</v>
      </c>
      <c r="C342" s="124"/>
      <c r="D342" s="124"/>
    </row>
    <row r="343" spans="1:4" x14ac:dyDescent="0.25">
      <c r="A343" s="124"/>
      <c r="B343" s="63" t="s">
        <v>2506</v>
      </c>
      <c r="C343" s="124"/>
      <c r="D343" s="124"/>
    </row>
    <row r="344" spans="1:4" x14ac:dyDescent="0.25">
      <c r="A344" s="124"/>
      <c r="B344" s="1296" t="s">
        <v>2494</v>
      </c>
      <c r="C344" s="124"/>
      <c r="D344" s="124"/>
    </row>
    <row r="345" spans="1:4" x14ac:dyDescent="0.25">
      <c r="A345" s="124"/>
      <c r="B345" s="1296" t="s">
        <v>2507</v>
      </c>
      <c r="C345" s="124"/>
      <c r="D345" s="124"/>
    </row>
    <row r="346" spans="1:4" x14ac:dyDescent="0.25">
      <c r="A346" s="124"/>
      <c r="B346" s="1296" t="s">
        <v>610</v>
      </c>
      <c r="C346" s="124"/>
      <c r="D346" s="124"/>
    </row>
    <row r="347" spans="1:4" x14ac:dyDescent="0.25">
      <c r="A347" s="124"/>
      <c r="B347" s="63" t="s">
        <v>2512</v>
      </c>
      <c r="C347" s="124"/>
      <c r="D347" s="124"/>
    </row>
    <row r="348" spans="1:4" x14ac:dyDescent="0.25">
      <c r="A348" s="124"/>
      <c r="B348" s="6" t="s">
        <v>2486</v>
      </c>
      <c r="C348" s="124"/>
      <c r="D348" s="124"/>
    </row>
    <row r="349" spans="1:4" x14ac:dyDescent="0.25">
      <c r="A349" s="124"/>
      <c r="B349" s="63" t="s">
        <v>2513</v>
      </c>
      <c r="C349" s="124"/>
      <c r="D349" s="124"/>
    </row>
    <row r="350" spans="1:4" x14ac:dyDescent="0.25">
      <c r="A350" s="1317"/>
      <c r="B350" s="1351" t="s">
        <v>2485</v>
      </c>
      <c r="C350" s="124"/>
      <c r="D350" s="124"/>
    </row>
    <row r="351" spans="1:4" x14ac:dyDescent="0.25">
      <c r="A351" s="124"/>
      <c r="B351" s="1026" t="s">
        <v>2508</v>
      </c>
      <c r="C351" s="124"/>
      <c r="D351" s="124"/>
    </row>
    <row r="352" spans="1:4" x14ac:dyDescent="0.25">
      <c r="A352" s="124"/>
      <c r="B352" s="1296" t="s">
        <v>7</v>
      </c>
      <c r="C352" s="124"/>
      <c r="D352" s="124"/>
    </row>
    <row r="353" spans="1:8" x14ac:dyDescent="0.25">
      <c r="A353" s="124"/>
      <c r="B353" s="63" t="s">
        <v>2501</v>
      </c>
      <c r="C353" s="124"/>
      <c r="D353" s="124"/>
    </row>
    <row r="354" spans="1:8" x14ac:dyDescent="0.25">
      <c r="A354" s="124"/>
      <c r="B354" s="1296" t="s">
        <v>127</v>
      </c>
      <c r="C354" s="124"/>
      <c r="D354" s="124"/>
    </row>
    <row r="355" spans="1:8" x14ac:dyDescent="0.25">
      <c r="A355" s="124"/>
      <c r="B355" s="121" t="s">
        <v>2502</v>
      </c>
      <c r="C355" s="124"/>
      <c r="D355" s="124"/>
    </row>
    <row r="356" spans="1:8" x14ac:dyDescent="0.25">
      <c r="A356" s="124"/>
      <c r="B356" s="6" t="s">
        <v>0</v>
      </c>
      <c r="C356" s="124"/>
      <c r="D356" s="124"/>
    </row>
    <row r="357" spans="1:8" x14ac:dyDescent="0.25">
      <c r="A357" s="124"/>
      <c r="B357" s="6" t="s">
        <v>2496</v>
      </c>
      <c r="C357" s="124"/>
      <c r="D357" s="124"/>
    </row>
    <row r="358" spans="1:8" x14ac:dyDescent="0.25">
      <c r="A358" s="124"/>
      <c r="B358" s="1296"/>
      <c r="C358" s="124"/>
      <c r="D358" s="124"/>
    </row>
    <row r="359" spans="1:8" x14ac:dyDescent="0.25">
      <c r="A359" s="124"/>
      <c r="B359" s="1296"/>
      <c r="C359" s="124"/>
      <c r="D359" s="124"/>
    </row>
    <row r="360" spans="1:8" x14ac:dyDescent="0.25">
      <c r="A360" s="124"/>
      <c r="B360" s="1296"/>
      <c r="C360" s="124"/>
      <c r="D360" s="124"/>
    </row>
    <row r="361" spans="1:8" x14ac:dyDescent="0.25">
      <c r="A361" s="124"/>
      <c r="B361" s="124"/>
      <c r="C361" s="124"/>
      <c r="D361" s="124"/>
    </row>
    <row r="362" spans="1:8" x14ac:dyDescent="0.25">
      <c r="A362" s="90"/>
      <c r="C362" s="124"/>
      <c r="D362" s="1317"/>
    </row>
    <row r="363" spans="1:8" s="1382" customFormat="1" ht="15.75" x14ac:dyDescent="0.25">
      <c r="B363" s="1383" t="s">
        <v>961</v>
      </c>
      <c r="G363" s="1383" t="s">
        <v>962</v>
      </c>
    </row>
    <row r="364" spans="1:8" s="1382" customFormat="1" ht="16.5" thickBot="1" x14ac:dyDescent="0.3">
      <c r="B364" s="1383"/>
      <c r="G364" s="1383"/>
    </row>
    <row r="365" spans="1:8" ht="19.5" thickTop="1" x14ac:dyDescent="0.3">
      <c r="A365" s="960" t="s">
        <v>486</v>
      </c>
      <c r="B365" s="946"/>
      <c r="C365" s="946"/>
      <c r="D365" s="947"/>
      <c r="E365" s="947"/>
      <c r="F365" s="946"/>
      <c r="G365" s="946"/>
      <c r="H365" s="949"/>
    </row>
    <row r="366" spans="1:8" ht="15.75" x14ac:dyDescent="0.25">
      <c r="A366" s="964" t="s">
        <v>736</v>
      </c>
      <c r="B366" s="944"/>
      <c r="C366" s="944"/>
      <c r="D366" s="945"/>
      <c r="E366" s="945"/>
      <c r="F366" s="944"/>
      <c r="G366" s="944"/>
      <c r="H366" s="950"/>
    </row>
    <row r="367" spans="1:8" x14ac:dyDescent="0.25">
      <c r="A367" s="1054"/>
      <c r="B367" s="943" t="s">
        <v>326</v>
      </c>
      <c r="C367" s="945"/>
      <c r="D367" s="945"/>
      <c r="E367" s="945"/>
      <c r="F367" s="944"/>
      <c r="G367" s="944"/>
      <c r="H367" s="950"/>
    </row>
    <row r="368" spans="1:8" x14ac:dyDescent="0.25">
      <c r="A368" s="1054"/>
      <c r="B368" s="1356" t="s">
        <v>870</v>
      </c>
      <c r="C368" s="1357"/>
      <c r="D368" s="1357"/>
      <c r="E368" s="945"/>
      <c r="F368" s="944"/>
      <c r="G368" s="944"/>
      <c r="H368" s="950"/>
    </row>
    <row r="369" spans="1:8" x14ac:dyDescent="0.25">
      <c r="A369" s="1054"/>
      <c r="B369" s="942" t="s">
        <v>1103</v>
      </c>
      <c r="C369" s="945"/>
      <c r="D369" s="945"/>
      <c r="E369" s="945"/>
      <c r="F369" s="944"/>
      <c r="G369" s="944"/>
      <c r="H369" s="950"/>
    </row>
    <row r="370" spans="1:8" x14ac:dyDescent="0.25">
      <c r="A370" s="1054" t="s">
        <v>154</v>
      </c>
      <c r="B370" s="942" t="s">
        <v>1104</v>
      </c>
      <c r="C370" s="945"/>
      <c r="D370" s="945"/>
      <c r="E370" s="945"/>
      <c r="F370" s="944"/>
      <c r="G370" s="944"/>
      <c r="H370" s="950"/>
    </row>
    <row r="371" spans="1:8" x14ac:dyDescent="0.25">
      <c r="A371" s="1054"/>
      <c r="B371" s="942" t="s">
        <v>1105</v>
      </c>
      <c r="C371" s="945"/>
      <c r="D371" s="945"/>
      <c r="E371" s="945"/>
      <c r="F371" s="944"/>
      <c r="G371" s="944"/>
      <c r="H371" s="950"/>
    </row>
    <row r="372" spans="1:8" x14ac:dyDescent="0.25">
      <c r="A372" s="1890"/>
      <c r="B372" s="942" t="s">
        <v>1106</v>
      </c>
      <c r="C372" s="1019"/>
      <c r="D372" s="945"/>
      <c r="E372" s="945"/>
      <c r="F372" s="944"/>
      <c r="G372" s="944"/>
      <c r="H372" s="950"/>
    </row>
    <row r="373" spans="1:8" x14ac:dyDescent="0.25">
      <c r="A373" s="1890"/>
      <c r="B373" s="942" t="s">
        <v>1449</v>
      </c>
      <c r="C373" s="1019"/>
      <c r="D373" s="945"/>
      <c r="E373" s="945"/>
      <c r="F373" s="944"/>
      <c r="G373" s="944"/>
      <c r="H373" s="950"/>
    </row>
    <row r="374" spans="1:8" x14ac:dyDescent="0.25">
      <c r="A374" s="1890"/>
      <c r="B374" s="942" t="s">
        <v>1462</v>
      </c>
      <c r="C374" s="1019"/>
      <c r="D374" s="945"/>
      <c r="E374" s="945"/>
      <c r="F374" s="944"/>
      <c r="G374" s="944"/>
      <c r="H374" s="950"/>
    </row>
    <row r="375" spans="1:8" x14ac:dyDescent="0.25">
      <c r="A375" s="1890"/>
      <c r="B375" s="942" t="s">
        <v>1450</v>
      </c>
      <c r="C375" s="1019"/>
      <c r="D375" s="945"/>
      <c r="E375" s="945"/>
      <c r="F375" s="944"/>
      <c r="G375" s="944"/>
      <c r="H375" s="950"/>
    </row>
    <row r="376" spans="1:8" x14ac:dyDescent="0.25">
      <c r="A376" s="1890"/>
      <c r="B376" s="942" t="s">
        <v>1107</v>
      </c>
      <c r="C376" s="1019"/>
      <c r="D376" s="945"/>
      <c r="E376" s="945"/>
      <c r="F376" s="944"/>
      <c r="G376" s="944"/>
      <c r="H376" s="950"/>
    </row>
    <row r="377" spans="1:8" x14ac:dyDescent="0.25">
      <c r="A377" s="1890"/>
      <c r="B377" s="943" t="s">
        <v>1108</v>
      </c>
      <c r="C377" s="1019"/>
      <c r="D377" s="945"/>
      <c r="E377" s="945"/>
      <c r="F377" s="944"/>
      <c r="G377" s="944"/>
      <c r="H377" s="950"/>
    </row>
    <row r="378" spans="1:8" x14ac:dyDescent="0.25">
      <c r="A378" s="1890"/>
      <c r="B378" s="943" t="s">
        <v>1100</v>
      </c>
      <c r="C378" s="1019"/>
      <c r="D378" s="945"/>
      <c r="E378" s="945"/>
      <c r="F378" s="944"/>
      <c r="G378" s="944"/>
      <c r="H378" s="950"/>
    </row>
    <row r="379" spans="1:8" x14ac:dyDescent="0.25">
      <c r="A379" s="1054"/>
      <c r="B379" s="943" t="s">
        <v>1099</v>
      </c>
      <c r="C379" s="945"/>
      <c r="D379" s="945"/>
      <c r="E379" s="945"/>
      <c r="F379" s="944"/>
      <c r="G379" s="944"/>
      <c r="H379" s="950"/>
    </row>
    <row r="380" spans="1:8" x14ac:dyDescent="0.25">
      <c r="A380" s="1054"/>
      <c r="B380" s="943" t="s">
        <v>1098</v>
      </c>
      <c r="C380" s="945"/>
      <c r="D380" s="945"/>
      <c r="E380" s="945"/>
      <c r="F380" s="944"/>
      <c r="G380" s="944"/>
      <c r="H380" s="950"/>
    </row>
    <row r="381" spans="1:8" x14ac:dyDescent="0.25">
      <c r="A381" s="1054"/>
      <c r="B381" s="942" t="s">
        <v>1097</v>
      </c>
      <c r="C381" s="945"/>
      <c r="D381" s="945"/>
      <c r="E381" s="945"/>
      <c r="F381" s="944"/>
      <c r="G381" s="944"/>
      <c r="H381" s="950"/>
    </row>
    <row r="382" spans="1:8" x14ac:dyDescent="0.25">
      <c r="A382" s="1054"/>
      <c r="B382" s="943" t="s">
        <v>1101</v>
      </c>
      <c r="C382" s="945"/>
      <c r="D382" s="945"/>
      <c r="E382" s="945"/>
      <c r="F382" s="944"/>
      <c r="G382" s="944"/>
      <c r="H382" s="950"/>
    </row>
    <row r="383" spans="1:8" x14ac:dyDescent="0.25">
      <c r="A383" s="1054"/>
      <c r="B383" s="943" t="s">
        <v>1102</v>
      </c>
      <c r="C383" s="945"/>
      <c r="D383" s="1019" t="s">
        <v>1762</v>
      </c>
      <c r="E383" s="945"/>
      <c r="F383" s="944"/>
      <c r="G383" s="944"/>
      <c r="H383" s="950"/>
    </row>
    <row r="384" spans="1:8" x14ac:dyDescent="0.25">
      <c r="A384" s="1083"/>
      <c r="B384" s="1081" t="s">
        <v>723</v>
      </c>
      <c r="C384" s="945"/>
      <c r="D384" s="1019" t="s">
        <v>724</v>
      </c>
      <c r="E384" s="945"/>
      <c r="F384" s="944"/>
      <c r="G384" s="944"/>
      <c r="H384" s="950"/>
    </row>
    <row r="385" spans="1:8" x14ac:dyDescent="0.25">
      <c r="A385" s="1083"/>
      <c r="B385" s="1081" t="s">
        <v>719</v>
      </c>
      <c r="C385" s="945"/>
      <c r="D385" s="1019" t="s">
        <v>1764</v>
      </c>
      <c r="E385" s="945"/>
      <c r="F385" s="944"/>
      <c r="G385" s="944"/>
      <c r="H385" s="950"/>
    </row>
    <row r="386" spans="1:8" x14ac:dyDescent="0.25">
      <c r="A386" s="1083"/>
      <c r="B386" s="1081" t="s">
        <v>720</v>
      </c>
      <c r="C386" s="945"/>
      <c r="D386" s="1019" t="s">
        <v>1289</v>
      </c>
      <c r="E386" s="945"/>
      <c r="F386" s="945"/>
      <c r="G386" s="945"/>
      <c r="H386" s="950"/>
    </row>
    <row r="387" spans="1:8" x14ac:dyDescent="0.25">
      <c r="A387" s="1083"/>
      <c r="B387" s="1081" t="s">
        <v>721</v>
      </c>
      <c r="C387" s="945"/>
      <c r="D387" s="945" t="s">
        <v>722</v>
      </c>
      <c r="E387" s="945"/>
      <c r="F387" s="945"/>
      <c r="G387" s="945"/>
      <c r="H387" s="950"/>
    </row>
    <row r="388" spans="1:8" x14ac:dyDescent="0.25">
      <c r="A388" s="1083"/>
      <c r="B388" s="1081" t="s">
        <v>725</v>
      </c>
      <c r="C388" s="945"/>
      <c r="D388" s="1019" t="s">
        <v>1763</v>
      </c>
      <c r="E388" s="945"/>
      <c r="F388" s="945"/>
      <c r="G388" s="945"/>
      <c r="H388" s="950"/>
    </row>
    <row r="389" spans="1:8" ht="15.75" thickBot="1" x14ac:dyDescent="0.3">
      <c r="A389" s="1088"/>
      <c r="B389" s="1089" t="s">
        <v>577</v>
      </c>
      <c r="C389" s="948"/>
      <c r="D389" s="1087" t="s">
        <v>578</v>
      </c>
      <c r="E389" s="948"/>
      <c r="F389" s="948"/>
      <c r="G389" s="948"/>
      <c r="H389" s="951"/>
    </row>
    <row r="390" spans="1:8" ht="15.75" thickTop="1" x14ac:dyDescent="0.25"/>
  </sheetData>
  <sheetProtection sheet="1" objects="1" scenarios="1"/>
  <phoneticPr fontId="0" type="noConversion"/>
  <hyperlinks>
    <hyperlink ref="B1" location="'Appendix C'!A1" display="Previous worksheet (Appendix C)"/>
    <hyperlink ref="G1" location="FAQ!A1" display="Next worksheet (FAQ)"/>
    <hyperlink ref="G363" location="FAQ!A1" display="Next worksheet (FAQ)"/>
    <hyperlink ref="D259" location="'RS. Resources'!A1" display="RS. Resources"/>
    <hyperlink ref="C273" location="Assumptions!A1" display="Assumptions"/>
    <hyperlink ref="B371" location="'1. AgeData'!A1" display="AgeData"/>
    <hyperlink ref="B372" location="'2. TaxData'!A1" display="TaxData"/>
    <hyperlink ref="B374" location="'4. PensionData'!A1" display="4. PensionData"/>
    <hyperlink ref="B375" location="'5. SocSecData'!A1" display="5. SocSecData"/>
    <hyperlink ref="B373" location="'3. WorkData'!A1" display="3. WorkData"/>
    <hyperlink ref="B376" location="'6. AnnuityData'!A1" display="AnnuityData"/>
    <hyperlink ref="B377" location="'7. IRAdata'!A1" display="IRAdata"/>
    <hyperlink ref="B378" location="'8. RothData'!A1" display="RothData"/>
    <hyperlink ref="B379" location="'9. SavingsData'!A1" display="SavingsData"/>
    <hyperlink ref="B381" location="'11. CashData'!A1" display="CashData"/>
    <hyperlink ref="B380" location="'10. ExpensesData'!A1" display="ExpensesData"/>
    <hyperlink ref="B382" location="'12. RMDtable'!A1" display="RMDtable"/>
    <hyperlink ref="B384" location="Figures!A1" display="Figures"/>
    <hyperlink ref="B388" location="'Appendix D'!A1" display="Appendix D"/>
    <hyperlink ref="B385" location="'Appendix A'!A1" display="Appendix A"/>
    <hyperlink ref="B386" location="'Appendix B'!A1" display="Appendix B"/>
    <hyperlink ref="B387" location="'Appendix C'!A1" display="Appendix C"/>
    <hyperlink ref="B389" location="FAQ!A1" display="FAQ"/>
    <hyperlink ref="B383" location="'RS. Resources'!A1" display="Resources"/>
    <hyperlink ref="D146" location="SimpleCalc!A1" display="SimpleCalc "/>
    <hyperlink ref="B368" location="Assumptions!A1" display="Assumptions"/>
    <hyperlink ref="B367" location="Introduction!A1" display="Introduction"/>
    <hyperlink ref="B369" location="'R. Results'!A1" display="Results"/>
    <hyperlink ref="B370" location="'S. Setup'!A1" display="Setup"/>
    <hyperlink ref="B363" location="'Appendix C'!A1" display="Previous worksheet (Appendix C)"/>
  </hyperlinks>
  <printOptions headings="1" gridLines="1"/>
  <pageMargins left="0.7" right="0.7" top="0.75" bottom="0.75" header="0.3" footer="0.3"/>
  <pageSetup orientation="landscape" horizontalDpi="1200" verticalDpi="1200" r:id="rId1"/>
  <headerFooter>
    <oddHeader>&amp;L&amp;F&amp;C&amp;D &amp;T&amp;R&amp;A &amp;P</oddHead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317"/>
  <sheetViews>
    <sheetView zoomScaleNormal="100" workbookViewId="0">
      <selection activeCell="A169" sqref="A169"/>
    </sheetView>
  </sheetViews>
  <sheetFormatPr defaultRowHeight="15" x14ac:dyDescent="0.25"/>
  <cols>
    <col min="5" max="5" width="11.7109375" customWidth="1"/>
    <col min="9" max="9" width="10" customWidth="1"/>
    <col min="12" max="12" width="11" customWidth="1"/>
  </cols>
  <sheetData>
    <row r="1" spans="1:12" ht="15.75" x14ac:dyDescent="0.25">
      <c r="A1" s="1367"/>
      <c r="B1" s="1383" t="s">
        <v>963</v>
      </c>
      <c r="C1" s="1367"/>
      <c r="D1" s="1367"/>
      <c r="E1" s="1367"/>
    </row>
    <row r="2" spans="1:12" ht="15.75" x14ac:dyDescent="0.25">
      <c r="A2" s="1419"/>
      <c r="B2" s="1418"/>
      <c r="C2" s="1419"/>
      <c r="D2" s="1419"/>
      <c r="E2" s="1419"/>
      <c r="F2" s="1419"/>
      <c r="G2" s="1419"/>
      <c r="H2" s="1419"/>
      <c r="I2" s="1419"/>
      <c r="J2" s="1419"/>
      <c r="K2" s="1419"/>
      <c r="L2" s="1419"/>
    </row>
    <row r="4" spans="1:12" ht="18.75" x14ac:dyDescent="0.3">
      <c r="A4" s="1086" t="s">
        <v>178</v>
      </c>
    </row>
    <row r="5" spans="1:12" ht="18.75" x14ac:dyDescent="0.3">
      <c r="A5" s="1086"/>
    </row>
    <row r="6" spans="1:12" ht="15.75" x14ac:dyDescent="0.25">
      <c r="A6" s="1582" t="s">
        <v>2989</v>
      </c>
    </row>
    <row r="7" spans="1:12" x14ac:dyDescent="0.25">
      <c r="A7" s="66" t="s">
        <v>3217</v>
      </c>
    </row>
    <row r="8" spans="1:12" ht="15.75" thickBot="1" x14ac:dyDescent="0.3">
      <c r="A8" s="66"/>
    </row>
    <row r="9" spans="1:12" ht="18.75" x14ac:dyDescent="0.3">
      <c r="A9" s="699" t="s">
        <v>253</v>
      </c>
      <c r="B9" s="757"/>
      <c r="C9" s="737"/>
      <c r="D9" s="737"/>
      <c r="E9" s="737"/>
      <c r="F9" s="737"/>
      <c r="G9" s="701"/>
      <c r="H9" s="701"/>
      <c r="I9" s="701"/>
      <c r="J9" s="701"/>
      <c r="K9" s="745"/>
    </row>
    <row r="10" spans="1:12" x14ac:dyDescent="0.25">
      <c r="A10" s="1364" t="s">
        <v>189</v>
      </c>
      <c r="B10" s="748"/>
      <c r="C10" s="122"/>
      <c r="D10" s="122"/>
      <c r="E10" s="122"/>
      <c r="F10" s="122"/>
      <c r="G10" s="66"/>
      <c r="H10" s="66"/>
      <c r="I10" s="66"/>
      <c r="J10" s="66"/>
      <c r="K10" s="746"/>
    </row>
    <row r="11" spans="1:12" x14ac:dyDescent="0.25">
      <c r="A11" s="1364" t="s">
        <v>190</v>
      </c>
      <c r="B11" s="748"/>
      <c r="C11" s="122"/>
      <c r="D11" s="122"/>
      <c r="E11" s="122"/>
      <c r="F11" s="122"/>
      <c r="G11" s="66"/>
      <c r="H11" s="66"/>
      <c r="I11" s="66"/>
      <c r="J11" s="66"/>
      <c r="K11" s="746"/>
    </row>
    <row r="12" spans="1:12" x14ac:dyDescent="0.25">
      <c r="A12" s="1364" t="s">
        <v>3118</v>
      </c>
      <c r="B12" s="748"/>
      <c r="C12" s="122"/>
      <c r="D12" s="122"/>
      <c r="E12" s="122"/>
      <c r="F12" s="122"/>
      <c r="G12" s="66"/>
      <c r="H12" s="66"/>
      <c r="I12" s="66"/>
      <c r="J12" s="66"/>
      <c r="K12" s="746"/>
    </row>
    <row r="13" spans="1:12" x14ac:dyDescent="0.25">
      <c r="A13" s="1364" t="s">
        <v>183</v>
      </c>
      <c r="B13" s="66"/>
      <c r="C13" s="66"/>
      <c r="D13" s="66"/>
      <c r="E13" s="66"/>
      <c r="F13" s="66"/>
      <c r="G13" s="66"/>
      <c r="H13" s="66"/>
      <c r="I13" s="66"/>
      <c r="J13" s="66"/>
      <c r="K13" s="746"/>
    </row>
    <row r="14" spans="1:12" x14ac:dyDescent="0.25">
      <c r="A14" s="1364" t="s">
        <v>182</v>
      </c>
      <c r="B14" s="66"/>
      <c r="C14" s="66"/>
      <c r="D14" s="66"/>
      <c r="E14" s="66"/>
      <c r="F14" s="66"/>
      <c r="G14" s="66"/>
      <c r="H14" s="66"/>
      <c r="I14" s="66"/>
      <c r="J14" s="66"/>
      <c r="K14" s="746"/>
    </row>
    <row r="15" spans="1:12" x14ac:dyDescent="0.25">
      <c r="A15" s="3644" t="s">
        <v>3042</v>
      </c>
      <c r="B15" s="66"/>
      <c r="C15" s="66"/>
      <c r="D15" s="66"/>
      <c r="E15" s="66"/>
      <c r="F15" s="66"/>
      <c r="G15" s="66"/>
      <c r="H15" s="66"/>
      <c r="I15" s="66"/>
      <c r="J15" s="66"/>
      <c r="K15" s="746"/>
    </row>
    <row r="16" spans="1:12" x14ac:dyDescent="0.25">
      <c r="A16" s="3644" t="s">
        <v>3043</v>
      </c>
      <c r="B16" s="66"/>
      <c r="C16" s="66"/>
      <c r="D16" s="66"/>
      <c r="E16" s="66"/>
      <c r="F16" s="66"/>
      <c r="G16" s="66"/>
      <c r="H16" s="66"/>
      <c r="I16" s="66"/>
      <c r="J16" s="66"/>
      <c r="K16" s="746"/>
    </row>
    <row r="17" spans="1:11" x14ac:dyDescent="0.25">
      <c r="A17" s="3644" t="s">
        <v>3044</v>
      </c>
      <c r="B17" s="66"/>
      <c r="C17" s="66"/>
      <c r="D17" s="66"/>
      <c r="E17" s="66"/>
      <c r="F17" s="66"/>
      <c r="G17" s="66"/>
      <c r="H17" s="66"/>
      <c r="I17" s="66"/>
      <c r="J17" s="66"/>
      <c r="K17" s="746"/>
    </row>
    <row r="18" spans="1:11" x14ac:dyDescent="0.25">
      <c r="A18" s="3644" t="s">
        <v>3045</v>
      </c>
      <c r="B18" s="66"/>
      <c r="C18" s="66"/>
      <c r="D18" s="66"/>
      <c r="E18" s="66"/>
      <c r="F18" s="66"/>
      <c r="G18" s="66"/>
      <c r="H18" s="66"/>
      <c r="I18" s="66"/>
      <c r="J18" s="66"/>
      <c r="K18" s="746"/>
    </row>
    <row r="19" spans="1:11" x14ac:dyDescent="0.25">
      <c r="A19" s="3644" t="s">
        <v>3046</v>
      </c>
      <c r="B19" s="66"/>
      <c r="C19" s="66"/>
      <c r="D19" s="66"/>
      <c r="E19" s="66"/>
      <c r="F19" s="66"/>
      <c r="G19" s="66"/>
      <c r="H19" s="66"/>
      <c r="I19" s="66"/>
      <c r="J19" s="66"/>
      <c r="K19" s="746"/>
    </row>
    <row r="20" spans="1:11" x14ac:dyDescent="0.25">
      <c r="A20" s="3644" t="s">
        <v>3047</v>
      </c>
      <c r="B20" s="66"/>
      <c r="C20" s="66"/>
      <c r="D20" s="66"/>
      <c r="E20" s="66"/>
      <c r="F20" s="66"/>
      <c r="G20" s="66"/>
      <c r="H20" s="66"/>
      <c r="I20" s="66"/>
      <c r="J20" s="66"/>
      <c r="K20" s="746"/>
    </row>
    <row r="21" spans="1:11" x14ac:dyDescent="0.25">
      <c r="A21" s="705" t="s">
        <v>3120</v>
      </c>
      <c r="B21" s="66"/>
      <c r="C21" s="66"/>
      <c r="D21" s="66"/>
      <c r="E21" s="66"/>
      <c r="F21" s="66"/>
      <c r="G21" s="66"/>
      <c r="H21" s="66"/>
      <c r="I21" s="66"/>
      <c r="J21" s="66"/>
      <c r="K21" s="746"/>
    </row>
    <row r="22" spans="1:11" x14ac:dyDescent="0.25">
      <c r="A22" s="705" t="s">
        <v>3121</v>
      </c>
      <c r="B22" s="66"/>
      <c r="C22" s="66"/>
      <c r="D22" s="66"/>
      <c r="E22" s="66"/>
      <c r="F22" s="66"/>
      <c r="G22" s="66"/>
      <c r="H22" s="66"/>
      <c r="I22" s="66"/>
      <c r="J22" s="66"/>
      <c r="K22" s="746"/>
    </row>
    <row r="23" spans="1:11" x14ac:dyDescent="0.25">
      <c r="A23" s="67" t="s">
        <v>3227</v>
      </c>
      <c r="B23" s="66"/>
      <c r="C23" s="66"/>
      <c r="D23" s="66"/>
      <c r="E23" s="66"/>
      <c r="F23" s="66"/>
      <c r="G23" s="66"/>
      <c r="H23" s="66"/>
      <c r="I23" s="66"/>
      <c r="J23" s="66"/>
      <c r="K23" s="746"/>
    </row>
    <row r="24" spans="1:11" x14ac:dyDescent="0.25">
      <c r="A24" s="67" t="s">
        <v>3228</v>
      </c>
      <c r="B24" s="66"/>
      <c r="C24" s="66"/>
      <c r="D24" s="66"/>
      <c r="E24" s="66"/>
      <c r="F24" s="66"/>
      <c r="G24" s="66"/>
      <c r="H24" s="66"/>
      <c r="I24" s="66"/>
      <c r="J24" s="66"/>
      <c r="K24" s="746"/>
    </row>
    <row r="25" spans="1:11" x14ac:dyDescent="0.25">
      <c r="A25" s="67" t="s">
        <v>3229</v>
      </c>
      <c r="B25" s="66"/>
      <c r="C25" s="66"/>
      <c r="D25" s="66"/>
      <c r="E25" s="66"/>
      <c r="F25" s="66"/>
      <c r="G25" s="66"/>
      <c r="H25" s="66"/>
      <c r="I25" s="66"/>
      <c r="J25" s="66"/>
      <c r="K25" s="746"/>
    </row>
    <row r="26" spans="1:11" x14ac:dyDescent="0.25">
      <c r="A26" s="67" t="s">
        <v>3230</v>
      </c>
      <c r="B26" s="66"/>
      <c r="C26" s="66"/>
      <c r="D26" s="66"/>
      <c r="E26" s="66"/>
      <c r="F26" s="66"/>
      <c r="G26" s="66"/>
      <c r="H26" s="66"/>
      <c r="I26" s="66"/>
      <c r="J26" s="66"/>
      <c r="K26" s="746"/>
    </row>
    <row r="27" spans="1:11" x14ac:dyDescent="0.25">
      <c r="A27" s="67" t="s">
        <v>3231</v>
      </c>
      <c r="B27" s="66"/>
      <c r="C27" s="66"/>
      <c r="D27" s="66"/>
      <c r="E27" s="66"/>
      <c r="F27" s="66"/>
      <c r="G27" s="66"/>
      <c r="H27" s="66"/>
      <c r="I27" s="66"/>
      <c r="J27" s="66"/>
      <c r="K27" s="746"/>
    </row>
    <row r="28" spans="1:11" x14ac:dyDescent="0.25">
      <c r="A28" s="67" t="s">
        <v>3232</v>
      </c>
      <c r="B28" s="66"/>
      <c r="C28" s="66"/>
      <c r="D28" s="66"/>
      <c r="E28" s="66"/>
      <c r="F28" s="66"/>
      <c r="G28" s="66"/>
      <c r="H28" s="66"/>
      <c r="I28" s="66"/>
      <c r="J28" s="66"/>
      <c r="K28" s="746"/>
    </row>
    <row r="29" spans="1:11" x14ac:dyDescent="0.25">
      <c r="A29" s="67" t="s">
        <v>3233</v>
      </c>
      <c r="B29" s="66"/>
      <c r="C29" s="66"/>
      <c r="D29" s="66"/>
      <c r="E29" s="66"/>
      <c r="F29" s="66"/>
      <c r="G29" s="66"/>
      <c r="H29" s="66"/>
      <c r="I29" s="66"/>
      <c r="J29" s="66"/>
      <c r="K29" s="746"/>
    </row>
    <row r="30" spans="1:11" x14ac:dyDescent="0.25">
      <c r="A30" s="67" t="s">
        <v>3234</v>
      </c>
      <c r="B30" s="66"/>
      <c r="C30" s="66"/>
      <c r="D30" s="66"/>
      <c r="E30" s="66"/>
      <c r="F30" s="66"/>
      <c r="G30" s="66"/>
      <c r="H30" s="66"/>
      <c r="I30" s="66"/>
      <c r="J30" s="66"/>
      <c r="K30" s="746"/>
    </row>
    <row r="31" spans="1:11" x14ac:dyDescent="0.25">
      <c r="A31" s="1364" t="s">
        <v>3122</v>
      </c>
      <c r="B31" s="66"/>
      <c r="C31" s="66"/>
      <c r="D31" s="66"/>
      <c r="E31" s="66"/>
      <c r="F31" s="66"/>
      <c r="G31" s="66"/>
      <c r="H31" s="66"/>
      <c r="I31" s="66"/>
      <c r="J31" s="66"/>
      <c r="K31" s="746"/>
    </row>
    <row r="32" spans="1:11" ht="15.75" thickBot="1" x14ac:dyDescent="0.3">
      <c r="A32" s="1889" t="s">
        <v>3104</v>
      </c>
      <c r="B32" s="777"/>
      <c r="C32" s="777"/>
      <c r="D32" s="777"/>
      <c r="E32" s="777"/>
      <c r="F32" s="777"/>
      <c r="G32" s="777"/>
      <c r="H32" s="777"/>
      <c r="I32" s="777"/>
      <c r="J32" s="777"/>
      <c r="K32" s="747"/>
    </row>
    <row r="33" spans="1:10" x14ac:dyDescent="0.25">
      <c r="A33" s="66"/>
      <c r="B33" s="67"/>
      <c r="C33" s="67"/>
      <c r="D33" s="67"/>
      <c r="E33" s="67"/>
      <c r="F33" s="67"/>
      <c r="G33" s="67"/>
      <c r="H33" s="67"/>
      <c r="I33" s="67"/>
      <c r="J33" s="67"/>
    </row>
    <row r="34" spans="1:10" x14ac:dyDescent="0.25">
      <c r="A34" s="66"/>
    </row>
    <row r="35" spans="1:10" ht="15.75" x14ac:dyDescent="0.25">
      <c r="A35" s="1582"/>
    </row>
    <row r="36" spans="1:10" s="1085" customFormat="1" ht="15.75" x14ac:dyDescent="0.25">
      <c r="A36" s="221" t="s">
        <v>189</v>
      </c>
    </row>
    <row r="37" spans="1:10" s="1085" customFormat="1" x14ac:dyDescent="0.25">
      <c r="A37" s="67" t="s">
        <v>188</v>
      </c>
      <c r="C37" s="978" t="s">
        <v>1464</v>
      </c>
      <c r="G37" s="978"/>
    </row>
    <row r="38" spans="1:10" x14ac:dyDescent="0.25">
      <c r="A38" t="s">
        <v>1151</v>
      </c>
    </row>
    <row r="39" spans="1:10" x14ac:dyDescent="0.25">
      <c r="A39" t="s">
        <v>2972</v>
      </c>
    </row>
    <row r="40" spans="1:10" x14ac:dyDescent="0.25">
      <c r="A40" t="s">
        <v>3644</v>
      </c>
    </row>
    <row r="41" spans="1:10" x14ac:dyDescent="0.25">
      <c r="A41" t="s">
        <v>3645</v>
      </c>
    </row>
    <row r="42" spans="1:10" x14ac:dyDescent="0.25">
      <c r="A42" t="s">
        <v>2973</v>
      </c>
    </row>
    <row r="44" spans="1:10" s="1085" customFormat="1" ht="15.75" x14ac:dyDescent="0.25">
      <c r="A44" s="221" t="s">
        <v>190</v>
      </c>
    </row>
    <row r="45" spans="1:10" s="1085" customFormat="1" ht="15.75" x14ac:dyDescent="0.25">
      <c r="A45" s="1367" t="s">
        <v>188</v>
      </c>
      <c r="C45" s="978" t="s">
        <v>1099</v>
      </c>
      <c r="J45" s="978"/>
    </row>
    <row r="46" spans="1:10" x14ac:dyDescent="0.25">
      <c r="A46" t="s">
        <v>1245</v>
      </c>
    </row>
    <row r="47" spans="1:10" x14ac:dyDescent="0.25">
      <c r="A47" t="s">
        <v>1246</v>
      </c>
    </row>
    <row r="49" spans="1:11" ht="15.75" x14ac:dyDescent="0.25">
      <c r="A49" s="221" t="s">
        <v>3118</v>
      </c>
    </row>
    <row r="50" spans="1:11" ht="15.75" x14ac:dyDescent="0.25">
      <c r="A50" s="1367" t="s">
        <v>576</v>
      </c>
    </row>
    <row r="52" spans="1:11" ht="15.75" x14ac:dyDescent="0.25">
      <c r="A52" s="221" t="s">
        <v>183</v>
      </c>
    </row>
    <row r="53" spans="1:11" s="1085" customFormat="1" x14ac:dyDescent="0.25">
      <c r="A53" s="67" t="s">
        <v>579</v>
      </c>
      <c r="C53" s="978" t="s">
        <v>1108</v>
      </c>
      <c r="D53" s="121"/>
      <c r="E53" s="978" t="s">
        <v>1100</v>
      </c>
      <c r="F53" s="121"/>
      <c r="G53" s="978" t="s">
        <v>1099</v>
      </c>
      <c r="H53" s="121"/>
      <c r="I53" s="978" t="s">
        <v>1098</v>
      </c>
      <c r="J53" s="121"/>
      <c r="K53" s="121"/>
    </row>
    <row r="54" spans="1:11" s="67" customFormat="1" x14ac:dyDescent="0.25">
      <c r="A54" s="67" t="s">
        <v>2974</v>
      </c>
      <c r="C54" s="181"/>
      <c r="D54" s="181"/>
      <c r="E54" s="181"/>
      <c r="F54" s="181"/>
    </row>
    <row r="55" spans="1:11" s="67" customFormat="1" x14ac:dyDescent="0.25">
      <c r="A55" t="s">
        <v>184</v>
      </c>
      <c r="C55" s="181"/>
      <c r="D55" s="181"/>
      <c r="E55" s="181"/>
      <c r="F55" s="181"/>
    </row>
    <row r="56" spans="1:11" s="67" customFormat="1" x14ac:dyDescent="0.25">
      <c r="A56" t="s">
        <v>185</v>
      </c>
      <c r="C56" s="181"/>
      <c r="D56" s="181"/>
      <c r="E56" s="181"/>
      <c r="F56" s="181"/>
    </row>
    <row r="57" spans="1:11" s="67" customFormat="1" x14ac:dyDescent="0.25">
      <c r="A57" t="s">
        <v>187</v>
      </c>
      <c r="C57" s="181"/>
      <c r="D57" s="181"/>
      <c r="E57" s="181"/>
      <c r="F57" s="181"/>
    </row>
    <row r="58" spans="1:11" s="67" customFormat="1" x14ac:dyDescent="0.25">
      <c r="A58" t="s">
        <v>186</v>
      </c>
      <c r="C58" s="181"/>
      <c r="D58" s="181"/>
      <c r="E58" s="181"/>
      <c r="F58" s="181"/>
    </row>
    <row r="59" spans="1:11" s="67" customFormat="1" x14ac:dyDescent="0.25"/>
    <row r="60" spans="1:11" ht="15.75" x14ac:dyDescent="0.25">
      <c r="A60" s="221" t="s">
        <v>182</v>
      </c>
    </row>
    <row r="61" spans="1:11" s="1085" customFormat="1" x14ac:dyDescent="0.25">
      <c r="A61" s="67" t="s">
        <v>579</v>
      </c>
      <c r="C61" s="978" t="s">
        <v>1108</v>
      </c>
      <c r="D61" s="121"/>
      <c r="E61" s="978" t="s">
        <v>1100</v>
      </c>
      <c r="F61" s="121"/>
      <c r="G61" s="978" t="s">
        <v>1099</v>
      </c>
      <c r="H61" s="121"/>
      <c r="I61" s="978" t="s">
        <v>1098</v>
      </c>
      <c r="J61" s="121"/>
      <c r="K61" s="121"/>
    </row>
    <row r="62" spans="1:11" s="67" customFormat="1" x14ac:dyDescent="0.25">
      <c r="A62" s="67" t="s">
        <v>580</v>
      </c>
    </row>
    <row r="63" spans="1:11" s="67" customFormat="1" x14ac:dyDescent="0.25">
      <c r="A63" s="67" t="s">
        <v>180</v>
      </c>
    </row>
    <row r="64" spans="1:11" s="67" customFormat="1" x14ac:dyDescent="0.25">
      <c r="A64" s="67" t="s">
        <v>181</v>
      </c>
    </row>
    <row r="65" spans="1:6" s="67" customFormat="1" x14ac:dyDescent="0.25"/>
    <row r="66" spans="1:6" s="67" customFormat="1" ht="15.75" x14ac:dyDescent="0.25">
      <c r="A66" s="1443" t="s">
        <v>3042</v>
      </c>
    </row>
    <row r="67" spans="1:6" s="67" customFormat="1" x14ac:dyDescent="0.25">
      <c r="A67" t="s">
        <v>1175</v>
      </c>
    </row>
    <row r="68" spans="1:6" s="67" customFormat="1" x14ac:dyDescent="0.25">
      <c r="A68" t="s">
        <v>1176</v>
      </c>
    </row>
    <row r="69" spans="1:6" s="67" customFormat="1" ht="15.75" x14ac:dyDescent="0.25">
      <c r="A69" t="s">
        <v>579</v>
      </c>
      <c r="C69" s="1471" t="s">
        <v>723</v>
      </c>
      <c r="D69" s="1367"/>
      <c r="E69" s="1471" t="s">
        <v>326</v>
      </c>
      <c r="F69" s="1367"/>
    </row>
    <row r="70" spans="1:6" s="67" customFormat="1" x14ac:dyDescent="0.25">
      <c r="A70"/>
      <c r="C70" s="978"/>
    </row>
    <row r="71" spans="1:6" s="67" customFormat="1" x14ac:dyDescent="0.25">
      <c r="A71" s="1155" t="s">
        <v>3043</v>
      </c>
      <c r="C71" s="978"/>
    </row>
    <row r="72" spans="1:6" s="67" customFormat="1" x14ac:dyDescent="0.25">
      <c r="A72" s="67" t="s">
        <v>838</v>
      </c>
      <c r="B72" s="121"/>
      <c r="C72" s="1891" t="s">
        <v>1450</v>
      </c>
    </row>
    <row r="73" spans="1:6" s="67" customFormat="1" x14ac:dyDescent="0.25">
      <c r="A73" t="s">
        <v>1465</v>
      </c>
      <c r="C73" s="978"/>
    </row>
    <row r="74" spans="1:6" s="67" customFormat="1" x14ac:dyDescent="0.25">
      <c r="C74" s="978"/>
    </row>
    <row r="75" spans="1:6" s="67" customFormat="1" ht="15.75" x14ac:dyDescent="0.25">
      <c r="A75" s="1443" t="s">
        <v>3044</v>
      </c>
      <c r="C75" s="978"/>
    </row>
    <row r="76" spans="1:6" s="67" customFormat="1" x14ac:dyDescent="0.25">
      <c r="A76" s="67" t="s">
        <v>838</v>
      </c>
      <c r="B76" s="121"/>
      <c r="C76" s="1330" t="s">
        <v>870</v>
      </c>
    </row>
    <row r="77" spans="1:6" s="67" customFormat="1" x14ac:dyDescent="0.25">
      <c r="A77" t="s">
        <v>917</v>
      </c>
      <c r="C77" s="978"/>
    </row>
    <row r="78" spans="1:6" s="67" customFormat="1" x14ac:dyDescent="0.25">
      <c r="A78" t="s">
        <v>916</v>
      </c>
      <c r="C78" s="978"/>
    </row>
    <row r="79" spans="1:6" s="67" customFormat="1" x14ac:dyDescent="0.25">
      <c r="A79"/>
      <c r="C79" s="978"/>
    </row>
    <row r="80" spans="1:6" s="67" customFormat="1" ht="15.75" x14ac:dyDescent="0.25">
      <c r="A80" s="1443" t="s">
        <v>3045</v>
      </c>
      <c r="C80" s="978"/>
    </row>
    <row r="81" spans="1:11" s="67" customFormat="1" x14ac:dyDescent="0.25">
      <c r="A81" s="67" t="s">
        <v>838</v>
      </c>
      <c r="B81" s="121"/>
      <c r="C81" s="1330" t="s">
        <v>1103</v>
      </c>
    </row>
    <row r="82" spans="1:11" s="67" customFormat="1" x14ac:dyDescent="0.25">
      <c r="A82" s="67" t="s">
        <v>1173</v>
      </c>
      <c r="B82" s="121"/>
      <c r="C82" s="1330"/>
    </row>
    <row r="83" spans="1:11" s="67" customFormat="1" x14ac:dyDescent="0.25">
      <c r="A83" s="67" t="s">
        <v>1174</v>
      </c>
      <c r="C83" s="978"/>
    </row>
    <row r="84" spans="1:11" s="67" customFormat="1" x14ac:dyDescent="0.25">
      <c r="C84" s="978"/>
    </row>
    <row r="85" spans="1:11" s="67" customFormat="1" ht="15.75" x14ac:dyDescent="0.25">
      <c r="A85" s="1443" t="s">
        <v>3046</v>
      </c>
      <c r="C85" s="978"/>
    </row>
    <row r="86" spans="1:11" s="1085" customFormat="1" x14ac:dyDescent="0.25">
      <c r="A86" s="67" t="s">
        <v>579</v>
      </c>
      <c r="C86" s="978" t="s">
        <v>1108</v>
      </c>
      <c r="D86" s="121"/>
      <c r="E86" s="978" t="s">
        <v>1100</v>
      </c>
      <c r="F86" s="121"/>
      <c r="G86" s="978" t="s">
        <v>1099</v>
      </c>
      <c r="H86" s="121"/>
      <c r="I86" s="978" t="s">
        <v>1098</v>
      </c>
      <c r="J86" s="121"/>
      <c r="K86" s="121"/>
    </row>
    <row r="87" spans="1:11" s="67" customFormat="1" x14ac:dyDescent="0.25">
      <c r="A87" s="67" t="s">
        <v>1179</v>
      </c>
      <c r="C87" s="978"/>
    </row>
    <row r="88" spans="1:11" s="67" customFormat="1" x14ac:dyDescent="0.25">
      <c r="A88" s="67" t="s">
        <v>2975</v>
      </c>
      <c r="C88" s="978"/>
    </row>
    <row r="89" spans="1:11" s="67" customFormat="1" x14ac:dyDescent="0.25">
      <c r="A89" s="67" t="s">
        <v>1180</v>
      </c>
      <c r="C89" s="978"/>
    </row>
    <row r="90" spans="1:11" s="67" customFormat="1" x14ac:dyDescent="0.25">
      <c r="A90" s="67" t="s">
        <v>1177</v>
      </c>
      <c r="C90" s="978"/>
    </row>
    <row r="91" spans="1:11" s="67" customFormat="1" x14ac:dyDescent="0.25">
      <c r="A91" s="67" t="s">
        <v>1178</v>
      </c>
      <c r="C91" s="978"/>
    </row>
    <row r="92" spans="1:11" s="67" customFormat="1" x14ac:dyDescent="0.25">
      <c r="C92" s="978"/>
    </row>
    <row r="93" spans="1:11" s="67" customFormat="1" ht="15.75" x14ac:dyDescent="0.25">
      <c r="A93" s="1443" t="s">
        <v>3047</v>
      </c>
      <c r="C93" s="978"/>
    </row>
    <row r="94" spans="1:11" s="67" customFormat="1" x14ac:dyDescent="0.25">
      <c r="A94" s="67" t="s">
        <v>2304</v>
      </c>
      <c r="C94" s="978"/>
    </row>
    <row r="95" spans="1:11" s="67" customFormat="1" x14ac:dyDescent="0.25">
      <c r="A95" s="67" t="s">
        <v>2976</v>
      </c>
      <c r="C95" s="978"/>
    </row>
    <row r="96" spans="1:11" s="67" customFormat="1" x14ac:dyDescent="0.25">
      <c r="A96" s="67" t="s">
        <v>2305</v>
      </c>
      <c r="C96" s="978"/>
    </row>
    <row r="97" spans="1:3" s="67" customFormat="1" x14ac:dyDescent="0.25">
      <c r="A97" s="67" t="s">
        <v>2347</v>
      </c>
      <c r="C97" s="978"/>
    </row>
    <row r="98" spans="1:3" s="67" customFormat="1" x14ac:dyDescent="0.25">
      <c r="A98" s="67" t="s">
        <v>2343</v>
      </c>
      <c r="C98" s="978"/>
    </row>
    <row r="99" spans="1:3" s="67" customFormat="1" x14ac:dyDescent="0.25">
      <c r="A99" s="67" t="s">
        <v>2306</v>
      </c>
      <c r="C99" s="978"/>
    </row>
    <row r="100" spans="1:3" s="67" customFormat="1" x14ac:dyDescent="0.25">
      <c r="A100" s="67" t="s">
        <v>2307</v>
      </c>
      <c r="C100" s="978"/>
    </row>
    <row r="101" spans="1:3" s="67" customFormat="1" x14ac:dyDescent="0.25">
      <c r="A101" s="67" t="s">
        <v>2344</v>
      </c>
      <c r="C101" s="978"/>
    </row>
    <row r="102" spans="1:3" s="67" customFormat="1" x14ac:dyDescent="0.25">
      <c r="A102" s="67" t="s">
        <v>2345</v>
      </c>
      <c r="C102" s="978"/>
    </row>
    <row r="103" spans="1:3" s="67" customFormat="1" x14ac:dyDescent="0.25">
      <c r="A103" s="67" t="s">
        <v>2977</v>
      </c>
      <c r="C103" s="978"/>
    </row>
    <row r="104" spans="1:3" s="67" customFormat="1" x14ac:dyDescent="0.25">
      <c r="A104" s="67" t="s">
        <v>2346</v>
      </c>
      <c r="C104" s="978"/>
    </row>
    <row r="105" spans="1:3" s="67" customFormat="1" x14ac:dyDescent="0.25">
      <c r="C105" s="978"/>
    </row>
    <row r="106" spans="1:3" s="67" customFormat="1" x14ac:dyDescent="0.25">
      <c r="C106" s="978"/>
    </row>
    <row r="107" spans="1:3" s="67" customFormat="1" x14ac:dyDescent="0.25">
      <c r="C107" s="978"/>
    </row>
    <row r="108" spans="1:3" s="67" customFormat="1" x14ac:dyDescent="0.25">
      <c r="C108" s="978"/>
    </row>
    <row r="109" spans="1:3" s="67" customFormat="1" x14ac:dyDescent="0.25">
      <c r="C109" s="978"/>
    </row>
    <row r="110" spans="1:3" s="67" customFormat="1" x14ac:dyDescent="0.25">
      <c r="C110" s="978"/>
    </row>
    <row r="111" spans="1:3" s="67" customFormat="1" x14ac:dyDescent="0.25">
      <c r="C111" s="978"/>
    </row>
    <row r="112" spans="1:3" s="67" customFormat="1" x14ac:dyDescent="0.25">
      <c r="C112" s="978"/>
    </row>
    <row r="113" spans="3:3" s="67" customFormat="1" x14ac:dyDescent="0.25">
      <c r="C113" s="978"/>
    </row>
    <row r="114" spans="3:3" s="67" customFormat="1" x14ac:dyDescent="0.25">
      <c r="C114" s="978"/>
    </row>
    <row r="115" spans="3:3" s="67" customFormat="1" x14ac:dyDescent="0.25">
      <c r="C115" s="978"/>
    </row>
    <row r="116" spans="3:3" s="67" customFormat="1" x14ac:dyDescent="0.25">
      <c r="C116" s="978"/>
    </row>
    <row r="117" spans="3:3" s="67" customFormat="1" x14ac:dyDescent="0.25">
      <c r="C117" s="978"/>
    </row>
    <row r="118" spans="3:3" s="67" customFormat="1" x14ac:dyDescent="0.25">
      <c r="C118" s="978"/>
    </row>
    <row r="119" spans="3:3" s="67" customFormat="1" x14ac:dyDescent="0.25">
      <c r="C119" s="978"/>
    </row>
    <row r="120" spans="3:3" s="67" customFormat="1" x14ac:dyDescent="0.25">
      <c r="C120" s="978"/>
    </row>
    <row r="121" spans="3:3" s="67" customFormat="1" x14ac:dyDescent="0.25">
      <c r="C121" s="978"/>
    </row>
    <row r="122" spans="3:3" s="67" customFormat="1" x14ac:dyDescent="0.25">
      <c r="C122" s="978"/>
    </row>
    <row r="123" spans="3:3" s="67" customFormat="1" x14ac:dyDescent="0.25">
      <c r="C123" s="978"/>
    </row>
    <row r="124" spans="3:3" s="67" customFormat="1" x14ac:dyDescent="0.25">
      <c r="C124" s="978"/>
    </row>
    <row r="125" spans="3:3" s="67" customFormat="1" x14ac:dyDescent="0.25">
      <c r="C125" s="978"/>
    </row>
    <row r="126" spans="3:3" s="67" customFormat="1" x14ac:dyDescent="0.25">
      <c r="C126" s="978"/>
    </row>
    <row r="127" spans="3:3" s="67" customFormat="1" x14ac:dyDescent="0.25">
      <c r="C127" s="978"/>
    </row>
    <row r="128" spans="3:3" s="67" customFormat="1" x14ac:dyDescent="0.25">
      <c r="C128" s="978"/>
    </row>
    <row r="129" spans="1:12" s="67" customFormat="1" x14ac:dyDescent="0.25">
      <c r="C129" s="978"/>
    </row>
    <row r="130" spans="1:12" s="67" customFormat="1" x14ac:dyDescent="0.25">
      <c r="C130" s="978"/>
    </row>
    <row r="131" spans="1:12" s="67" customFormat="1" x14ac:dyDescent="0.25">
      <c r="C131" s="978"/>
    </row>
    <row r="132" spans="1:12" s="67" customFormat="1" x14ac:dyDescent="0.25">
      <c r="C132" s="978"/>
    </row>
    <row r="133" spans="1:12" s="67" customFormat="1" x14ac:dyDescent="0.25">
      <c r="C133" s="978"/>
    </row>
    <row r="134" spans="1:12" s="67" customFormat="1" ht="15.75" x14ac:dyDescent="0.25">
      <c r="A134" s="1443" t="s">
        <v>3120</v>
      </c>
      <c r="B134" s="17"/>
      <c r="C134" s="17"/>
      <c r="D134" s="25"/>
      <c r="E134" s="24"/>
      <c r="F134" s="6"/>
      <c r="G134" s="6"/>
      <c r="H134" s="6"/>
      <c r="I134" s="6"/>
      <c r="J134"/>
      <c r="K134"/>
      <c r="L134"/>
    </row>
    <row r="135" spans="1:12" s="67" customFormat="1" x14ac:dyDescent="0.25">
      <c r="A135" s="1351" t="s">
        <v>3049</v>
      </c>
      <c r="B135" s="1290"/>
      <c r="C135" s="1025"/>
      <c r="D135" s="1093"/>
      <c r="E135" s="1092"/>
      <c r="F135" s="33"/>
      <c r="G135" s="33"/>
      <c r="H135" s="33"/>
      <c r="I135" s="33"/>
      <c r="J135" s="33"/>
      <c r="K135" s="33"/>
      <c r="L135" s="33"/>
    </row>
    <row r="136" spans="1:12" s="67" customFormat="1" x14ac:dyDescent="0.25">
      <c r="A136" s="1351" t="s">
        <v>3048</v>
      </c>
      <c r="B136" s="1290"/>
      <c r="C136" s="1025"/>
      <c r="D136" s="1093"/>
      <c r="E136" s="1092"/>
      <c r="F136" s="33"/>
      <c r="G136" s="33"/>
      <c r="H136" s="33"/>
      <c r="I136" s="33"/>
      <c r="J136" s="33"/>
      <c r="K136" s="33"/>
      <c r="L136" s="33"/>
    </row>
    <row r="137" spans="1:12" s="67" customFormat="1" x14ac:dyDescent="0.25">
      <c r="A137" s="93"/>
      <c r="B137" s="1290"/>
      <c r="C137" s="1025"/>
      <c r="D137" s="1093"/>
      <c r="E137" s="1092"/>
      <c r="F137" s="33"/>
      <c r="G137" s="33"/>
      <c r="H137" s="33"/>
      <c r="I137" s="33"/>
      <c r="J137" s="33"/>
      <c r="K137" s="33"/>
      <c r="L137" s="33"/>
    </row>
    <row r="138" spans="1:12" s="67" customFormat="1" x14ac:dyDescent="0.25">
      <c r="A138" s="93" t="s">
        <v>751</v>
      </c>
      <c r="B138" s="33"/>
      <c r="C138" s="33"/>
      <c r="D138" s="33"/>
      <c r="E138" s="33"/>
      <c r="F138" s="33"/>
      <c r="G138" s="33"/>
      <c r="H138" s="33"/>
      <c r="I138" s="33"/>
      <c r="J138" s="33"/>
      <c r="K138" s="33"/>
      <c r="L138" s="33"/>
    </row>
    <row r="139" spans="1:12" s="67" customFormat="1" ht="18.75" x14ac:dyDescent="0.3">
      <c r="A139" s="93"/>
      <c r="B139" s="2318" t="s">
        <v>487</v>
      </c>
      <c r="C139" s="33"/>
      <c r="D139" s="33"/>
      <c r="E139" s="1026"/>
      <c r="F139" s="33"/>
      <c r="G139" s="33"/>
      <c r="H139" s="33"/>
      <c r="I139" s="33"/>
      <c r="J139" s="33"/>
      <c r="K139" s="33"/>
      <c r="L139" s="33"/>
    </row>
    <row r="140" spans="1:12" s="67" customFormat="1" ht="18.75" x14ac:dyDescent="0.3">
      <c r="A140" s="1351" t="s">
        <v>3050</v>
      </c>
      <c r="B140" s="2318"/>
      <c r="C140" s="33"/>
      <c r="D140" s="33"/>
      <c r="E140" s="1026"/>
      <c r="F140" s="33"/>
      <c r="G140" s="33"/>
      <c r="H140" s="33"/>
      <c r="I140" s="33"/>
      <c r="J140" s="33"/>
      <c r="K140" s="33"/>
      <c r="L140" s="33"/>
    </row>
    <row r="141" spans="1:12" s="67" customFormat="1" ht="18.75" x14ac:dyDescent="0.3">
      <c r="A141" s="1351" t="s">
        <v>3051</v>
      </c>
      <c r="B141" s="2318"/>
      <c r="C141" s="33"/>
      <c r="D141" s="33"/>
      <c r="E141" s="1026"/>
      <c r="F141" s="33"/>
      <c r="G141" s="33"/>
      <c r="H141" s="33"/>
      <c r="I141" s="33"/>
      <c r="J141" s="33"/>
      <c r="K141" s="33"/>
      <c r="L141" s="33"/>
    </row>
    <row r="142" spans="1:12" s="67" customFormat="1" ht="18.75" x14ac:dyDescent="0.3">
      <c r="A142" s="1351" t="s">
        <v>3053</v>
      </c>
      <c r="B142" s="2318"/>
      <c r="C142" s="33"/>
      <c r="D142" s="33"/>
      <c r="E142" s="1026"/>
      <c r="F142" s="33"/>
      <c r="G142" s="33"/>
      <c r="H142" s="33"/>
      <c r="I142" s="33"/>
      <c r="J142" s="33"/>
      <c r="K142" s="33"/>
      <c r="L142" s="33"/>
    </row>
    <row r="143" spans="1:12" s="67" customFormat="1" ht="18.75" x14ac:dyDescent="0.3">
      <c r="A143" s="1351" t="s">
        <v>3052</v>
      </c>
      <c r="B143" s="2318"/>
      <c r="C143" s="33"/>
      <c r="D143" s="33"/>
      <c r="E143" s="1026"/>
      <c r="F143" s="33"/>
      <c r="G143" s="33"/>
      <c r="H143" s="33"/>
      <c r="I143" s="33"/>
      <c r="J143" s="33"/>
      <c r="K143" s="33"/>
      <c r="L143" s="33"/>
    </row>
    <row r="144" spans="1:12" s="67" customFormat="1" ht="18.75" x14ac:dyDescent="0.3">
      <c r="A144" s="1351" t="s">
        <v>3054</v>
      </c>
      <c r="B144" s="2318"/>
      <c r="C144" s="33"/>
      <c r="D144" s="33"/>
      <c r="E144" s="1026"/>
      <c r="F144" s="33"/>
      <c r="G144" s="33"/>
      <c r="H144" s="33"/>
      <c r="I144" s="33"/>
      <c r="J144" s="33"/>
      <c r="K144" s="33"/>
      <c r="L144" s="33"/>
    </row>
    <row r="145" spans="1:12" s="67" customFormat="1" ht="18.75" x14ac:dyDescent="0.3">
      <c r="A145" s="93"/>
      <c r="B145" s="2318"/>
      <c r="C145" s="33"/>
      <c r="D145" s="33"/>
      <c r="E145" s="1026"/>
      <c r="F145" s="33"/>
      <c r="G145" s="33"/>
      <c r="H145" s="33"/>
      <c r="I145" s="33"/>
      <c r="J145" s="33"/>
      <c r="K145" s="33"/>
      <c r="L145" s="33"/>
    </row>
    <row r="146" spans="1:12" s="67" customFormat="1" ht="18.75" x14ac:dyDescent="0.3">
      <c r="A146" s="93"/>
      <c r="B146" s="2318"/>
      <c r="C146" s="33"/>
      <c r="D146" s="33"/>
      <c r="E146" s="1026"/>
      <c r="F146" s="33"/>
      <c r="G146" s="33"/>
      <c r="H146" s="33"/>
      <c r="I146" s="33"/>
      <c r="J146" s="33"/>
      <c r="K146" s="33"/>
      <c r="L146" s="33"/>
    </row>
    <row r="147" spans="1:12" s="67" customFormat="1" ht="18.75" x14ac:dyDescent="0.3">
      <c r="A147" s="93"/>
      <c r="B147" s="2318"/>
      <c r="C147" s="33"/>
      <c r="D147" s="33"/>
      <c r="E147" s="1026"/>
      <c r="F147" s="33"/>
      <c r="G147" s="33"/>
      <c r="H147" s="33"/>
      <c r="I147" s="33"/>
      <c r="J147" s="33"/>
      <c r="K147" s="33"/>
      <c r="L147" s="33"/>
    </row>
    <row r="148" spans="1:12" s="67" customFormat="1" ht="18.75" x14ac:dyDescent="0.3">
      <c r="A148" s="93"/>
      <c r="B148" s="2318"/>
      <c r="C148" s="33"/>
      <c r="D148" s="33"/>
      <c r="E148" s="1026"/>
      <c r="F148" s="33"/>
      <c r="G148" s="33"/>
      <c r="H148" s="33"/>
      <c r="I148" s="33"/>
      <c r="J148" s="33"/>
      <c r="K148" s="33"/>
      <c r="L148" s="33"/>
    </row>
    <row r="149" spans="1:12" s="67" customFormat="1" ht="18.75" x14ac:dyDescent="0.3">
      <c r="A149" s="1351" t="s">
        <v>3055</v>
      </c>
      <c r="B149" s="2318"/>
      <c r="C149" s="33"/>
      <c r="D149" s="33"/>
      <c r="E149" s="1026"/>
      <c r="F149" s="33"/>
      <c r="G149" s="33"/>
      <c r="H149" s="33"/>
      <c r="I149" s="33"/>
      <c r="J149" s="33"/>
      <c r="K149" s="33"/>
      <c r="L149" s="33"/>
    </row>
    <row r="150" spans="1:12" s="67" customFormat="1" ht="18.75" x14ac:dyDescent="0.3">
      <c r="A150" s="1351" t="s">
        <v>3056</v>
      </c>
      <c r="B150" s="2318"/>
      <c r="C150" s="33"/>
      <c r="D150" s="33"/>
      <c r="E150" s="1026"/>
      <c r="F150" s="33"/>
      <c r="G150" s="33"/>
      <c r="H150" s="33"/>
      <c r="I150" s="33"/>
      <c r="J150" s="33"/>
      <c r="K150" s="33"/>
      <c r="L150" s="33"/>
    </row>
    <row r="151" spans="1:12" s="67" customFormat="1" ht="18.75" x14ac:dyDescent="0.3">
      <c r="A151" s="1351" t="s">
        <v>3059</v>
      </c>
      <c r="B151" s="2318"/>
      <c r="C151" s="33"/>
      <c r="D151" s="33"/>
      <c r="E151" s="1026"/>
      <c r="F151" s="33"/>
      <c r="G151" s="33"/>
      <c r="H151" s="33"/>
      <c r="I151" s="33"/>
      <c r="J151" s="33"/>
      <c r="K151" s="33"/>
      <c r="L151" s="33"/>
    </row>
    <row r="152" spans="1:12" s="67" customFormat="1" ht="18.75" x14ac:dyDescent="0.3">
      <c r="A152" s="93"/>
      <c r="B152" s="2318"/>
      <c r="C152" s="33"/>
      <c r="D152" s="33"/>
      <c r="E152" s="1026"/>
      <c r="F152" s="33"/>
      <c r="G152" s="33"/>
      <c r="H152" s="33"/>
      <c r="I152" s="33"/>
      <c r="J152" s="33"/>
      <c r="K152" s="33"/>
      <c r="L152" s="33"/>
    </row>
    <row r="153" spans="1:12" s="67" customFormat="1" ht="18.75" x14ac:dyDescent="0.3">
      <c r="A153" s="93"/>
      <c r="B153" s="2318"/>
      <c r="C153" s="33"/>
      <c r="D153" s="33"/>
      <c r="E153" s="1026"/>
      <c r="F153" s="33"/>
      <c r="G153" s="33"/>
      <c r="H153" s="33"/>
      <c r="I153" s="33"/>
      <c r="J153" s="33"/>
      <c r="K153" s="33"/>
      <c r="L153" s="33"/>
    </row>
    <row r="154" spans="1:12" s="67" customFormat="1" ht="18.75" x14ac:dyDescent="0.3">
      <c r="A154" s="93"/>
      <c r="B154" s="2318"/>
      <c r="C154" s="33"/>
      <c r="D154" s="33"/>
      <c r="E154" s="1026"/>
      <c r="F154" s="33"/>
      <c r="G154" s="33"/>
      <c r="H154" s="33"/>
      <c r="I154" s="33"/>
      <c r="J154" s="33"/>
      <c r="K154" s="33"/>
      <c r="L154" s="33"/>
    </row>
    <row r="155" spans="1:12" s="67" customFormat="1" ht="18.75" x14ac:dyDescent="0.3">
      <c r="A155" s="93"/>
      <c r="B155" s="2318"/>
      <c r="C155" s="33"/>
      <c r="D155" s="33"/>
      <c r="E155" s="1026"/>
      <c r="F155" s="33"/>
      <c r="G155" s="33"/>
      <c r="H155" s="33"/>
      <c r="I155" s="33"/>
      <c r="J155" s="33"/>
      <c r="K155" s="33"/>
      <c r="L155" s="33"/>
    </row>
    <row r="156" spans="1:12" s="67" customFormat="1" ht="18.75" x14ac:dyDescent="0.3">
      <c r="A156" s="93"/>
      <c r="B156" s="2318"/>
      <c r="C156" s="33"/>
      <c r="D156" s="33"/>
      <c r="E156" s="1026"/>
      <c r="F156" s="33"/>
      <c r="G156" s="33"/>
      <c r="H156" s="33"/>
      <c r="I156" s="33"/>
      <c r="J156" s="33"/>
      <c r="K156" s="33"/>
      <c r="L156" s="33"/>
    </row>
    <row r="157" spans="1:12" s="67" customFormat="1" ht="18.75" x14ac:dyDescent="0.3">
      <c r="A157" s="93"/>
      <c r="B157" s="2318"/>
      <c r="C157" s="33"/>
      <c r="D157" s="33"/>
      <c r="E157" s="1026"/>
      <c r="F157" s="33"/>
      <c r="G157" s="33"/>
      <c r="H157" s="33"/>
      <c r="I157" s="33"/>
      <c r="J157" s="33"/>
      <c r="K157" s="33"/>
      <c r="L157" s="33"/>
    </row>
    <row r="158" spans="1:12" s="67" customFormat="1" ht="18.75" x14ac:dyDescent="0.3">
      <c r="A158" s="93"/>
      <c r="B158" s="2318"/>
      <c r="C158" s="33"/>
      <c r="D158" s="33"/>
      <c r="E158" s="1026"/>
      <c r="F158" s="33"/>
      <c r="G158" s="33"/>
      <c r="H158" s="33"/>
      <c r="I158" s="33"/>
      <c r="J158" s="33"/>
      <c r="K158" s="33"/>
      <c r="L158" s="33"/>
    </row>
    <row r="159" spans="1:12" s="67" customFormat="1" ht="18.75" x14ac:dyDescent="0.3">
      <c r="A159" s="93"/>
      <c r="B159" s="2318"/>
      <c r="C159" s="33"/>
      <c r="D159" s="33"/>
      <c r="E159" s="1026"/>
      <c r="F159" s="33"/>
      <c r="G159" s="33"/>
      <c r="H159" s="33"/>
      <c r="I159" s="33"/>
      <c r="J159" s="33"/>
      <c r="K159" s="33"/>
      <c r="L159" s="33"/>
    </row>
    <row r="160" spans="1:12" s="67" customFormat="1" ht="18.75" x14ac:dyDescent="0.3">
      <c r="A160" s="3637" t="s">
        <v>3057</v>
      </c>
      <c r="B160" s="2318"/>
      <c r="C160" s="33"/>
      <c r="D160" s="33"/>
      <c r="E160" s="1026"/>
      <c r="F160" s="33"/>
      <c r="G160" s="33"/>
      <c r="H160" s="33"/>
      <c r="I160" s="33"/>
      <c r="J160" s="33"/>
      <c r="K160" s="33"/>
      <c r="L160" s="33"/>
    </row>
    <row r="161" spans="1:12" s="67" customFormat="1" ht="18.75" x14ac:dyDescent="0.3">
      <c r="A161" s="1351" t="s">
        <v>3058</v>
      </c>
      <c r="B161" s="2318"/>
      <c r="C161" s="33"/>
      <c r="D161" s="33"/>
      <c r="E161" s="1026"/>
      <c r="F161" s="33"/>
      <c r="G161" s="33"/>
      <c r="H161" s="33"/>
      <c r="I161" s="33"/>
      <c r="J161" s="33"/>
      <c r="K161" s="33"/>
      <c r="L161" s="33"/>
    </row>
    <row r="162" spans="1:12" s="67" customFormat="1" ht="18.75" x14ac:dyDescent="0.3">
      <c r="A162" s="3638"/>
      <c r="B162" s="2318"/>
      <c r="C162" s="33"/>
      <c r="D162" s="33"/>
      <c r="E162" s="1026"/>
      <c r="F162" s="33"/>
      <c r="G162" s="33"/>
      <c r="H162" s="33"/>
      <c r="I162" s="33"/>
      <c r="J162" s="33"/>
      <c r="K162" s="33"/>
      <c r="L162" s="33"/>
    </row>
    <row r="163" spans="1:12" s="67" customFormat="1" x14ac:dyDescent="0.25">
      <c r="A163" s="3638"/>
      <c r="B163" s="1290"/>
      <c r="C163" s="1026"/>
      <c r="D163" s="1093"/>
      <c r="E163" s="1092"/>
      <c r="F163" s="33"/>
      <c r="G163" s="33"/>
      <c r="H163" s="33"/>
      <c r="I163" s="33"/>
      <c r="J163" s="33"/>
      <c r="K163" s="33"/>
      <c r="L163" s="33"/>
    </row>
    <row r="164" spans="1:12" s="67" customFormat="1" x14ac:dyDescent="0.25">
      <c r="A164" s="3638"/>
      <c r="B164" s="1290"/>
      <c r="C164" s="1026"/>
      <c r="D164" s="1093"/>
      <c r="E164" s="1092"/>
      <c r="F164" s="33"/>
      <c r="G164" s="33"/>
      <c r="H164" s="33"/>
      <c r="I164" s="33"/>
      <c r="J164" s="33"/>
      <c r="K164" s="33"/>
      <c r="L164" s="33"/>
    </row>
    <row r="165" spans="1:12" s="67" customFormat="1" x14ac:dyDescent="0.25">
      <c r="C165" s="978"/>
    </row>
    <row r="166" spans="1:12" ht="15.75" x14ac:dyDescent="0.25">
      <c r="A166" s="1443" t="s">
        <v>3119</v>
      </c>
      <c r="B166" s="17"/>
      <c r="C166" s="17"/>
      <c r="D166" s="25"/>
      <c r="E166" s="24"/>
      <c r="F166" s="6"/>
      <c r="G166" s="6"/>
      <c r="H166" s="6"/>
      <c r="I166" s="6"/>
    </row>
    <row r="167" spans="1:12" x14ac:dyDescent="0.25">
      <c r="A167" s="2106" t="s">
        <v>972</v>
      </c>
      <c r="B167" s="17"/>
      <c r="C167" s="17"/>
      <c r="D167" s="25"/>
      <c r="E167" s="24"/>
      <c r="F167" s="6"/>
      <c r="G167" s="6"/>
      <c r="H167" s="6"/>
      <c r="I167" s="6"/>
    </row>
    <row r="168" spans="1:12" x14ac:dyDescent="0.25">
      <c r="A168" s="67" t="s">
        <v>973</v>
      </c>
      <c r="B168" s="17"/>
      <c r="C168" s="17"/>
      <c r="D168" s="25"/>
      <c r="E168" s="24"/>
      <c r="F168" s="6"/>
      <c r="G168" s="6"/>
      <c r="H168" s="6"/>
      <c r="I168" s="6"/>
    </row>
    <row r="169" spans="1:12" x14ac:dyDescent="0.25">
      <c r="A169" s="67" t="s">
        <v>3006</v>
      </c>
      <c r="B169" s="17"/>
      <c r="C169" s="17"/>
      <c r="D169" s="25"/>
      <c r="E169" s="24"/>
      <c r="F169" s="6"/>
      <c r="G169" s="6"/>
      <c r="H169" s="6"/>
      <c r="I169" s="6"/>
    </row>
    <row r="170" spans="1:12" x14ac:dyDescent="0.25">
      <c r="A170" s="67" t="s">
        <v>3007</v>
      </c>
      <c r="B170" s="17"/>
      <c r="C170" s="17"/>
      <c r="D170" s="25"/>
      <c r="E170" s="24"/>
      <c r="F170" s="6"/>
      <c r="G170" s="6"/>
      <c r="H170" s="6"/>
      <c r="I170" s="6"/>
    </row>
    <row r="171" spans="1:12" x14ac:dyDescent="0.25">
      <c r="A171" s="67" t="s">
        <v>3036</v>
      </c>
      <c r="B171" s="17"/>
      <c r="C171" s="17"/>
      <c r="D171" s="25"/>
      <c r="E171" s="24"/>
      <c r="F171" s="6"/>
      <c r="G171" s="6"/>
      <c r="H171" s="6"/>
      <c r="I171" s="6"/>
    </row>
    <row r="172" spans="1:12" x14ac:dyDescent="0.25">
      <c r="A172" s="67" t="s">
        <v>3008</v>
      </c>
      <c r="B172" s="17"/>
      <c r="C172" s="17"/>
      <c r="D172" s="25"/>
      <c r="E172" s="24"/>
      <c r="F172" s="6"/>
      <c r="G172" s="6"/>
      <c r="H172" s="6"/>
      <c r="I172" s="6"/>
    </row>
    <row r="173" spans="1:12" x14ac:dyDescent="0.25">
      <c r="A173" s="67"/>
      <c r="B173" s="17"/>
      <c r="C173" s="17"/>
      <c r="D173" s="25"/>
      <c r="E173" s="24"/>
      <c r="F173" s="6"/>
      <c r="G173" s="6"/>
      <c r="H173" s="6"/>
      <c r="I173" s="6"/>
    </row>
    <row r="174" spans="1:12" x14ac:dyDescent="0.25">
      <c r="A174" s="2106" t="s">
        <v>3221</v>
      </c>
      <c r="B174" s="17"/>
      <c r="C174" s="17"/>
      <c r="D174" s="25"/>
      <c r="E174" s="24"/>
      <c r="F174" s="6"/>
      <c r="G174" s="6"/>
      <c r="H174" s="6"/>
      <c r="I174" s="6"/>
    </row>
    <row r="175" spans="1:12" x14ac:dyDescent="0.25">
      <c r="A175" t="s">
        <v>3010</v>
      </c>
      <c r="B175" s="17"/>
      <c r="C175" s="17"/>
      <c r="D175" s="25"/>
      <c r="E175" s="24"/>
      <c r="F175" s="6"/>
      <c r="G175" s="6"/>
      <c r="H175" s="6"/>
      <c r="I175" s="6"/>
    </row>
    <row r="176" spans="1:12" x14ac:dyDescent="0.25">
      <c r="A176" s="67" t="s">
        <v>3009</v>
      </c>
      <c r="B176" s="17"/>
      <c r="C176" s="17"/>
      <c r="D176" s="25"/>
      <c r="E176" s="24"/>
      <c r="F176" s="6"/>
      <c r="G176" s="6"/>
      <c r="H176" s="6"/>
      <c r="I176" s="6"/>
    </row>
    <row r="177" spans="1:9" x14ac:dyDescent="0.25">
      <c r="A177" s="67"/>
      <c r="B177" s="17"/>
      <c r="C177" s="17"/>
      <c r="D177" s="25"/>
      <c r="E177" s="24"/>
      <c r="F177" s="6"/>
      <c r="G177" s="6"/>
      <c r="H177" s="6"/>
      <c r="I177" s="6"/>
    </row>
    <row r="178" spans="1:9" x14ac:dyDescent="0.25">
      <c r="A178" s="2106" t="s">
        <v>3502</v>
      </c>
      <c r="B178" s="17"/>
      <c r="C178" s="17"/>
      <c r="D178" s="25"/>
      <c r="E178" s="24"/>
      <c r="F178" s="6"/>
      <c r="G178" s="6"/>
      <c r="H178" s="6"/>
      <c r="I178" s="6"/>
    </row>
    <row r="179" spans="1:9" x14ac:dyDescent="0.25">
      <c r="A179" t="s">
        <v>2719</v>
      </c>
      <c r="B179" s="17"/>
      <c r="C179" s="17"/>
      <c r="D179" s="25"/>
      <c r="E179" s="24"/>
      <c r="F179" s="6"/>
      <c r="G179" s="6"/>
      <c r="H179" s="6"/>
      <c r="I179" s="6"/>
    </row>
    <row r="180" spans="1:9" x14ac:dyDescent="0.25">
      <c r="A180" t="s">
        <v>2720</v>
      </c>
      <c r="B180" s="17"/>
      <c r="C180" s="17"/>
      <c r="D180" s="25"/>
      <c r="E180" s="24"/>
      <c r="F180" s="6"/>
      <c r="G180" s="6"/>
      <c r="H180" s="6"/>
      <c r="I180" s="6"/>
    </row>
    <row r="181" spans="1:9" x14ac:dyDescent="0.25">
      <c r="A181" t="s">
        <v>2723</v>
      </c>
      <c r="B181" s="17"/>
      <c r="C181" s="17"/>
      <c r="D181" s="25"/>
      <c r="E181" s="24"/>
      <c r="F181" s="6"/>
      <c r="G181" s="6"/>
      <c r="H181" s="6"/>
      <c r="I181" s="6"/>
    </row>
    <row r="182" spans="1:9" x14ac:dyDescent="0.25">
      <c r="A182" t="s">
        <v>2721</v>
      </c>
      <c r="B182" s="17"/>
      <c r="C182" s="17"/>
      <c r="D182" s="25"/>
      <c r="E182" s="24"/>
      <c r="F182" s="6"/>
      <c r="G182" s="6"/>
      <c r="H182" s="6"/>
      <c r="I182" s="6"/>
    </row>
    <row r="183" spans="1:9" x14ac:dyDescent="0.25">
      <c r="A183" t="s">
        <v>2722</v>
      </c>
      <c r="B183" s="17"/>
      <c r="C183" s="17"/>
      <c r="D183" s="25"/>
      <c r="E183" s="24"/>
      <c r="F183" s="6"/>
      <c r="G183" s="6"/>
      <c r="H183" s="6"/>
      <c r="I183" s="6"/>
    </row>
    <row r="184" spans="1:9" x14ac:dyDescent="0.25">
      <c r="A184" t="s">
        <v>2724</v>
      </c>
      <c r="B184" s="17"/>
      <c r="C184" s="17"/>
      <c r="D184" s="25"/>
      <c r="E184" s="24"/>
      <c r="F184" s="6"/>
      <c r="G184" s="6"/>
      <c r="H184" s="6"/>
      <c r="I184" s="6"/>
    </row>
    <row r="185" spans="1:9" x14ac:dyDescent="0.25">
      <c r="A185" t="s">
        <v>1727</v>
      </c>
      <c r="B185" s="17"/>
      <c r="C185" s="17"/>
      <c r="D185" s="25"/>
      <c r="E185" s="24"/>
      <c r="F185" s="6"/>
      <c r="G185" s="6"/>
      <c r="H185" s="6"/>
      <c r="I185" s="6"/>
    </row>
    <row r="186" spans="1:9" x14ac:dyDescent="0.25">
      <c r="A186" t="s">
        <v>2725</v>
      </c>
      <c r="B186" s="17"/>
      <c r="C186" s="17"/>
      <c r="D186" s="25"/>
      <c r="E186" s="24"/>
      <c r="F186" s="6"/>
      <c r="G186" s="6"/>
      <c r="H186" s="6"/>
      <c r="I186" s="6"/>
    </row>
    <row r="187" spans="1:9" x14ac:dyDescent="0.25">
      <c r="B187" s="17"/>
      <c r="C187" s="17"/>
      <c r="D187" s="25"/>
      <c r="E187" s="24"/>
      <c r="F187" s="6"/>
      <c r="G187" s="6"/>
      <c r="H187" s="6"/>
      <c r="I187" s="6"/>
    </row>
    <row r="188" spans="1:9" x14ac:dyDescent="0.25">
      <c r="A188" s="2106" t="s">
        <v>3222</v>
      </c>
      <c r="B188" s="17"/>
      <c r="C188" s="17"/>
      <c r="D188" s="25"/>
      <c r="E188" s="24"/>
      <c r="F188" s="6"/>
      <c r="G188" s="6"/>
      <c r="H188" s="6"/>
      <c r="I188" s="6"/>
    </row>
    <row r="189" spans="1:9" x14ac:dyDescent="0.25">
      <c r="A189" t="s">
        <v>2726</v>
      </c>
      <c r="B189" s="17"/>
      <c r="C189" s="17"/>
      <c r="D189" s="25"/>
      <c r="E189" s="24"/>
      <c r="F189" s="6"/>
      <c r="G189" s="6"/>
      <c r="H189" s="6"/>
      <c r="I189" s="6"/>
    </row>
    <row r="190" spans="1:9" x14ac:dyDescent="0.25">
      <c r="A190" t="s">
        <v>2727</v>
      </c>
      <c r="B190" s="17"/>
      <c r="C190" s="17"/>
      <c r="D190" s="25"/>
      <c r="E190" s="24"/>
      <c r="F190" s="6"/>
      <c r="G190" s="6"/>
      <c r="H190" s="6"/>
      <c r="I190" s="6"/>
    </row>
    <row r="191" spans="1:9" x14ac:dyDescent="0.25">
      <c r="A191" t="s">
        <v>2728</v>
      </c>
      <c r="B191" s="17"/>
      <c r="C191" s="17"/>
      <c r="D191" s="25"/>
      <c r="E191" s="24"/>
      <c r="F191" s="6"/>
      <c r="G191" s="6"/>
      <c r="H191" s="6"/>
      <c r="I191" s="6"/>
    </row>
    <row r="192" spans="1:9" x14ac:dyDescent="0.25">
      <c r="A192" t="s">
        <v>2729</v>
      </c>
      <c r="B192" s="17"/>
      <c r="C192" s="17"/>
      <c r="D192" s="25"/>
      <c r="E192" s="24"/>
      <c r="F192" s="6"/>
      <c r="G192" s="6"/>
      <c r="H192" s="6"/>
      <c r="I192" s="6"/>
    </row>
    <row r="193" spans="1:9" x14ac:dyDescent="0.25">
      <c r="A193" t="s">
        <v>2730</v>
      </c>
      <c r="B193" s="17"/>
      <c r="C193" s="17"/>
      <c r="D193" s="25"/>
      <c r="E193" s="24"/>
      <c r="F193" s="6"/>
      <c r="G193" s="6"/>
      <c r="H193" s="6"/>
      <c r="I193" s="6"/>
    </row>
    <row r="194" spans="1:9" x14ac:dyDescent="0.25">
      <c r="A194" t="s">
        <v>2731</v>
      </c>
      <c r="B194" s="17"/>
      <c r="C194" s="17"/>
      <c r="D194" s="25"/>
      <c r="E194" s="24"/>
      <c r="F194" s="6"/>
      <c r="G194" s="6"/>
      <c r="H194" s="6"/>
      <c r="I194" s="6"/>
    </row>
    <row r="195" spans="1:9" x14ac:dyDescent="0.25">
      <c r="B195" s="17"/>
      <c r="C195" s="17"/>
      <c r="D195" s="25"/>
      <c r="E195" s="24"/>
      <c r="F195" s="6"/>
      <c r="G195" s="6"/>
      <c r="H195" s="6"/>
      <c r="I195" s="6"/>
    </row>
    <row r="196" spans="1:9" x14ac:dyDescent="0.25">
      <c r="A196" s="2106" t="s">
        <v>3223</v>
      </c>
      <c r="B196" s="17"/>
      <c r="C196" s="17"/>
      <c r="D196" s="25"/>
      <c r="E196" s="24"/>
      <c r="F196" s="6"/>
      <c r="G196" s="6"/>
      <c r="H196" s="6"/>
      <c r="I196" s="6"/>
    </row>
    <row r="197" spans="1:9" x14ac:dyDescent="0.25">
      <c r="A197" s="67" t="s">
        <v>3011</v>
      </c>
      <c r="B197" s="17"/>
      <c r="C197" s="17"/>
      <c r="D197" s="25"/>
      <c r="E197" s="24"/>
      <c r="F197" s="6"/>
      <c r="G197" s="6"/>
      <c r="H197" s="6"/>
      <c r="I197" s="6"/>
    </row>
    <row r="198" spans="1:9" x14ac:dyDescent="0.25">
      <c r="A198" s="67" t="s">
        <v>2732</v>
      </c>
      <c r="B198" s="17"/>
      <c r="C198" s="17"/>
      <c r="D198" s="25"/>
      <c r="E198" s="24"/>
      <c r="F198" s="6"/>
      <c r="G198" s="6"/>
      <c r="H198" s="6"/>
      <c r="I198" s="6"/>
    </row>
    <row r="199" spans="1:9" x14ac:dyDescent="0.25">
      <c r="A199" s="67" t="s">
        <v>2733</v>
      </c>
      <c r="B199" s="17"/>
      <c r="C199" s="17"/>
      <c r="D199" s="25"/>
      <c r="E199" s="24"/>
      <c r="F199" s="6"/>
      <c r="G199" s="6"/>
      <c r="H199" s="6"/>
      <c r="I199" s="6"/>
    </row>
    <row r="200" spans="1:9" x14ac:dyDescent="0.25">
      <c r="A200" s="67" t="s">
        <v>1728</v>
      </c>
      <c r="B200" s="17"/>
      <c r="C200" s="17"/>
      <c r="D200" s="25"/>
      <c r="E200" s="24"/>
      <c r="F200" s="6"/>
      <c r="G200" s="6"/>
      <c r="H200" s="6"/>
      <c r="I200" s="6"/>
    </row>
    <row r="201" spans="1:9" x14ac:dyDescent="0.25">
      <c r="A201" s="67"/>
      <c r="B201" s="17"/>
      <c r="C201" s="17"/>
      <c r="D201" s="25"/>
      <c r="E201" s="24"/>
      <c r="F201" s="6"/>
      <c r="G201" s="6"/>
      <c r="H201" s="6"/>
      <c r="I201" s="6"/>
    </row>
    <row r="202" spans="1:9" x14ac:dyDescent="0.25">
      <c r="A202" s="2106" t="s">
        <v>3224</v>
      </c>
      <c r="B202" s="17"/>
      <c r="C202" s="17"/>
      <c r="D202" s="25"/>
      <c r="E202" s="24"/>
      <c r="F202" s="6"/>
      <c r="G202" s="6"/>
      <c r="H202" s="6"/>
      <c r="I202" s="6"/>
    </row>
    <row r="203" spans="1:9" x14ac:dyDescent="0.25">
      <c r="A203" t="s">
        <v>2734</v>
      </c>
      <c r="B203" s="17"/>
      <c r="C203" s="17"/>
      <c r="D203" s="25"/>
      <c r="E203" s="24"/>
      <c r="F203" s="6"/>
      <c r="G203" s="6"/>
      <c r="H203" s="6"/>
      <c r="I203" s="6"/>
    </row>
    <row r="204" spans="1:9" x14ac:dyDescent="0.25">
      <c r="A204" t="s">
        <v>3012</v>
      </c>
      <c r="B204" s="17"/>
      <c r="C204" s="17"/>
      <c r="D204" s="25"/>
      <c r="E204" s="24"/>
      <c r="F204" s="6"/>
      <c r="G204" s="6"/>
      <c r="H204" s="6"/>
      <c r="I204" s="6"/>
    </row>
    <row r="205" spans="1:9" x14ac:dyDescent="0.25">
      <c r="A205" t="s">
        <v>3013</v>
      </c>
      <c r="B205" s="17"/>
      <c r="C205" s="17"/>
      <c r="D205" s="25"/>
      <c r="E205" s="24"/>
      <c r="F205" s="6"/>
      <c r="G205" s="6"/>
      <c r="H205" s="6"/>
      <c r="I205" s="6"/>
    </row>
    <row r="206" spans="1:9" x14ac:dyDescent="0.25">
      <c r="A206" t="s">
        <v>3037</v>
      </c>
      <c r="B206" s="17"/>
      <c r="C206" s="17"/>
      <c r="D206" s="25"/>
      <c r="E206" s="24"/>
      <c r="F206" s="6"/>
      <c r="G206" s="6"/>
      <c r="H206" s="6"/>
      <c r="I206" s="6"/>
    </row>
    <row r="207" spans="1:9" x14ac:dyDescent="0.25">
      <c r="A207" t="s">
        <v>3014</v>
      </c>
      <c r="B207" s="17"/>
      <c r="C207" s="17"/>
      <c r="D207" s="25"/>
      <c r="E207" s="24"/>
      <c r="F207" s="6"/>
      <c r="G207" s="6"/>
      <c r="H207" s="6"/>
      <c r="I207" s="6"/>
    </row>
    <row r="208" spans="1:9" x14ac:dyDescent="0.25">
      <c r="A208" t="s">
        <v>3015</v>
      </c>
      <c r="B208" s="17"/>
      <c r="C208" s="17"/>
      <c r="D208" s="25"/>
      <c r="E208" s="24"/>
      <c r="F208" s="6"/>
      <c r="G208" s="6"/>
      <c r="H208" s="6"/>
      <c r="I208" s="6"/>
    </row>
    <row r="209" spans="1:9" x14ac:dyDescent="0.25">
      <c r="A209" s="67"/>
      <c r="B209" s="17"/>
      <c r="C209" s="17"/>
      <c r="D209" s="25"/>
      <c r="E209" s="24"/>
      <c r="F209" s="6"/>
      <c r="G209" s="6"/>
      <c r="H209" s="6"/>
      <c r="I209" s="6"/>
    </row>
    <row r="210" spans="1:9" x14ac:dyDescent="0.25">
      <c r="A210" s="2106" t="s">
        <v>3225</v>
      </c>
      <c r="B210" s="17"/>
      <c r="C210" s="17"/>
      <c r="D210" s="25"/>
      <c r="E210" s="24"/>
      <c r="F210" s="6"/>
      <c r="G210" s="6"/>
      <c r="H210" s="6"/>
      <c r="I210" s="6"/>
    </row>
    <row r="211" spans="1:9" x14ac:dyDescent="0.25">
      <c r="A211" t="s">
        <v>1628</v>
      </c>
      <c r="B211" s="17"/>
      <c r="C211" s="17"/>
      <c r="D211" s="25"/>
      <c r="E211" s="24"/>
      <c r="F211" s="6"/>
      <c r="G211" s="6"/>
      <c r="H211" s="6"/>
      <c r="I211" s="6"/>
    </row>
    <row r="212" spans="1:9" x14ac:dyDescent="0.25">
      <c r="A212" t="s">
        <v>3032</v>
      </c>
      <c r="B212" s="17"/>
      <c r="C212" s="17"/>
      <c r="D212" s="25"/>
      <c r="E212" s="24"/>
      <c r="F212" s="6"/>
      <c r="G212" s="6"/>
      <c r="H212" s="6"/>
      <c r="I212" s="6"/>
    </row>
    <row r="213" spans="1:9" x14ac:dyDescent="0.25">
      <c r="A213" t="s">
        <v>3031</v>
      </c>
      <c r="B213" s="17"/>
      <c r="C213" s="17"/>
      <c r="D213" s="25"/>
      <c r="E213" s="24"/>
      <c r="F213" s="6"/>
      <c r="G213" s="6"/>
      <c r="H213" s="6"/>
      <c r="I213" s="6"/>
    </row>
    <row r="214" spans="1:9" x14ac:dyDescent="0.25">
      <c r="A214" s="67"/>
      <c r="B214" s="17"/>
      <c r="C214" s="17"/>
      <c r="D214" s="25"/>
      <c r="E214" s="24"/>
      <c r="F214" s="6"/>
      <c r="G214" s="6"/>
      <c r="H214" s="6"/>
      <c r="I214" s="6"/>
    </row>
    <row r="215" spans="1:9" x14ac:dyDescent="0.25">
      <c r="A215" s="2106" t="s">
        <v>3226</v>
      </c>
      <c r="B215" s="17"/>
      <c r="C215" s="17"/>
      <c r="D215" s="25"/>
      <c r="E215" s="24"/>
      <c r="F215" s="6"/>
      <c r="G215" s="6"/>
      <c r="H215" s="6"/>
      <c r="I215" s="6"/>
    </row>
    <row r="216" spans="1:9" x14ac:dyDescent="0.25">
      <c r="A216" t="s">
        <v>2736</v>
      </c>
      <c r="B216" s="17"/>
      <c r="C216" s="17"/>
      <c r="D216" s="25"/>
      <c r="E216" s="24"/>
      <c r="F216" s="6"/>
      <c r="G216" s="6"/>
      <c r="H216" s="6"/>
      <c r="I216" s="6"/>
    </row>
    <row r="217" spans="1:9" x14ac:dyDescent="0.25">
      <c r="A217" t="s">
        <v>2735</v>
      </c>
      <c r="B217" s="17"/>
      <c r="C217" s="17"/>
      <c r="D217" s="25"/>
      <c r="E217" s="24"/>
      <c r="F217" s="6"/>
      <c r="G217" s="6"/>
      <c r="H217" s="6"/>
      <c r="I217" s="6"/>
    </row>
    <row r="218" spans="1:9" s="67" customFormat="1" x14ac:dyDescent="0.25">
      <c r="C218" s="978"/>
    </row>
    <row r="219" spans="1:9" s="67" customFormat="1" x14ac:dyDescent="0.25">
      <c r="C219" s="978"/>
    </row>
    <row r="220" spans="1:9" s="67" customFormat="1" ht="15.75" x14ac:dyDescent="0.25">
      <c r="A220" s="3641" t="s">
        <v>3122</v>
      </c>
      <c r="C220" s="978"/>
    </row>
    <row r="221" spans="1:9" s="67" customFormat="1" ht="15.75" x14ac:dyDescent="0.25">
      <c r="A221" s="95" t="s">
        <v>3110</v>
      </c>
      <c r="C221" s="978"/>
    </row>
    <row r="222" spans="1:9" s="67" customFormat="1" x14ac:dyDescent="0.25">
      <c r="A222" s="1317" t="s">
        <v>981</v>
      </c>
      <c r="C222" s="978"/>
    </row>
    <row r="223" spans="1:9" s="67" customFormat="1" x14ac:dyDescent="0.25">
      <c r="A223" s="1317" t="s">
        <v>1140</v>
      </c>
      <c r="C223" s="978"/>
    </row>
    <row r="224" spans="1:9" s="67" customFormat="1" x14ac:dyDescent="0.25">
      <c r="A224" s="1317" t="s">
        <v>1152</v>
      </c>
      <c r="C224" s="978"/>
    </row>
    <row r="225" spans="1:3" s="67" customFormat="1" x14ac:dyDescent="0.25">
      <c r="A225" s="1317" t="s">
        <v>1747</v>
      </c>
      <c r="C225" s="978"/>
    </row>
    <row r="226" spans="1:3" s="67" customFormat="1" x14ac:dyDescent="0.25">
      <c r="A226" s="1317" t="s">
        <v>1748</v>
      </c>
      <c r="C226" s="978"/>
    </row>
    <row r="227" spans="1:3" s="67" customFormat="1" x14ac:dyDescent="0.25">
      <c r="A227" s="91"/>
      <c r="C227" s="978"/>
    </row>
    <row r="228" spans="1:3" s="67" customFormat="1" x14ac:dyDescent="0.25">
      <c r="A228" s="91" t="s">
        <v>414</v>
      </c>
      <c r="C228" s="978"/>
    </row>
    <row r="229" spans="1:3" s="67" customFormat="1" x14ac:dyDescent="0.25">
      <c r="A229" s="91" t="s">
        <v>415</v>
      </c>
      <c r="C229" s="978"/>
    </row>
    <row r="230" spans="1:3" s="67" customFormat="1" x14ac:dyDescent="0.25">
      <c r="A230" t="s">
        <v>1141</v>
      </c>
      <c r="C230" s="978"/>
    </row>
    <row r="231" spans="1:3" s="67" customFormat="1" x14ac:dyDescent="0.25">
      <c r="A231" t="s">
        <v>1197</v>
      </c>
      <c r="C231" s="978"/>
    </row>
    <row r="232" spans="1:3" s="67" customFormat="1" x14ac:dyDescent="0.25">
      <c r="A232" s="1317" t="s">
        <v>2749</v>
      </c>
      <c r="C232" s="978"/>
    </row>
    <row r="233" spans="1:3" s="67" customFormat="1" x14ac:dyDescent="0.25">
      <c r="A233" s="91"/>
      <c r="C233" s="978"/>
    </row>
    <row r="234" spans="1:3" s="67" customFormat="1" x14ac:dyDescent="0.25">
      <c r="A234" t="s">
        <v>287</v>
      </c>
      <c r="C234" s="978"/>
    </row>
    <row r="235" spans="1:3" s="67" customFormat="1" x14ac:dyDescent="0.25">
      <c r="A235" s="1317" t="s">
        <v>982</v>
      </c>
      <c r="C235" s="978"/>
    </row>
    <row r="236" spans="1:3" s="67" customFormat="1" x14ac:dyDescent="0.25">
      <c r="A236" s="1317" t="s">
        <v>2815</v>
      </c>
      <c r="C236" s="978"/>
    </row>
    <row r="237" spans="1:3" s="67" customFormat="1" x14ac:dyDescent="0.25">
      <c r="A237" s="91"/>
      <c r="C237" s="978"/>
    </row>
    <row r="238" spans="1:3" s="67" customFormat="1" x14ac:dyDescent="0.25">
      <c r="A238" s="1317" t="s">
        <v>1142</v>
      </c>
      <c r="C238" s="978"/>
    </row>
    <row r="239" spans="1:3" s="67" customFormat="1" x14ac:dyDescent="0.25">
      <c r="A239" s="1317" t="s">
        <v>1466</v>
      </c>
      <c r="C239" s="978"/>
    </row>
    <row r="240" spans="1:3" s="67" customFormat="1" x14ac:dyDescent="0.25">
      <c r="A240" s="91"/>
      <c r="C240" s="978"/>
    </row>
    <row r="241" spans="1:14" s="67" customFormat="1" x14ac:dyDescent="0.25">
      <c r="A241" s="1317" t="s">
        <v>3090</v>
      </c>
      <c r="C241" s="978"/>
    </row>
    <row r="242" spans="1:14" s="67" customFormat="1" x14ac:dyDescent="0.25">
      <c r="A242" s="1317" t="s">
        <v>3091</v>
      </c>
      <c r="C242" s="978"/>
    </row>
    <row r="243" spans="1:14" s="67" customFormat="1" x14ac:dyDescent="0.25">
      <c r="A243" s="91"/>
      <c r="C243" s="978"/>
    </row>
    <row r="244" spans="1:14" s="67" customFormat="1" x14ac:dyDescent="0.25">
      <c r="A244" s="91" t="s">
        <v>288</v>
      </c>
      <c r="C244" s="978"/>
    </row>
    <row r="245" spans="1:14" s="67" customFormat="1" x14ac:dyDescent="0.25">
      <c r="A245" s="1317" t="s">
        <v>1338</v>
      </c>
      <c r="C245" s="978"/>
    </row>
    <row r="246" spans="1:14" s="67" customFormat="1" x14ac:dyDescent="0.25">
      <c r="A246" s="91" t="s">
        <v>289</v>
      </c>
      <c r="C246" s="978"/>
    </row>
    <row r="247" spans="1:14" s="67" customFormat="1" x14ac:dyDescent="0.25">
      <c r="A247" s="91" t="s">
        <v>717</v>
      </c>
      <c r="C247" s="978"/>
    </row>
    <row r="248" spans="1:14" s="67" customFormat="1" x14ac:dyDescent="0.25">
      <c r="A248" s="91"/>
      <c r="C248" s="978"/>
    </row>
    <row r="249" spans="1:14" s="67" customFormat="1" x14ac:dyDescent="0.25">
      <c r="A249" s="1317" t="s">
        <v>2750</v>
      </c>
      <c r="C249" s="978"/>
    </row>
    <row r="250" spans="1:14" s="67" customFormat="1" ht="15.75" x14ac:dyDescent="0.25">
      <c r="A250" s="1317" t="s">
        <v>2751</v>
      </c>
      <c r="C250" s="978"/>
      <c r="N250" s="95"/>
    </row>
    <row r="251" spans="1:14" s="67" customFormat="1" x14ac:dyDescent="0.25">
      <c r="A251" s="1317" t="s">
        <v>2752</v>
      </c>
      <c r="C251" s="978"/>
      <c r="N251" s="17"/>
    </row>
    <row r="252" spans="1:14" s="67" customFormat="1" x14ac:dyDescent="0.25">
      <c r="A252" s="1317" t="s">
        <v>2816</v>
      </c>
      <c r="C252" s="978"/>
      <c r="N252" s="17"/>
    </row>
    <row r="253" spans="1:14" s="67" customFormat="1" x14ac:dyDescent="0.25">
      <c r="A253" s="1317" t="s">
        <v>2753</v>
      </c>
      <c r="C253" s="978"/>
      <c r="N253" s="17"/>
    </row>
    <row r="254" spans="1:14" s="67" customFormat="1" x14ac:dyDescent="0.25">
      <c r="A254" s="1317" t="s">
        <v>2754</v>
      </c>
      <c r="C254" s="978"/>
      <c r="N254" s="17"/>
    </row>
    <row r="255" spans="1:14" s="67" customFormat="1" x14ac:dyDescent="0.25">
      <c r="A255" s="1317"/>
      <c r="C255" s="978"/>
      <c r="N255" s="17"/>
    </row>
    <row r="256" spans="1:14" s="67" customFormat="1" x14ac:dyDescent="0.25">
      <c r="A256" s="1317" t="s">
        <v>3092</v>
      </c>
      <c r="C256" s="978"/>
      <c r="N256" s="17"/>
    </row>
    <row r="257" spans="1:14" s="67" customFormat="1" x14ac:dyDescent="0.25">
      <c r="A257" s="1317" t="s">
        <v>3019</v>
      </c>
      <c r="C257" s="978"/>
    </row>
    <row r="258" spans="1:14" s="67" customFormat="1" x14ac:dyDescent="0.25">
      <c r="A258" s="1317" t="s">
        <v>3020</v>
      </c>
      <c r="C258" s="978"/>
    </row>
    <row r="259" spans="1:14" s="67" customFormat="1" x14ac:dyDescent="0.25">
      <c r="A259" s="1317"/>
      <c r="C259" s="978"/>
      <c r="N259" s="17"/>
    </row>
    <row r="260" spans="1:14" s="67" customFormat="1" x14ac:dyDescent="0.25">
      <c r="A260" s="1317" t="s">
        <v>3109</v>
      </c>
      <c r="C260" s="978"/>
      <c r="N260" s="17"/>
    </row>
    <row r="261" spans="1:14" s="67" customFormat="1" x14ac:dyDescent="0.25">
      <c r="A261" s="1317" t="s">
        <v>2405</v>
      </c>
      <c r="C261" s="978"/>
      <c r="N261" s="17"/>
    </row>
    <row r="262" spans="1:14" s="67" customFormat="1" x14ac:dyDescent="0.25">
      <c r="C262" s="978"/>
      <c r="N262" s="17"/>
    </row>
    <row r="263" spans="1:14" s="67" customFormat="1" ht="15.75" x14ac:dyDescent="0.25">
      <c r="A263" s="221" t="s">
        <v>3104</v>
      </c>
      <c r="C263" s="978"/>
      <c r="N263" s="81"/>
    </row>
    <row r="264" spans="1:14" s="67" customFormat="1" ht="15.75" x14ac:dyDescent="0.25">
      <c r="A264" s="767" t="s">
        <v>3105</v>
      </c>
      <c r="C264" s="978"/>
      <c r="N264" s="81"/>
    </row>
    <row r="265" spans="1:14" s="67" customFormat="1" x14ac:dyDescent="0.25">
      <c r="A265" t="s">
        <v>3106</v>
      </c>
      <c r="C265" s="978"/>
      <c r="N265" s="81"/>
    </row>
    <row r="266" spans="1:14" s="67" customFormat="1" x14ac:dyDescent="0.25">
      <c r="A266" t="s">
        <v>3100</v>
      </c>
      <c r="C266" s="978"/>
      <c r="N266" s="81"/>
    </row>
    <row r="267" spans="1:14" s="67" customFormat="1" x14ac:dyDescent="0.25">
      <c r="A267" t="s">
        <v>3101</v>
      </c>
      <c r="C267" s="978"/>
      <c r="N267" s="81"/>
    </row>
    <row r="268" spans="1:14" s="67" customFormat="1" x14ac:dyDescent="0.25">
      <c r="A268" t="s">
        <v>3102</v>
      </c>
      <c r="C268" s="978"/>
      <c r="N268" s="81"/>
    </row>
    <row r="269" spans="1:14" s="67" customFormat="1" x14ac:dyDescent="0.25">
      <c r="A269" t="s">
        <v>3103</v>
      </c>
      <c r="C269" s="978"/>
      <c r="N269" s="81"/>
    </row>
    <row r="270" spans="1:14" s="67" customFormat="1" x14ac:dyDescent="0.25">
      <c r="A270" t="s">
        <v>2742</v>
      </c>
      <c r="C270" s="978"/>
      <c r="N270" s="81"/>
    </row>
    <row r="271" spans="1:14" s="67" customFormat="1" x14ac:dyDescent="0.25">
      <c r="A271" t="s">
        <v>1738</v>
      </c>
      <c r="C271" s="978"/>
      <c r="N271" s="81"/>
    </row>
    <row r="272" spans="1:14" s="67" customFormat="1" x14ac:dyDescent="0.25">
      <c r="A272" t="s">
        <v>1339</v>
      </c>
      <c r="C272" s="978"/>
    </row>
    <row r="273" spans="1:3" s="67" customFormat="1" x14ac:dyDescent="0.25">
      <c r="A273" s="121" t="s">
        <v>1138</v>
      </c>
      <c r="C273" s="978"/>
    </row>
    <row r="274" spans="1:3" s="67" customFormat="1" x14ac:dyDescent="0.25">
      <c r="A274" t="s">
        <v>285</v>
      </c>
      <c r="C274" s="978"/>
    </row>
    <row r="275" spans="1:3" s="67" customFormat="1" x14ac:dyDescent="0.25">
      <c r="A275" t="s">
        <v>979</v>
      </c>
      <c r="C275" s="978"/>
    </row>
    <row r="276" spans="1:3" s="67" customFormat="1" x14ac:dyDescent="0.25">
      <c r="A276"/>
      <c r="C276" s="978"/>
    </row>
    <row r="277" spans="1:3" s="67" customFormat="1" x14ac:dyDescent="0.25">
      <c r="A277" s="1317" t="s">
        <v>1267</v>
      </c>
      <c r="C277" s="978"/>
    </row>
    <row r="278" spans="1:3" s="67" customFormat="1" ht="15.75" x14ac:dyDescent="0.25">
      <c r="A278" s="1317" t="s">
        <v>1268</v>
      </c>
      <c r="C278" s="978"/>
    </row>
    <row r="279" spans="1:3" s="67" customFormat="1" x14ac:dyDescent="0.25">
      <c r="A279" s="91"/>
      <c r="C279" s="978"/>
    </row>
    <row r="280" spans="1:3" s="67" customFormat="1" x14ac:dyDescent="0.25">
      <c r="A280" s="1317" t="s">
        <v>2743</v>
      </c>
      <c r="C280" s="978"/>
    </row>
    <row r="281" spans="1:3" s="67" customFormat="1" x14ac:dyDescent="0.25">
      <c r="A281" s="1317" t="s">
        <v>1269</v>
      </c>
      <c r="C281" s="978"/>
    </row>
    <row r="282" spans="1:3" s="67" customFormat="1" x14ac:dyDescent="0.25">
      <c r="A282" s="91" t="s">
        <v>286</v>
      </c>
      <c r="C282" s="978"/>
    </row>
    <row r="283" spans="1:3" s="67" customFormat="1" x14ac:dyDescent="0.25">
      <c r="A283" s="1317" t="s">
        <v>1139</v>
      </c>
      <c r="C283" s="978"/>
    </row>
    <row r="284" spans="1:3" s="67" customFormat="1" x14ac:dyDescent="0.25">
      <c r="A284" s="1317" t="s">
        <v>1340</v>
      </c>
      <c r="C284" s="978"/>
    </row>
    <row r="285" spans="1:3" s="67" customFormat="1" x14ac:dyDescent="0.25">
      <c r="C285" s="978"/>
    </row>
    <row r="286" spans="1:3" s="67" customFormat="1" x14ac:dyDescent="0.25">
      <c r="C286" s="978"/>
    </row>
    <row r="287" spans="1:3" s="67" customFormat="1" x14ac:dyDescent="0.25">
      <c r="C287" s="978"/>
    </row>
    <row r="288" spans="1:3" s="67" customFormat="1" x14ac:dyDescent="0.25">
      <c r="A288" t="s">
        <v>71</v>
      </c>
    </row>
    <row r="289" spans="1:8" s="67" customFormat="1" x14ac:dyDescent="0.25"/>
    <row r="290" spans="1:8" ht="15.75" x14ac:dyDescent="0.25">
      <c r="B290" s="1383" t="s">
        <v>963</v>
      </c>
      <c r="C290" s="1367"/>
      <c r="D290" s="1367"/>
      <c r="E290" s="1367"/>
    </row>
    <row r="291" spans="1:8" ht="16.5" thickBot="1" x14ac:dyDescent="0.3">
      <c r="A291" s="1383"/>
    </row>
    <row r="292" spans="1:8" ht="19.5" thickTop="1" x14ac:dyDescent="0.3">
      <c r="A292" s="960" t="s">
        <v>486</v>
      </c>
      <c r="B292" s="946"/>
      <c r="C292" s="946"/>
      <c r="D292" s="947"/>
      <c r="E292" s="947"/>
      <c r="F292" s="946"/>
      <c r="G292" s="946"/>
      <c r="H292" s="949"/>
    </row>
    <row r="293" spans="1:8" ht="15.75" x14ac:dyDescent="0.25">
      <c r="A293" s="964" t="s">
        <v>736</v>
      </c>
      <c r="B293" s="944"/>
      <c r="C293" s="944"/>
      <c r="D293" s="945"/>
      <c r="E293" s="945"/>
      <c r="F293" s="944"/>
      <c r="G293" s="944"/>
      <c r="H293" s="950"/>
    </row>
    <row r="294" spans="1:8" x14ac:dyDescent="0.25">
      <c r="A294" s="1054"/>
      <c r="B294" s="943" t="s">
        <v>326</v>
      </c>
      <c r="C294" s="945"/>
      <c r="D294" s="945"/>
      <c r="E294" s="945"/>
      <c r="F294" s="944"/>
      <c r="G294" s="944"/>
      <c r="H294" s="950"/>
    </row>
    <row r="295" spans="1:8" x14ac:dyDescent="0.25">
      <c r="A295" s="1054"/>
      <c r="B295" s="1356" t="s">
        <v>870</v>
      </c>
      <c r="C295" s="1357"/>
      <c r="D295" s="1357"/>
      <c r="E295" s="945"/>
      <c r="F295" s="944"/>
      <c r="G295" s="944"/>
      <c r="H295" s="950"/>
    </row>
    <row r="296" spans="1:8" x14ac:dyDescent="0.25">
      <c r="A296" s="1054"/>
      <c r="B296" s="942" t="s">
        <v>1103</v>
      </c>
      <c r="C296" s="945"/>
      <c r="D296" s="945"/>
      <c r="E296" s="945"/>
      <c r="F296" s="944"/>
      <c r="G296" s="944"/>
      <c r="H296" s="950"/>
    </row>
    <row r="297" spans="1:8" x14ac:dyDescent="0.25">
      <c r="A297" s="1054" t="s">
        <v>154</v>
      </c>
      <c r="B297" s="942" t="s">
        <v>1104</v>
      </c>
      <c r="C297" s="945"/>
      <c r="D297" s="945"/>
      <c r="E297" s="945"/>
      <c r="F297" s="944"/>
      <c r="G297" s="944"/>
      <c r="H297" s="950"/>
    </row>
    <row r="298" spans="1:8" x14ac:dyDescent="0.25">
      <c r="A298" s="1054"/>
      <c r="B298" s="942" t="s">
        <v>1105</v>
      </c>
      <c r="C298" s="945"/>
      <c r="D298" s="945"/>
      <c r="E298" s="945"/>
      <c r="F298" s="944"/>
      <c r="G298" s="944"/>
      <c r="H298" s="950"/>
    </row>
    <row r="299" spans="1:8" x14ac:dyDescent="0.25">
      <c r="A299" s="1890"/>
      <c r="B299" s="942" t="s">
        <v>1106</v>
      </c>
      <c r="C299" s="1019"/>
      <c r="D299" s="945"/>
      <c r="E299" s="945"/>
      <c r="F299" s="944"/>
      <c r="G299" s="944"/>
      <c r="H299" s="950"/>
    </row>
    <row r="300" spans="1:8" x14ac:dyDescent="0.25">
      <c r="A300" s="1890"/>
      <c r="B300" s="942" t="s">
        <v>1449</v>
      </c>
      <c r="C300" s="1019"/>
      <c r="D300" s="945"/>
      <c r="E300" s="945"/>
      <c r="F300" s="944"/>
      <c r="G300" s="944"/>
      <c r="H300" s="950"/>
    </row>
    <row r="301" spans="1:8" x14ac:dyDescent="0.25">
      <c r="A301" s="1890"/>
      <c r="B301" s="942" t="s">
        <v>1462</v>
      </c>
      <c r="C301" s="1019"/>
      <c r="D301" s="945"/>
      <c r="E301" s="945"/>
      <c r="F301" s="944"/>
      <c r="G301" s="944"/>
      <c r="H301" s="950"/>
    </row>
    <row r="302" spans="1:8" x14ac:dyDescent="0.25">
      <c r="A302" s="1890"/>
      <c r="B302" s="942" t="s">
        <v>1450</v>
      </c>
      <c r="C302" s="1019"/>
      <c r="D302" s="945"/>
      <c r="E302" s="945"/>
      <c r="F302" s="944"/>
      <c r="G302" s="944"/>
      <c r="H302" s="950"/>
    </row>
    <row r="303" spans="1:8" x14ac:dyDescent="0.25">
      <c r="A303" s="1890"/>
      <c r="B303" s="942" t="s">
        <v>1107</v>
      </c>
      <c r="C303" s="1019"/>
      <c r="D303" s="945"/>
      <c r="E303" s="945"/>
      <c r="F303" s="944"/>
      <c r="G303" s="944"/>
      <c r="H303" s="950"/>
    </row>
    <row r="304" spans="1:8" x14ac:dyDescent="0.25">
      <c r="A304" s="1890"/>
      <c r="B304" s="943" t="s">
        <v>1108</v>
      </c>
      <c r="C304" s="1019"/>
      <c r="D304" s="945"/>
      <c r="E304" s="945"/>
      <c r="F304" s="944"/>
      <c r="G304" s="944"/>
      <c r="H304" s="950"/>
    </row>
    <row r="305" spans="1:8" x14ac:dyDescent="0.25">
      <c r="A305" s="1890"/>
      <c r="B305" s="943" t="s">
        <v>1100</v>
      </c>
      <c r="C305" s="1019"/>
      <c r="D305" s="945"/>
      <c r="E305" s="945"/>
      <c r="F305" s="944"/>
      <c r="G305" s="944"/>
      <c r="H305" s="950"/>
    </row>
    <row r="306" spans="1:8" x14ac:dyDescent="0.25">
      <c r="A306" s="1054"/>
      <c r="B306" s="943" t="s">
        <v>1099</v>
      </c>
      <c r="C306" s="945"/>
      <c r="D306" s="945"/>
      <c r="E306" s="945"/>
      <c r="F306" s="944"/>
      <c r="G306" s="944"/>
      <c r="H306" s="950"/>
    </row>
    <row r="307" spans="1:8" x14ac:dyDescent="0.25">
      <c r="A307" s="1054"/>
      <c r="B307" s="943" t="s">
        <v>1098</v>
      </c>
      <c r="C307" s="945"/>
      <c r="D307" s="945"/>
      <c r="E307" s="945"/>
      <c r="F307" s="944"/>
      <c r="G307" s="944"/>
      <c r="H307" s="950"/>
    </row>
    <row r="308" spans="1:8" x14ac:dyDescent="0.25">
      <c r="A308" s="1054"/>
      <c r="B308" s="942" t="s">
        <v>1097</v>
      </c>
      <c r="C308" s="945"/>
      <c r="D308" s="945"/>
      <c r="E308" s="945"/>
      <c r="F308" s="944"/>
      <c r="G308" s="944"/>
      <c r="H308" s="950"/>
    </row>
    <row r="309" spans="1:8" x14ac:dyDescent="0.25">
      <c r="A309" s="1054"/>
      <c r="B309" s="943" t="s">
        <v>1101</v>
      </c>
      <c r="C309" s="945"/>
      <c r="D309" s="945"/>
      <c r="E309" s="945"/>
      <c r="F309" s="944"/>
      <c r="G309" s="944"/>
      <c r="H309" s="950"/>
    </row>
    <row r="310" spans="1:8" x14ac:dyDescent="0.25">
      <c r="A310" s="1054"/>
      <c r="B310" s="943" t="s">
        <v>1102</v>
      </c>
      <c r="C310" s="945"/>
      <c r="D310" s="1019" t="s">
        <v>1762</v>
      </c>
      <c r="E310" s="945"/>
      <c r="F310" s="944"/>
      <c r="G310" s="944"/>
      <c r="H310" s="950"/>
    </row>
    <row r="311" spans="1:8" x14ac:dyDescent="0.25">
      <c r="A311" s="1083"/>
      <c r="B311" s="1081" t="s">
        <v>723</v>
      </c>
      <c r="C311" s="945"/>
      <c r="D311" s="1019" t="s">
        <v>724</v>
      </c>
      <c r="E311" s="945"/>
      <c r="F311" s="944"/>
      <c r="G311" s="944"/>
      <c r="H311" s="950"/>
    </row>
    <row r="312" spans="1:8" x14ac:dyDescent="0.25">
      <c r="A312" s="1083"/>
      <c r="B312" s="1081" t="s">
        <v>719</v>
      </c>
      <c r="C312" s="945"/>
      <c r="D312" s="1019" t="s">
        <v>1764</v>
      </c>
      <c r="E312" s="945"/>
      <c r="F312" s="944"/>
      <c r="G312" s="944"/>
      <c r="H312" s="950"/>
    </row>
    <row r="313" spans="1:8" x14ac:dyDescent="0.25">
      <c r="A313" s="1083"/>
      <c r="B313" s="1081" t="s">
        <v>720</v>
      </c>
      <c r="C313" s="945"/>
      <c r="D313" s="1019" t="s">
        <v>1289</v>
      </c>
      <c r="E313" s="945"/>
      <c r="F313" s="945"/>
      <c r="G313" s="945"/>
      <c r="H313" s="950"/>
    </row>
    <row r="314" spans="1:8" x14ac:dyDescent="0.25">
      <c r="A314" s="1083"/>
      <c r="B314" s="1081" t="s">
        <v>721</v>
      </c>
      <c r="C314" s="945"/>
      <c r="D314" s="945" t="s">
        <v>722</v>
      </c>
      <c r="E314" s="945"/>
      <c r="F314" s="945"/>
      <c r="G314" s="945"/>
      <c r="H314" s="950"/>
    </row>
    <row r="315" spans="1:8" x14ac:dyDescent="0.25">
      <c r="A315" s="1083"/>
      <c r="B315" s="1081" t="s">
        <v>725</v>
      </c>
      <c r="C315" s="945"/>
      <c r="D315" s="1019" t="s">
        <v>1763</v>
      </c>
      <c r="E315" s="945"/>
      <c r="F315" s="945"/>
      <c r="G315" s="945"/>
      <c r="H315" s="950"/>
    </row>
    <row r="316" spans="1:8" ht="15.75" thickBot="1" x14ac:dyDescent="0.3">
      <c r="A316" s="1088"/>
      <c r="B316" s="1089" t="s">
        <v>577</v>
      </c>
      <c r="C316" s="948"/>
      <c r="D316" s="1087" t="s">
        <v>578</v>
      </c>
      <c r="E316" s="948"/>
      <c r="F316" s="948"/>
      <c r="G316" s="948"/>
      <c r="H316" s="951"/>
    </row>
    <row r="317" spans="1:8" ht="15.75" thickTop="1" x14ac:dyDescent="0.25"/>
  </sheetData>
  <sheetProtection sheet="1" objects="1" scenarios="1"/>
  <phoneticPr fontId="0" type="noConversion"/>
  <hyperlinks>
    <hyperlink ref="C37" location="'3. WorkData'!A1" display="3. WorkData "/>
    <hyperlink ref="C45" location="'9. SavingsData'!A1" display="9. SavingsData"/>
    <hyperlink ref="C53" location="'7. IRAdata'!A1" display="7. IRAdata"/>
    <hyperlink ref="E53" location="FAQ!A1" display="8. RothData"/>
    <hyperlink ref="G53" location="SavingsData!A1" display="SavingsData"/>
    <hyperlink ref="I53" location="'10. ExpensesData'!A1" display="10. ExpensesData"/>
    <hyperlink ref="E69" location="Introduction!A1" display="Introduction"/>
    <hyperlink ref="C72" location="'5. SocSecData'!A1" display="5. SocSecData"/>
    <hyperlink ref="C76" location="Assumptions!A1" display="Assumptions"/>
    <hyperlink ref="B1" location="'Appendix D'!A1" display="Previous worksheet (Appendix D)"/>
    <hyperlink ref="B290" location="'Appendix D'!A1" display="Previous worksheet (Appendix D)"/>
    <hyperlink ref="C69" location="Figures!A1" display="Figures"/>
    <hyperlink ref="C61" location="'7. IRAdata'!A1" display="7. IRAdata"/>
    <hyperlink ref="E61" location="FAQ!A1" display="8. RothData"/>
    <hyperlink ref="G61" location="SavingsData!A1" display="SavingsData"/>
    <hyperlink ref="I61" location="'10. ExpensesData'!A1" display="10. ExpensesData"/>
    <hyperlink ref="C81" location="'R. Results'!A1" display="R. Results"/>
    <hyperlink ref="C86" location="'7. IRAdata'!A1" display="7. IRAdata"/>
    <hyperlink ref="E86" location="FAQ!A1" display="8. RothData"/>
    <hyperlink ref="G86" location="SavingsData!A1" display="SavingsData"/>
    <hyperlink ref="I86" location="'10. ExpensesData'!A1" display="10. ExpensesData"/>
    <hyperlink ref="B297" location="'S. Setup'!A1" display="Setup"/>
    <hyperlink ref="B298" location="'1. AgeData'!A1" display="AgeData"/>
    <hyperlink ref="B299" location="'2. TaxData'!A1" display="TaxData"/>
    <hyperlink ref="B301" location="'4. PensionData'!A1" display="4. PensionData"/>
    <hyperlink ref="B302" location="'5. SocSecData'!A1" display="5. SocSecData"/>
    <hyperlink ref="B300" location="'3. WorkData'!A1" display="3. WorkData"/>
    <hyperlink ref="B303" location="'6. AnnuityData'!A1" display="AnnuityData"/>
    <hyperlink ref="B304" location="'7. IRAdata'!A1" display="IRAdata"/>
    <hyperlink ref="B305" location="'8. RothData'!A1" display="RothData"/>
    <hyperlink ref="B306" location="'9. SavingsData'!A1" display="SavingsData"/>
    <hyperlink ref="B296" location="'R. Results'!A1" display="Results"/>
    <hyperlink ref="B308" location="'11. CashData'!A1" display="CashData"/>
    <hyperlink ref="B307" location="'10. ExpensesData'!A1" display="ExpensesData"/>
    <hyperlink ref="B309" location="'12. RMDtable'!A1" display="RMDtable"/>
    <hyperlink ref="B294" location="Introduction!A1" display="Introduction"/>
    <hyperlink ref="B311" location="Figures!A1" display="Figures"/>
    <hyperlink ref="B315" location="'Appendix D'!A1" display="Appendix D"/>
    <hyperlink ref="B312" location="'Appendix A'!A1" display="Appendix A"/>
    <hyperlink ref="B313" location="'Appendix B'!A1" display="Appendix B"/>
    <hyperlink ref="B314" location="'Appendix C'!A1" display="Appendix C"/>
    <hyperlink ref="B316" location="FAQ!A1" display="FAQ"/>
    <hyperlink ref="B295" location="Assumptions!A1" display="Assumptions"/>
    <hyperlink ref="B310" location="'RS. Resources'!A1" display="Resources"/>
  </hyperlinks>
  <printOptions headings="1" gridLines="1"/>
  <pageMargins left="0.7" right="0.7" top="0.75" bottom="0.75" header="0.3" footer="0.3"/>
  <pageSetup orientation="landscape" horizontalDpi="0" verticalDpi="0" r:id="rId1"/>
  <headerFooter>
    <oddHeader>&amp;L&amp;F&amp;C  &amp;D &amp;T&amp;R  &amp;A &amp;P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R341"/>
  <sheetViews>
    <sheetView workbookViewId="0">
      <selection activeCell="F15" sqref="F15"/>
    </sheetView>
  </sheetViews>
  <sheetFormatPr defaultRowHeight="15" x14ac:dyDescent="0.25"/>
  <cols>
    <col min="1" max="1" width="13.140625" style="1671" customWidth="1"/>
    <col min="2" max="2" width="11.28515625" style="1671" customWidth="1"/>
    <col min="3" max="3" width="10.7109375" style="1671" customWidth="1"/>
    <col min="4" max="4" width="9.140625" style="1671"/>
    <col min="5" max="6" width="9.28515625" style="1671" bestFit="1" customWidth="1"/>
    <col min="7" max="7" width="9.5703125" style="1671" bestFit="1" customWidth="1"/>
    <col min="8" max="9" width="9.28515625" style="1671" bestFit="1" customWidth="1"/>
    <col min="10" max="10" width="9.140625" style="1671"/>
    <col min="11" max="11" width="9.5703125" style="1671" bestFit="1" customWidth="1"/>
    <col min="12" max="16384" width="9.140625" style="1671"/>
  </cols>
  <sheetData>
    <row r="1" spans="1:12" s="2809" customFormat="1" ht="15.75" x14ac:dyDescent="0.25">
      <c r="B1" s="1471" t="s">
        <v>1770</v>
      </c>
      <c r="F1" s="1383" t="s">
        <v>1130</v>
      </c>
    </row>
    <row r="2" spans="1:12" s="2812" customFormat="1" ht="15.75" x14ac:dyDescent="0.25">
      <c r="A2" s="2810"/>
      <c r="B2" s="1424"/>
      <c r="C2" s="2810"/>
      <c r="D2" s="2810"/>
      <c r="E2" s="2810"/>
      <c r="F2" s="1424"/>
      <c r="G2" s="2811"/>
      <c r="H2" s="2811"/>
      <c r="I2" s="2811"/>
      <c r="J2" s="2811"/>
      <c r="K2" s="2811"/>
      <c r="L2" s="2811"/>
    </row>
    <row r="4" spans="1:12" ht="18.75" x14ac:dyDescent="0.3">
      <c r="A4" s="2813" t="s">
        <v>887</v>
      </c>
    </row>
    <row r="5" spans="1:12" ht="18.75" x14ac:dyDescent="0.3">
      <c r="A5" s="2813"/>
    </row>
    <row r="6" spans="1:12" ht="15.75" x14ac:dyDescent="0.25">
      <c r="A6" s="1582" t="s">
        <v>2989</v>
      </c>
      <c r="G6" s="2814"/>
    </row>
    <row r="7" spans="1:12" x14ac:dyDescent="0.25">
      <c r="A7" s="3629" t="s">
        <v>3661</v>
      </c>
    </row>
    <row r="8" spans="1:12" x14ac:dyDescent="0.25">
      <c r="A8" s="3629" t="s">
        <v>2991</v>
      </c>
    </row>
    <row r="10" spans="1:12" ht="15.75" x14ac:dyDescent="0.25">
      <c r="A10" s="2812" t="s">
        <v>3662</v>
      </c>
    </row>
    <row r="11" spans="1:12" ht="15.75" x14ac:dyDescent="0.25">
      <c r="A11" s="2812" t="s">
        <v>3663</v>
      </c>
    </row>
    <row r="12" spans="1:12" ht="15.75" x14ac:dyDescent="0.25">
      <c r="A12" s="2812" t="s">
        <v>3664</v>
      </c>
    </row>
    <row r="13" spans="1:12" ht="15.75" x14ac:dyDescent="0.25">
      <c r="A13" s="2812" t="s">
        <v>3665</v>
      </c>
    </row>
    <row r="14" spans="1:12" ht="15.75" x14ac:dyDescent="0.25">
      <c r="A14" s="2812" t="s">
        <v>1534</v>
      </c>
    </row>
    <row r="15" spans="1:12" ht="15.75" x14ac:dyDescent="0.25">
      <c r="A15" s="2812" t="s">
        <v>1535</v>
      </c>
    </row>
    <row r="16" spans="1:12" ht="15.75" x14ac:dyDescent="0.25">
      <c r="A16" s="2812" t="s">
        <v>2298</v>
      </c>
    </row>
    <row r="17" spans="1:12" ht="15.75" x14ac:dyDescent="0.25">
      <c r="A17" s="2812" t="s">
        <v>855</v>
      </c>
    </row>
    <row r="18" spans="1:12" ht="16.5" thickBot="1" x14ac:dyDescent="0.3">
      <c r="A18" s="2812"/>
    </row>
    <row r="19" spans="1:12" ht="19.5" thickBot="1" x14ac:dyDescent="0.35">
      <c r="A19" s="2815" t="s">
        <v>1263</v>
      </c>
      <c r="B19" s="2816"/>
      <c r="C19" s="2817"/>
      <c r="D19" s="2817"/>
      <c r="E19" s="2816"/>
      <c r="F19" s="2816"/>
      <c r="G19" s="2816"/>
      <c r="H19" s="2816"/>
      <c r="I19" s="2816"/>
      <c r="J19" s="2818"/>
      <c r="K19" s="2819"/>
      <c r="L19" s="2819"/>
    </row>
    <row r="20" spans="1:12" ht="15.75" thickBot="1" x14ac:dyDescent="0.3"/>
    <row r="21" spans="1:12" ht="20.25" thickTop="1" thickBot="1" x14ac:dyDescent="0.35">
      <c r="A21" s="2820" t="s">
        <v>51</v>
      </c>
      <c r="B21" s="2821"/>
      <c r="C21" s="2821"/>
      <c r="D21" s="2821"/>
      <c r="E21" s="2821"/>
      <c r="F21" s="2821"/>
      <c r="G21" s="2821"/>
      <c r="H21" s="2821"/>
      <c r="I21" s="2821"/>
      <c r="J21" s="2821"/>
      <c r="K21" s="2821"/>
      <c r="L21" s="2822"/>
    </row>
    <row r="22" spans="1:12" ht="16.5" thickBot="1" x14ac:dyDescent="0.3">
      <c r="A22" s="2823" t="s">
        <v>890</v>
      </c>
      <c r="B22" s="1478" t="s">
        <v>1104</v>
      </c>
      <c r="C22" s="2824"/>
      <c r="D22" s="2825" t="s">
        <v>918</v>
      </c>
      <c r="E22" s="2824"/>
      <c r="F22" s="2826" t="str">
        <f>'S. Setup'!B10</f>
        <v>You MUST edit this worksheet.</v>
      </c>
      <c r="G22" s="2827"/>
      <c r="H22" s="2827"/>
      <c r="I22" s="2828"/>
      <c r="J22" s="2824"/>
      <c r="K22" s="2824"/>
      <c r="L22" s="2829"/>
    </row>
    <row r="23" spans="1:12" ht="30.75" thickBot="1" x14ac:dyDescent="0.3">
      <c r="A23" s="2830" t="s">
        <v>841</v>
      </c>
      <c r="B23" s="2831" t="s">
        <v>840</v>
      </c>
      <c r="C23" s="2832" t="s">
        <v>2292</v>
      </c>
      <c r="D23" s="2831"/>
      <c r="E23" s="2831"/>
      <c r="F23" s="2831"/>
      <c r="G23" s="2831"/>
      <c r="H23" s="2831"/>
      <c r="I23" s="2831"/>
      <c r="J23" s="2832" t="s">
        <v>842</v>
      </c>
      <c r="K23" s="2831"/>
      <c r="L23" s="2833"/>
    </row>
    <row r="24" spans="1:12" x14ac:dyDescent="0.25">
      <c r="A24" s="2834" t="s">
        <v>611</v>
      </c>
      <c r="B24" s="2835" t="s">
        <v>845</v>
      </c>
      <c r="C24" s="2792" t="s">
        <v>550</v>
      </c>
      <c r="D24" s="2836"/>
      <c r="E24" s="2836"/>
      <c r="F24" s="2837"/>
      <c r="G24" s="2838"/>
      <c r="H24" s="2839"/>
      <c r="I24" s="2838"/>
      <c r="J24" s="2838"/>
      <c r="K24" s="2840" t="str">
        <f>'S. Setup'!K33</f>
        <v>Required</v>
      </c>
      <c r="L24" s="2753"/>
    </row>
    <row r="25" spans="1:12" x14ac:dyDescent="0.25">
      <c r="A25" s="2841" t="s">
        <v>611</v>
      </c>
      <c r="B25" s="2835" t="s">
        <v>845</v>
      </c>
      <c r="C25" s="2792" t="s">
        <v>551</v>
      </c>
      <c r="D25" s="2836"/>
      <c r="E25" s="2769"/>
      <c r="F25" s="2837"/>
      <c r="G25" s="2838"/>
      <c r="H25" s="2839"/>
      <c r="I25" s="2838"/>
      <c r="J25" s="2838"/>
      <c r="K25" s="2840" t="str">
        <f>'S. Setup'!K34</f>
        <v>Required</v>
      </c>
      <c r="L25" s="2753"/>
    </row>
    <row r="26" spans="1:12" x14ac:dyDescent="0.25">
      <c r="A26" s="2841" t="s">
        <v>611</v>
      </c>
      <c r="B26" s="2835" t="s">
        <v>845</v>
      </c>
      <c r="C26" s="2842" t="s">
        <v>587</v>
      </c>
      <c r="D26" s="1727"/>
      <c r="E26" s="2842"/>
      <c r="F26" s="2843"/>
      <c r="G26" s="2844"/>
      <c r="H26" s="2845"/>
      <c r="I26" s="2844"/>
      <c r="J26" s="1727"/>
      <c r="K26" s="2846" t="str">
        <f>'S. Setup'!K36</f>
        <v>used</v>
      </c>
      <c r="L26" s="2753"/>
    </row>
    <row r="27" spans="1:12" x14ac:dyDescent="0.25">
      <c r="A27" s="2841" t="s">
        <v>611</v>
      </c>
      <c r="B27" s="2835" t="s">
        <v>845</v>
      </c>
      <c r="C27" s="2842" t="s">
        <v>588</v>
      </c>
      <c r="D27" s="2842"/>
      <c r="E27" s="2842"/>
      <c r="F27" s="2843"/>
      <c r="G27" s="2844"/>
      <c r="H27" s="2845"/>
      <c r="I27" s="2844"/>
      <c r="J27" s="2844"/>
      <c r="K27" s="2846" t="str">
        <f>'S. Setup'!K37</f>
        <v>used</v>
      </c>
      <c r="L27" s="2753"/>
    </row>
    <row r="28" spans="1:12" x14ac:dyDescent="0.25">
      <c r="A28" s="2841" t="s">
        <v>611</v>
      </c>
      <c r="B28" s="2835" t="s">
        <v>845</v>
      </c>
      <c r="C28" s="2842" t="s">
        <v>586</v>
      </c>
      <c r="D28" s="2842"/>
      <c r="E28" s="2842"/>
      <c r="F28" s="2843"/>
      <c r="G28" s="2844"/>
      <c r="H28" s="2845"/>
      <c r="I28" s="2844"/>
      <c r="J28" s="2844"/>
      <c r="K28" s="2846" t="str">
        <f>'S. Setup'!K35</f>
        <v>used</v>
      </c>
      <c r="L28" s="2753"/>
    </row>
    <row r="29" spans="1:12" x14ac:dyDescent="0.25">
      <c r="A29" s="2841" t="s">
        <v>611</v>
      </c>
      <c r="B29" s="2835" t="s">
        <v>845</v>
      </c>
      <c r="C29" s="2842" t="s">
        <v>483</v>
      </c>
      <c r="D29" s="2842"/>
      <c r="E29" s="2842"/>
      <c r="F29" s="2843"/>
      <c r="G29" s="2844"/>
      <c r="H29" s="2845"/>
      <c r="I29" s="2844"/>
      <c r="J29" s="2844"/>
      <c r="K29" s="2846" t="str">
        <f>'S. Setup'!K38</f>
        <v>used</v>
      </c>
      <c r="L29" s="2753"/>
    </row>
    <row r="30" spans="1:12" x14ac:dyDescent="0.25">
      <c r="A30" s="2841" t="s">
        <v>611</v>
      </c>
      <c r="B30" s="2835" t="s">
        <v>845</v>
      </c>
      <c r="C30" s="2842" t="s">
        <v>582</v>
      </c>
      <c r="D30" s="1727"/>
      <c r="E30" s="2842"/>
      <c r="F30" s="2843"/>
      <c r="G30" s="2844"/>
      <c r="H30" s="2845"/>
      <c r="I30" s="2844"/>
      <c r="J30" s="2844"/>
      <c r="K30" s="2846" t="str">
        <f>'S. Setup'!K39</f>
        <v>used</v>
      </c>
      <c r="L30" s="2753"/>
    </row>
    <row r="31" spans="1:12" x14ac:dyDescent="0.25">
      <c r="A31" s="2841" t="s">
        <v>611</v>
      </c>
      <c r="B31" s="2835" t="s">
        <v>845</v>
      </c>
      <c r="C31" s="2842" t="s">
        <v>583</v>
      </c>
      <c r="D31" s="1727"/>
      <c r="E31" s="2842"/>
      <c r="F31" s="2843"/>
      <c r="G31" s="2844"/>
      <c r="H31" s="2845"/>
      <c r="I31" s="2844"/>
      <c r="J31" s="2844"/>
      <c r="K31" s="2846" t="str">
        <f>'S. Setup'!K40</f>
        <v>used</v>
      </c>
      <c r="L31" s="2753"/>
    </row>
    <row r="32" spans="1:12" x14ac:dyDescent="0.25">
      <c r="A32" s="2841" t="s">
        <v>611</v>
      </c>
      <c r="B32" s="2835" t="s">
        <v>845</v>
      </c>
      <c r="C32" s="2842" t="s">
        <v>589</v>
      </c>
      <c r="D32" s="2842"/>
      <c r="E32" s="2842"/>
      <c r="F32" s="2843"/>
      <c r="G32" s="2844"/>
      <c r="H32" s="2845"/>
      <c r="I32" s="2844"/>
      <c r="J32" s="2844"/>
      <c r="K32" s="2846" t="str">
        <f>'S. Setup'!K41</f>
        <v>Required</v>
      </c>
      <c r="L32" s="2753"/>
    </row>
    <row r="33" spans="1:12" x14ac:dyDescent="0.25">
      <c r="A33" s="2841" t="s">
        <v>611</v>
      </c>
      <c r="B33" s="2835" t="s">
        <v>845</v>
      </c>
      <c r="C33" s="2842" t="s">
        <v>549</v>
      </c>
      <c r="D33" s="2842"/>
      <c r="E33" s="2842"/>
      <c r="F33" s="2843"/>
      <c r="G33" s="2844"/>
      <c r="H33" s="2845"/>
      <c r="I33" s="2844"/>
      <c r="J33" s="2844"/>
      <c r="K33" s="2846" t="str">
        <f>'S. Setup'!K42</f>
        <v>Required</v>
      </c>
      <c r="L33" s="2753"/>
    </row>
    <row r="34" spans="1:12" x14ac:dyDescent="0.25">
      <c r="A34" s="2847"/>
      <c r="B34" s="2835"/>
      <c r="C34" s="2842"/>
      <c r="D34" s="2842"/>
      <c r="E34" s="2842"/>
      <c r="F34" s="2843"/>
      <c r="G34" s="2844"/>
      <c r="H34" s="2845"/>
      <c r="I34" s="2844"/>
      <c r="J34" s="2844"/>
      <c r="K34" s="2840"/>
      <c r="L34" s="2753"/>
    </row>
    <row r="35" spans="1:12" ht="15.75" x14ac:dyDescent="0.25">
      <c r="A35" s="2841" t="s">
        <v>611</v>
      </c>
      <c r="B35" s="2835" t="s">
        <v>847</v>
      </c>
      <c r="C35" s="2848" t="s">
        <v>429</v>
      </c>
      <c r="D35" s="2849"/>
      <c r="E35" s="2849"/>
      <c r="F35" s="2849"/>
      <c r="G35" s="2850"/>
      <c r="H35" s="2850"/>
      <c r="I35" s="2850"/>
      <c r="J35" s="2850"/>
      <c r="K35" s="2851" t="str">
        <f>'S. Setup'!J57</f>
        <v>yes</v>
      </c>
      <c r="L35" s="2753"/>
    </row>
    <row r="36" spans="1:12" ht="15.75" x14ac:dyDescent="0.25">
      <c r="A36" s="2841" t="s">
        <v>611</v>
      </c>
      <c r="B36" s="2835" t="s">
        <v>847</v>
      </c>
      <c r="C36" s="2848" t="s">
        <v>430</v>
      </c>
      <c r="D36" s="2850"/>
      <c r="E36" s="2850"/>
      <c r="F36" s="2849"/>
      <c r="G36" s="2849"/>
      <c r="H36" s="2850"/>
      <c r="I36" s="2850"/>
      <c r="J36" s="2850"/>
      <c r="K36" s="2851" t="str">
        <f>'S. Setup'!J59</f>
        <v>yes</v>
      </c>
      <c r="L36" s="2852"/>
    </row>
    <row r="37" spans="1:12" ht="15.75" x14ac:dyDescent="0.25">
      <c r="A37" s="2841" t="s">
        <v>611</v>
      </c>
      <c r="B37" s="2835" t="s">
        <v>847</v>
      </c>
      <c r="C37" s="2848" t="s">
        <v>428</v>
      </c>
      <c r="D37" s="2848"/>
      <c r="E37" s="2848"/>
      <c r="F37" s="2850"/>
      <c r="G37" s="2849"/>
      <c r="H37" s="2849"/>
      <c r="I37" s="2850"/>
      <c r="J37" s="2850"/>
      <c r="K37" s="2851" t="str">
        <f>'S. Setup'!J61</f>
        <v>yes</v>
      </c>
      <c r="L37" s="2852"/>
    </row>
    <row r="38" spans="1:12" ht="15.75" x14ac:dyDescent="0.25">
      <c r="A38" s="2841" t="s">
        <v>611</v>
      </c>
      <c r="B38" s="2835" t="s">
        <v>847</v>
      </c>
      <c r="C38" s="2848" t="s">
        <v>427</v>
      </c>
      <c r="D38" s="2850"/>
      <c r="E38" s="2849"/>
      <c r="F38" s="2849"/>
      <c r="G38" s="2850"/>
      <c r="H38" s="2850"/>
      <c r="I38" s="2850"/>
      <c r="J38" s="2850"/>
      <c r="K38" s="2851" t="str">
        <f>'S. Setup'!J63</f>
        <v>yes</v>
      </c>
      <c r="L38" s="2852"/>
    </row>
    <row r="39" spans="1:12" ht="15.75" x14ac:dyDescent="0.25">
      <c r="A39" s="2841" t="s">
        <v>611</v>
      </c>
      <c r="B39" s="2835" t="s">
        <v>847</v>
      </c>
      <c r="C39" s="2791" t="s">
        <v>431</v>
      </c>
      <c r="D39" s="2850"/>
      <c r="E39" s="2850"/>
      <c r="F39" s="2850"/>
      <c r="G39" s="2850"/>
      <c r="H39" s="2850"/>
      <c r="I39" s="2850"/>
      <c r="J39" s="2850"/>
      <c r="K39" s="2851" t="str">
        <f>'S. Setup'!J65</f>
        <v>yes</v>
      </c>
      <c r="L39" s="2852"/>
    </row>
    <row r="40" spans="1:12" ht="15.75" x14ac:dyDescent="0.25">
      <c r="A40" s="2847"/>
      <c r="B40" s="2835"/>
      <c r="C40" s="2853"/>
      <c r="D40" s="2849"/>
      <c r="E40" s="2849"/>
      <c r="F40" s="2849"/>
      <c r="G40" s="2850"/>
      <c r="H40" s="2850"/>
      <c r="I40" s="2850"/>
      <c r="J40" s="2850"/>
      <c r="K40" s="2854"/>
      <c r="L40" s="2852"/>
    </row>
    <row r="41" spans="1:12" ht="15.75" x14ac:dyDescent="0.25">
      <c r="A41" s="2841" t="s">
        <v>611</v>
      </c>
      <c r="B41" s="2835" t="s">
        <v>848</v>
      </c>
      <c r="C41" s="2848" t="s">
        <v>452</v>
      </c>
      <c r="D41" s="2849"/>
      <c r="E41" s="2849"/>
      <c r="F41" s="2849"/>
      <c r="G41" s="2850"/>
      <c r="H41" s="2850"/>
      <c r="I41" s="2850"/>
      <c r="J41" s="2850"/>
      <c r="K41" s="2851" t="str">
        <f>'S. Setup'!J78</f>
        <v>yes</v>
      </c>
      <c r="L41" s="2852"/>
    </row>
    <row r="42" spans="1:12" ht="15.75" x14ac:dyDescent="0.25">
      <c r="A42" s="2841" t="s">
        <v>611</v>
      </c>
      <c r="B42" s="2855" t="s">
        <v>848</v>
      </c>
      <c r="C42" s="2848" t="s">
        <v>452</v>
      </c>
      <c r="D42" s="2849"/>
      <c r="E42" s="2849"/>
      <c r="F42" s="2849"/>
      <c r="G42" s="2850"/>
      <c r="H42" s="2850"/>
      <c r="I42" s="2850"/>
      <c r="J42" s="2850"/>
      <c r="K42" s="2851" t="str">
        <f>'S. Setup'!J80</f>
        <v>yes</v>
      </c>
      <c r="L42" s="2852"/>
    </row>
    <row r="43" spans="1:12" ht="15.75" x14ac:dyDescent="0.25">
      <c r="A43" s="2841" t="s">
        <v>611</v>
      </c>
      <c r="B43" s="2835" t="s">
        <v>848</v>
      </c>
      <c r="C43" s="2848" t="s">
        <v>433</v>
      </c>
      <c r="D43" s="2848"/>
      <c r="E43" s="2848"/>
      <c r="F43" s="2850"/>
      <c r="G43" s="2849"/>
      <c r="H43" s="2849"/>
      <c r="I43" s="2850"/>
      <c r="J43" s="2850"/>
      <c r="K43" s="2851" t="str">
        <f>'S. Setup'!J82</f>
        <v>yes</v>
      </c>
      <c r="L43" s="2852"/>
    </row>
    <row r="44" spans="1:12" ht="15.75" x14ac:dyDescent="0.25">
      <c r="A44" s="2841" t="s">
        <v>611</v>
      </c>
      <c r="B44" s="2835" t="s">
        <v>848</v>
      </c>
      <c r="C44" s="2848" t="s">
        <v>773</v>
      </c>
      <c r="D44" s="2848"/>
      <c r="E44" s="2848"/>
      <c r="F44" s="2850"/>
      <c r="G44" s="2849"/>
      <c r="H44" s="2849"/>
      <c r="I44" s="2850"/>
      <c r="J44" s="2850"/>
      <c r="K44" s="2851" t="str">
        <f>'S. Setup'!J84</f>
        <v>keep</v>
      </c>
      <c r="L44" s="2852"/>
    </row>
    <row r="45" spans="1:12" ht="16.5" thickBot="1" x14ac:dyDescent="0.3">
      <c r="A45" s="2856" t="s">
        <v>611</v>
      </c>
      <c r="B45" s="2857" t="s">
        <v>848</v>
      </c>
      <c r="C45" s="2858" t="s">
        <v>832</v>
      </c>
      <c r="D45" s="2858"/>
      <c r="E45" s="2858"/>
      <c r="F45" s="2859"/>
      <c r="G45" s="2860"/>
      <c r="H45" s="2860"/>
      <c r="I45" s="2859"/>
      <c r="J45" s="2859"/>
      <c r="K45" s="2861" t="str">
        <f>'S. Setup'!J86</f>
        <v>yes</v>
      </c>
      <c r="L45" s="2862"/>
    </row>
    <row r="46" spans="1:12" ht="16.5" thickTop="1" x14ac:dyDescent="0.25">
      <c r="C46" s="2853"/>
      <c r="D46" s="2849"/>
      <c r="E46" s="2849"/>
      <c r="F46" s="2849"/>
      <c r="G46" s="2849"/>
      <c r="H46" s="2849"/>
      <c r="I46" s="2863"/>
      <c r="J46" s="2863"/>
      <c r="K46" s="2864"/>
      <c r="L46" s="2865"/>
    </row>
    <row r="47" spans="1:12" ht="16.5" thickBot="1" x14ac:dyDescent="0.3">
      <c r="C47" s="2853"/>
      <c r="D47" s="2849"/>
      <c r="E47" s="2849"/>
      <c r="F47" s="2849"/>
      <c r="G47" s="2849"/>
      <c r="H47" s="2849"/>
      <c r="I47" s="2863"/>
      <c r="J47" s="2863"/>
      <c r="K47" s="2864"/>
      <c r="L47" s="2865"/>
    </row>
    <row r="48" spans="1:12" ht="20.25" thickTop="1" thickBot="1" x14ac:dyDescent="0.35">
      <c r="A48" s="2866" t="s">
        <v>2395</v>
      </c>
      <c r="B48" s="2867"/>
      <c r="C48" s="2867"/>
      <c r="D48" s="2867"/>
      <c r="E48" s="2867"/>
      <c r="F48" s="2867"/>
      <c r="G48" s="2867"/>
      <c r="H48" s="2867"/>
      <c r="I48" s="2867"/>
      <c r="J48" s="2867"/>
      <c r="K48" s="2867"/>
      <c r="L48" s="2868"/>
    </row>
    <row r="49" spans="1:12" ht="16.5" thickBot="1" x14ac:dyDescent="0.3">
      <c r="A49" s="2869" t="s">
        <v>890</v>
      </c>
      <c r="B49" s="1479" t="s">
        <v>1105</v>
      </c>
      <c r="C49" s="2870"/>
      <c r="D49" s="2871" t="s">
        <v>918</v>
      </c>
      <c r="E49" s="2870"/>
      <c r="F49" s="2872" t="str">
        <f>'1. AgeData'!B12</f>
        <v>You MUST edit this worksheet.</v>
      </c>
      <c r="G49" s="2870"/>
      <c r="H49" s="2870"/>
      <c r="I49" s="2870"/>
      <c r="J49" s="2870"/>
      <c r="K49" s="2870"/>
      <c r="L49" s="2873"/>
    </row>
    <row r="50" spans="1:12" s="2878" customFormat="1" ht="30.75" thickBot="1" x14ac:dyDescent="0.3">
      <c r="A50" s="2874" t="s">
        <v>841</v>
      </c>
      <c r="B50" s="2875" t="s">
        <v>840</v>
      </c>
      <c r="C50" s="2832" t="s">
        <v>2292</v>
      </c>
      <c r="D50" s="2875"/>
      <c r="E50" s="2875"/>
      <c r="F50" s="2875"/>
      <c r="G50" s="2875"/>
      <c r="H50" s="2875"/>
      <c r="I50" s="2875"/>
      <c r="J50" s="2876" t="s">
        <v>842</v>
      </c>
      <c r="K50" s="2875"/>
      <c r="L50" s="2877"/>
    </row>
    <row r="51" spans="1:12" ht="15.75" thickTop="1" x14ac:dyDescent="0.25">
      <c r="A51" s="2879" t="s">
        <v>395</v>
      </c>
      <c r="B51" s="2867">
        <v>1.1000000000000001</v>
      </c>
      <c r="C51" s="2880" t="s">
        <v>362</v>
      </c>
      <c r="D51" s="2881"/>
      <c r="E51" s="2881"/>
      <c r="F51" s="2882"/>
      <c r="G51" s="2867"/>
      <c r="H51" s="2867"/>
      <c r="I51" s="2867"/>
      <c r="J51" s="2867"/>
      <c r="K51" s="2883">
        <f>'1. AgeData'!D30</f>
        <v>60</v>
      </c>
      <c r="L51" s="2868"/>
    </row>
    <row r="52" spans="1:12" x14ac:dyDescent="0.25">
      <c r="A52" s="2841" t="s">
        <v>395</v>
      </c>
      <c r="B52" s="1727">
        <v>1.1000000000000001</v>
      </c>
      <c r="C52" s="2884" t="s">
        <v>363</v>
      </c>
      <c r="D52" s="1662"/>
      <c r="E52" s="1662"/>
      <c r="F52" s="2151"/>
      <c r="G52" s="1727"/>
      <c r="H52" s="1727"/>
      <c r="I52" s="1727"/>
      <c r="J52" s="1727"/>
      <c r="K52" s="2148">
        <f>'1. AgeData'!D31</f>
        <v>55</v>
      </c>
      <c r="L52" s="2753"/>
    </row>
    <row r="53" spans="1:12" x14ac:dyDescent="0.25">
      <c r="A53" s="2841" t="s">
        <v>395</v>
      </c>
      <c r="B53" s="1727">
        <v>1.1000000000000001</v>
      </c>
      <c r="C53" s="2885" t="s">
        <v>766</v>
      </c>
      <c r="D53" s="2885"/>
      <c r="E53" s="1727"/>
      <c r="F53" s="1727"/>
      <c r="G53" s="1727"/>
      <c r="H53" s="1727"/>
      <c r="I53" s="1727"/>
      <c r="J53" s="1727"/>
      <c r="K53" s="2148">
        <f>'1. AgeData'!I30</f>
        <v>85</v>
      </c>
      <c r="L53" s="2753"/>
    </row>
    <row r="54" spans="1:12" x14ac:dyDescent="0.25">
      <c r="A54" s="2841" t="s">
        <v>395</v>
      </c>
      <c r="B54" s="1727">
        <v>1.1000000000000001</v>
      </c>
      <c r="C54" s="2885" t="s">
        <v>767</v>
      </c>
      <c r="D54" s="2885"/>
      <c r="E54" s="1727"/>
      <c r="F54" s="1727"/>
      <c r="G54" s="1727"/>
      <c r="H54" s="1727"/>
      <c r="I54" s="1727"/>
      <c r="J54" s="1727"/>
      <c r="K54" s="2148">
        <f>'1. AgeData'!I31</f>
        <v>87</v>
      </c>
      <c r="L54" s="2753"/>
    </row>
    <row r="55" spans="1:12" x14ac:dyDescent="0.25">
      <c r="A55" s="2847"/>
      <c r="B55" s="1727"/>
      <c r="C55" s="1727"/>
      <c r="D55" s="1727"/>
      <c r="E55" s="1727"/>
      <c r="F55" s="1727"/>
      <c r="G55" s="1727"/>
      <c r="H55" s="1727"/>
      <c r="I55" s="1727"/>
      <c r="J55" s="1727"/>
      <c r="K55" s="2886"/>
      <c r="L55" s="2753"/>
    </row>
    <row r="56" spans="1:12" x14ac:dyDescent="0.25">
      <c r="A56" s="2841" t="s">
        <v>395</v>
      </c>
      <c r="B56" s="1727">
        <v>1.2</v>
      </c>
      <c r="C56" s="2146" t="s">
        <v>635</v>
      </c>
      <c r="D56" s="2887"/>
      <c r="E56" s="2887"/>
      <c r="F56" s="2887"/>
      <c r="G56" s="1727"/>
      <c r="H56" s="1727"/>
      <c r="I56" s="1727"/>
      <c r="J56" s="1727"/>
      <c r="K56" s="2770">
        <f>'1. AgeData'!E38</f>
        <v>0.02</v>
      </c>
      <c r="L56" s="2753"/>
    </row>
    <row r="57" spans="1:12" x14ac:dyDescent="0.25">
      <c r="A57" s="2847"/>
      <c r="B57" s="1727"/>
      <c r="C57" s="1727"/>
      <c r="D57" s="1727"/>
      <c r="E57" s="1727"/>
      <c r="F57" s="1727"/>
      <c r="G57" s="1727"/>
      <c r="H57" s="1727"/>
      <c r="I57" s="1727"/>
      <c r="J57" s="1727"/>
      <c r="K57" s="2770"/>
      <c r="L57" s="2753"/>
    </row>
    <row r="58" spans="1:12" x14ac:dyDescent="0.25">
      <c r="A58" s="2841" t="s">
        <v>395</v>
      </c>
      <c r="B58" s="1727">
        <v>1.3</v>
      </c>
      <c r="C58" s="2769" t="s">
        <v>843</v>
      </c>
      <c r="D58" s="2146"/>
      <c r="E58" s="2146"/>
      <c r="F58" s="2146"/>
      <c r="G58" s="2888"/>
      <c r="H58" s="1727"/>
      <c r="I58" s="1727"/>
      <c r="J58" s="1727"/>
      <c r="K58" s="2770">
        <f>'1. AgeData'!E50</f>
        <v>4.4999999999999998E-2</v>
      </c>
      <c r="L58" s="2753"/>
    </row>
    <row r="59" spans="1:12" x14ac:dyDescent="0.25">
      <c r="A59" s="2841" t="s">
        <v>395</v>
      </c>
      <c r="B59" s="1727">
        <v>1.3</v>
      </c>
      <c r="C59" s="2769" t="s">
        <v>844</v>
      </c>
      <c r="D59" s="2146"/>
      <c r="E59" s="2146"/>
      <c r="F59" s="2146"/>
      <c r="G59" s="2888"/>
      <c r="H59" s="1727"/>
      <c r="I59" s="1727"/>
      <c r="J59" s="1727"/>
      <c r="K59" s="2770">
        <f>'1. AgeData'!E51</f>
        <v>1.7500000000000002E-2</v>
      </c>
      <c r="L59" s="2753"/>
    </row>
    <row r="60" spans="1:12" ht="15.75" thickBot="1" x14ac:dyDescent="0.3">
      <c r="A60" s="2889"/>
      <c r="B60" s="1727"/>
      <c r="C60" s="2769"/>
      <c r="D60" s="2146"/>
      <c r="E60" s="2146"/>
      <c r="F60" s="2146"/>
      <c r="G60" s="2888"/>
      <c r="H60" s="1727"/>
      <c r="I60" s="1727"/>
      <c r="J60" s="1727"/>
      <c r="K60" s="2770"/>
      <c r="L60" s="2753"/>
    </row>
    <row r="61" spans="1:12" ht="40.5" thickTop="1" thickBot="1" x14ac:dyDescent="0.3">
      <c r="A61" s="2841" t="s">
        <v>395</v>
      </c>
      <c r="B61" s="2793">
        <v>1.4</v>
      </c>
      <c r="C61" s="3138" t="s">
        <v>2817</v>
      </c>
      <c r="D61" s="3139" t="s">
        <v>2371</v>
      </c>
      <c r="E61" s="3139" t="s">
        <v>2372</v>
      </c>
      <c r="F61" s="3125" t="s">
        <v>2375</v>
      </c>
      <c r="G61" s="3125" t="s">
        <v>2373</v>
      </c>
      <c r="H61" s="3126" t="s">
        <v>2400</v>
      </c>
      <c r="I61" s="1727"/>
      <c r="J61" s="1727"/>
      <c r="K61" s="1727"/>
      <c r="L61" s="2753"/>
    </row>
    <row r="62" spans="1:12" ht="15.75" thickTop="1" x14ac:dyDescent="0.25">
      <c r="A62" s="2841" t="s">
        <v>395</v>
      </c>
      <c r="B62" s="2793">
        <v>1.4</v>
      </c>
      <c r="C62" s="2936">
        <v>1</v>
      </c>
      <c r="D62" s="3141">
        <f>'1. AgeData'!C74</f>
        <v>150000</v>
      </c>
      <c r="E62" s="3127">
        <f>'1. AgeData'!D74</f>
        <v>0.01</v>
      </c>
      <c r="F62" s="2919">
        <f>'1. AgeData'!F74</f>
        <v>65</v>
      </c>
      <c r="G62" s="3128">
        <f>'1. AgeData'!H74</f>
        <v>85</v>
      </c>
      <c r="H62" s="3129" t="str">
        <f>'1. AgeData'!I74</f>
        <v>S2</v>
      </c>
      <c r="I62" s="1727"/>
      <c r="J62" s="1727"/>
      <c r="K62" s="1727"/>
      <c r="L62" s="2753"/>
    </row>
    <row r="63" spans="1:12" ht="15.75" thickBot="1" x14ac:dyDescent="0.3">
      <c r="A63" s="2841" t="s">
        <v>395</v>
      </c>
      <c r="B63" s="2793">
        <v>1.4</v>
      </c>
      <c r="C63" s="2940">
        <v>2</v>
      </c>
      <c r="D63" s="3142">
        <f>'1. AgeData'!C75</f>
        <v>50000</v>
      </c>
      <c r="E63" s="3130">
        <f>'1. AgeData'!D75</f>
        <v>0</v>
      </c>
      <c r="F63" s="2941">
        <f>'1. AgeData'!F75</f>
        <v>60</v>
      </c>
      <c r="G63" s="3131">
        <f>'1. AgeData'!H75</f>
        <v>80</v>
      </c>
      <c r="H63" s="3132" t="str">
        <f>'1. AgeData'!I75</f>
        <v>S2</v>
      </c>
      <c r="I63" s="1727"/>
      <c r="J63" s="1727"/>
      <c r="K63" s="1727"/>
      <c r="L63" s="2753"/>
    </row>
    <row r="64" spans="1:12" ht="16.5" thickTop="1" thickBot="1" x14ac:dyDescent="0.3">
      <c r="A64" s="2889"/>
      <c r="B64" s="2793"/>
      <c r="C64" s="2890"/>
      <c r="D64" s="2146"/>
      <c r="E64" s="3133"/>
      <c r="F64" s="3134"/>
      <c r="G64" s="1727"/>
      <c r="H64" s="1727"/>
      <c r="I64" s="1727"/>
      <c r="J64" s="1727"/>
      <c r="K64" s="1727"/>
      <c r="L64" s="2753"/>
    </row>
    <row r="65" spans="1:12" ht="40.5" thickTop="1" thickBot="1" x14ac:dyDescent="0.3">
      <c r="A65" s="2841" t="s">
        <v>395</v>
      </c>
      <c r="B65" s="2793">
        <v>1.4</v>
      </c>
      <c r="C65" s="3138" t="s">
        <v>2394</v>
      </c>
      <c r="D65" s="3139" t="s">
        <v>2376</v>
      </c>
      <c r="E65" s="3139" t="s">
        <v>2377</v>
      </c>
      <c r="F65" s="3125" t="s">
        <v>2396</v>
      </c>
      <c r="G65" s="3125" t="s">
        <v>2397</v>
      </c>
      <c r="H65" s="3135" t="s">
        <v>2399</v>
      </c>
      <c r="I65" s="1727"/>
      <c r="J65" s="1727"/>
      <c r="K65" s="1727"/>
      <c r="L65" s="2753"/>
    </row>
    <row r="66" spans="1:12" ht="15.75" thickTop="1" x14ac:dyDescent="0.25">
      <c r="A66" s="2841" t="s">
        <v>395</v>
      </c>
      <c r="B66" s="2793">
        <v>1.4</v>
      </c>
      <c r="C66" s="2936">
        <v>1</v>
      </c>
      <c r="D66" s="3141">
        <f>'1. AgeData'!C78</f>
        <v>125000</v>
      </c>
      <c r="E66" s="2921">
        <f>'1. AgeData'!D78</f>
        <v>0</v>
      </c>
      <c r="F66" s="3123">
        <f>'1. AgeData'!F78</f>
        <v>56</v>
      </c>
      <c r="G66" s="3128">
        <f>'1. AgeData'!H78</f>
        <v>80</v>
      </c>
      <c r="H66" s="3136" t="str">
        <f>'1. AgeData'!I78</f>
        <v>S1</v>
      </c>
      <c r="I66" s="1727"/>
      <c r="J66" s="1727"/>
      <c r="K66" s="1727"/>
      <c r="L66" s="2753"/>
    </row>
    <row r="67" spans="1:12" ht="15.75" thickBot="1" x14ac:dyDescent="0.3">
      <c r="A67" s="2841" t="s">
        <v>395</v>
      </c>
      <c r="B67" s="2793">
        <v>1.4</v>
      </c>
      <c r="C67" s="2940">
        <v>2</v>
      </c>
      <c r="D67" s="3142">
        <f>'1. AgeData'!C79</f>
        <v>30000</v>
      </c>
      <c r="E67" s="3140">
        <f>'1. AgeData'!D79</f>
        <v>0</v>
      </c>
      <c r="F67" s="3124">
        <f>'1. AgeData'!F79</f>
        <v>55</v>
      </c>
      <c r="G67" s="3131">
        <f>'1. AgeData'!H79</f>
        <v>87</v>
      </c>
      <c r="H67" s="3137" t="str">
        <f>'1. AgeData'!I79</f>
        <v>S1</v>
      </c>
      <c r="I67" s="1727"/>
      <c r="J67" s="1727"/>
      <c r="K67" s="1727"/>
      <c r="L67" s="2753"/>
    </row>
    <row r="68" spans="1:12" ht="16.5" thickTop="1" thickBot="1" x14ac:dyDescent="0.3">
      <c r="A68" s="2996"/>
      <c r="B68" s="2891"/>
      <c r="C68" s="1962"/>
      <c r="D68" s="2892"/>
      <c r="E68" s="2152"/>
      <c r="F68" s="2153"/>
      <c r="G68" s="2154"/>
      <c r="H68" s="2155"/>
      <c r="I68" s="2156"/>
      <c r="J68" s="2157"/>
      <c r="K68" s="2157"/>
      <c r="L68" s="2783"/>
    </row>
    <row r="69" spans="1:12" ht="15.75" thickTop="1" x14ac:dyDescent="0.25">
      <c r="A69" s="3122"/>
      <c r="B69" s="2793"/>
      <c r="C69" s="2769"/>
      <c r="D69" s="2890"/>
      <c r="E69" s="2146"/>
      <c r="F69" s="2149"/>
      <c r="G69" s="2147"/>
      <c r="H69" s="2150"/>
      <c r="I69" s="2151"/>
      <c r="J69" s="1727"/>
      <c r="K69" s="1727"/>
      <c r="L69" s="2151"/>
    </row>
    <row r="70" spans="1:12" ht="15.75" thickBot="1" x14ac:dyDescent="0.3"/>
    <row r="71" spans="1:12" ht="20.25" thickTop="1" thickBot="1" x14ac:dyDescent="0.35">
      <c r="A71" s="2866" t="s">
        <v>746</v>
      </c>
      <c r="B71" s="2867"/>
      <c r="C71" s="2867"/>
      <c r="D71" s="2867"/>
      <c r="E71" s="2867"/>
      <c r="F71" s="2867"/>
      <c r="G71" s="2867"/>
      <c r="H71" s="2867"/>
      <c r="I71" s="2867"/>
      <c r="J71" s="2867"/>
      <c r="K71" s="2867"/>
      <c r="L71" s="2868"/>
    </row>
    <row r="72" spans="1:12" ht="16.5" thickBot="1" x14ac:dyDescent="0.3">
      <c r="A72" s="2893" t="s">
        <v>890</v>
      </c>
      <c r="B72" s="1480" t="s">
        <v>1106</v>
      </c>
      <c r="C72" s="2894"/>
      <c r="D72" s="2895" t="s">
        <v>918</v>
      </c>
      <c r="E72" s="2894"/>
      <c r="F72" s="2896" t="str">
        <f>'2. TaxData'!B9</f>
        <v>You MUST edit this worksheet.</v>
      </c>
      <c r="G72" s="2894"/>
      <c r="H72" s="2894"/>
      <c r="I72" s="2894"/>
      <c r="J72" s="2894"/>
      <c r="K72" s="2894"/>
      <c r="L72" s="2897"/>
    </row>
    <row r="73" spans="1:12" ht="31.5" thickTop="1" thickBot="1" x14ac:dyDescent="0.3">
      <c r="A73" s="2898" t="s">
        <v>841</v>
      </c>
      <c r="B73" s="2899" t="s">
        <v>840</v>
      </c>
      <c r="C73" s="2832" t="s">
        <v>2292</v>
      </c>
      <c r="D73" s="2899"/>
      <c r="E73" s="2899"/>
      <c r="F73" s="2899"/>
      <c r="G73" s="2899"/>
      <c r="H73" s="2899"/>
      <c r="I73" s="2899"/>
      <c r="J73" s="2900" t="s">
        <v>842</v>
      </c>
      <c r="K73" s="2899"/>
      <c r="L73" s="2901"/>
    </row>
    <row r="74" spans="1:12" x14ac:dyDescent="0.25">
      <c r="A74" s="2841" t="s">
        <v>396</v>
      </c>
      <c r="B74" s="1727">
        <v>2.1</v>
      </c>
      <c r="C74" s="2884" t="s">
        <v>644</v>
      </c>
      <c r="D74" s="1727"/>
      <c r="E74" s="1727"/>
      <c r="F74" s="1727"/>
      <c r="G74" s="1727"/>
      <c r="H74" s="1727"/>
      <c r="I74" s="1727"/>
      <c r="J74" s="1727"/>
      <c r="K74" s="2902">
        <f>'2. TaxData'!I65</f>
        <v>0.02</v>
      </c>
      <c r="L74" s="2753"/>
    </row>
    <row r="75" spans="1:12" x14ac:dyDescent="0.25">
      <c r="A75" s="2841" t="s">
        <v>396</v>
      </c>
      <c r="B75" s="1727">
        <v>2.1</v>
      </c>
      <c r="C75" s="2884" t="s">
        <v>2819</v>
      </c>
      <c r="D75" s="1727"/>
      <c r="E75" s="1727"/>
      <c r="F75" s="1727"/>
      <c r="G75" s="1727"/>
      <c r="H75" s="1727"/>
      <c r="I75" s="1727"/>
      <c r="J75" s="1727"/>
      <c r="K75" s="2903">
        <f>'2. TaxData'!I68</f>
        <v>7000</v>
      </c>
      <c r="L75" s="2753"/>
    </row>
    <row r="76" spans="1:12" x14ac:dyDescent="0.25">
      <c r="A76" s="2841" t="s">
        <v>2818</v>
      </c>
      <c r="B76" s="1727">
        <v>2.1</v>
      </c>
      <c r="C76" s="2884" t="s">
        <v>2820</v>
      </c>
      <c r="D76" s="1727"/>
      <c r="E76" s="1727"/>
      <c r="F76" s="1727"/>
      <c r="G76" s="1727"/>
      <c r="H76" s="1727"/>
      <c r="I76" s="1727"/>
      <c r="J76" s="1727"/>
      <c r="K76" s="2903">
        <f>'2. TaxData'!I69</f>
        <v>6500</v>
      </c>
      <c r="L76" s="2753"/>
    </row>
    <row r="77" spans="1:12" x14ac:dyDescent="0.25">
      <c r="A77" s="2841" t="s">
        <v>396</v>
      </c>
      <c r="B77" s="2793">
        <v>2.1</v>
      </c>
      <c r="C77" s="2884" t="s">
        <v>1251</v>
      </c>
      <c r="D77" s="1727"/>
      <c r="E77" s="1727"/>
      <c r="F77" s="1727"/>
      <c r="G77" s="1727"/>
      <c r="H77" s="1727"/>
      <c r="I77" s="2904">
        <f>'10. ExpensesData'!H61</f>
        <v>0.6</v>
      </c>
      <c r="J77" s="1727" t="s">
        <v>1253</v>
      </c>
      <c r="K77" s="2903">
        <f>(K75+K76)*I77</f>
        <v>8100</v>
      </c>
      <c r="L77" s="2753"/>
    </row>
    <row r="78" spans="1:12" x14ac:dyDescent="0.25">
      <c r="A78" s="2841" t="s">
        <v>396</v>
      </c>
      <c r="B78" s="1727">
        <v>2.1</v>
      </c>
      <c r="C78" s="2885" t="s">
        <v>850</v>
      </c>
      <c r="D78" s="1727"/>
      <c r="E78" s="1727"/>
      <c r="F78" s="1727"/>
      <c r="G78" s="1727"/>
      <c r="H78" s="1727"/>
      <c r="I78" s="1727"/>
      <c r="J78" s="1727"/>
      <c r="K78" s="2770">
        <f>'2. TaxData'!I75</f>
        <v>0.05</v>
      </c>
      <c r="L78" s="2753"/>
    </row>
    <row r="79" spans="1:12" x14ac:dyDescent="0.25">
      <c r="A79" s="2841" t="s">
        <v>396</v>
      </c>
      <c r="B79" s="1727">
        <v>2.1</v>
      </c>
      <c r="C79" s="2791" t="s">
        <v>385</v>
      </c>
      <c r="D79" s="1721"/>
      <c r="E79" s="1727"/>
      <c r="F79" s="1727"/>
      <c r="G79" s="1727"/>
      <c r="H79" s="1727"/>
      <c r="I79" s="1727"/>
      <c r="J79" s="1727"/>
      <c r="K79" s="2905">
        <f>'2. TaxData'!I78</f>
        <v>0.5</v>
      </c>
      <c r="L79" s="2753"/>
    </row>
    <row r="80" spans="1:12" x14ac:dyDescent="0.25">
      <c r="A80" s="2841" t="s">
        <v>396</v>
      </c>
      <c r="B80" s="1727">
        <v>2.1</v>
      </c>
      <c r="C80" s="2791" t="s">
        <v>386</v>
      </c>
      <c r="D80" s="1727"/>
      <c r="E80" s="1727"/>
      <c r="F80" s="1727"/>
      <c r="G80" s="1727"/>
      <c r="H80" s="1727"/>
      <c r="I80" s="1727"/>
      <c r="J80" s="1727"/>
      <c r="K80" s="2905">
        <f>'2. TaxData'!I79</f>
        <v>0.5</v>
      </c>
      <c r="L80" s="2753"/>
    </row>
    <row r="81" spans="1:12" x14ac:dyDescent="0.25">
      <c r="A81" s="2889"/>
      <c r="B81" s="1727"/>
      <c r="C81" s="1727"/>
      <c r="D81" s="1727"/>
      <c r="E81" s="1727"/>
      <c r="F81" s="1727"/>
      <c r="G81" s="1727"/>
      <c r="H81" s="1727"/>
      <c r="I81" s="1727"/>
      <c r="J81" s="1727"/>
      <c r="K81" s="1727"/>
      <c r="L81" s="2753"/>
    </row>
    <row r="82" spans="1:12" x14ac:dyDescent="0.25">
      <c r="A82" s="2841" t="s">
        <v>396</v>
      </c>
      <c r="B82" s="1727">
        <v>2.2000000000000002</v>
      </c>
      <c r="C82" s="2885" t="s">
        <v>866</v>
      </c>
      <c r="D82" s="1727"/>
      <c r="E82" s="1727"/>
      <c r="F82" s="1727"/>
      <c r="G82" s="1727"/>
      <c r="H82" s="1727"/>
      <c r="I82" s="1727"/>
      <c r="J82" s="1727"/>
      <c r="K82" s="3591" t="str">
        <f>'2. TaxData'!H102</f>
        <v>MFJ</v>
      </c>
      <c r="L82" s="2753"/>
    </row>
    <row r="83" spans="1:12" ht="15.75" thickBot="1" x14ac:dyDescent="0.3">
      <c r="A83" s="2856" t="s">
        <v>396</v>
      </c>
      <c r="B83" s="2157">
        <v>2.2000000000000002</v>
      </c>
      <c r="C83" s="2906" t="s">
        <v>849</v>
      </c>
      <c r="D83" s="2157"/>
      <c r="E83" s="2157"/>
      <c r="F83" s="2157"/>
      <c r="G83" s="2157"/>
      <c r="H83" s="2157"/>
      <c r="I83" s="2157"/>
      <c r="J83" s="2157"/>
      <c r="K83" s="2907">
        <f>'2. TaxData'!M120</f>
        <v>12600</v>
      </c>
      <c r="L83" s="2783"/>
    </row>
    <row r="84" spans="1:12" ht="15.75" thickTop="1" x14ac:dyDescent="0.25"/>
    <row r="85" spans="1:12" ht="15.75" thickBot="1" x14ac:dyDescent="0.3"/>
    <row r="86" spans="1:12" ht="20.25" thickTop="1" thickBot="1" x14ac:dyDescent="0.35">
      <c r="A86" s="2908" t="s">
        <v>1433</v>
      </c>
      <c r="B86" s="2909"/>
      <c r="C86" s="2909"/>
      <c r="D86" s="2909"/>
      <c r="E86" s="2909"/>
      <c r="F86" s="2909"/>
      <c r="G86" s="2909"/>
      <c r="H86" s="2909"/>
      <c r="I86" s="2909"/>
      <c r="J86" s="2909"/>
      <c r="K86" s="2909"/>
      <c r="L86" s="2901"/>
    </row>
    <row r="87" spans="1:12" ht="16.5" thickBot="1" x14ac:dyDescent="0.3">
      <c r="A87" s="2893" t="s">
        <v>890</v>
      </c>
      <c r="B87" s="1480" t="s">
        <v>1449</v>
      </c>
      <c r="C87" s="2895"/>
      <c r="D87" s="2895" t="s">
        <v>918</v>
      </c>
      <c r="E87" s="2894"/>
      <c r="F87" s="2896" t="str">
        <f>'3. WorkData'!B11</f>
        <v>You MUST edit this worksheet</v>
      </c>
      <c r="G87" s="2894"/>
      <c r="H87" s="2894"/>
      <c r="I87" s="2894"/>
      <c r="J87" s="2894"/>
      <c r="K87" s="2894"/>
      <c r="L87" s="2897"/>
    </row>
    <row r="88" spans="1:12" ht="31.5" thickTop="1" thickBot="1" x14ac:dyDescent="0.3">
      <c r="A88" s="2910" t="s">
        <v>841</v>
      </c>
      <c r="B88" s="2911" t="s">
        <v>840</v>
      </c>
      <c r="C88" s="2832" t="s">
        <v>2292</v>
      </c>
      <c r="D88" s="2911"/>
      <c r="E88" s="2911"/>
      <c r="F88" s="2911"/>
      <c r="G88" s="2911"/>
      <c r="H88" s="2911"/>
      <c r="I88" s="2911"/>
      <c r="J88" s="2912"/>
      <c r="K88" s="2911"/>
      <c r="L88" s="2753"/>
    </row>
    <row r="89" spans="1:12" ht="40.5" thickTop="1" thickBot="1" x14ac:dyDescent="0.3">
      <c r="A89" s="2879" t="s">
        <v>646</v>
      </c>
      <c r="B89" s="2867">
        <v>5.0999999999999996</v>
      </c>
      <c r="C89" s="2913" t="s">
        <v>1635</v>
      </c>
      <c r="D89" s="2914" t="s">
        <v>1629</v>
      </c>
      <c r="E89" s="2914" t="s">
        <v>1630</v>
      </c>
      <c r="F89" s="2915" t="s">
        <v>1631</v>
      </c>
      <c r="G89" s="2915" t="s">
        <v>1632</v>
      </c>
      <c r="H89" s="2916" t="s">
        <v>447</v>
      </c>
      <c r="I89" s="2867"/>
      <c r="J89" s="2867"/>
      <c r="K89" s="2867"/>
      <c r="L89" s="2868"/>
    </row>
    <row r="90" spans="1:12" ht="15.75" thickTop="1" x14ac:dyDescent="0.25">
      <c r="A90" s="2841" t="s">
        <v>646</v>
      </c>
      <c r="B90" s="1727">
        <v>5.0999999999999996</v>
      </c>
      <c r="C90" s="2917">
        <v>1</v>
      </c>
      <c r="D90" s="2918">
        <f>'3. WorkData'!B49</f>
        <v>25</v>
      </c>
      <c r="E90" s="2919">
        <f>'3. WorkData'!C49</f>
        <v>62</v>
      </c>
      <c r="F90" s="2920">
        <f>'3. WorkData'!D49</f>
        <v>50000</v>
      </c>
      <c r="G90" s="2921">
        <f>'3. WorkData'!E49</f>
        <v>0.02</v>
      </c>
      <c r="H90" s="2922">
        <f>'3. WorkData'!F49</f>
        <v>0</v>
      </c>
      <c r="I90" s="1727"/>
      <c r="J90" s="1727"/>
      <c r="K90" s="1727"/>
      <c r="L90" s="2753"/>
    </row>
    <row r="91" spans="1:12" x14ac:dyDescent="0.25">
      <c r="A91" s="2841" t="s">
        <v>646</v>
      </c>
      <c r="B91" s="1727">
        <v>5.0999999999999996</v>
      </c>
      <c r="C91" s="2923">
        <v>2</v>
      </c>
      <c r="D91" s="2924">
        <f>'3. WorkData'!B50</f>
        <v>63</v>
      </c>
      <c r="E91" s="2925">
        <f>'3. WorkData'!C50</f>
        <v>69</v>
      </c>
      <c r="F91" s="2926">
        <f>'3. WorkData'!D50</f>
        <v>40000</v>
      </c>
      <c r="G91" s="2770">
        <f>'3. WorkData'!E50</f>
        <v>5.0000000000000001E-3</v>
      </c>
      <c r="H91" s="2927">
        <f>'3. WorkData'!F50</f>
        <v>0</v>
      </c>
      <c r="I91" s="1727"/>
      <c r="J91" s="1727"/>
      <c r="K91" s="1727"/>
      <c r="L91" s="2753"/>
    </row>
    <row r="92" spans="1:12" ht="15.75" thickBot="1" x14ac:dyDescent="0.3">
      <c r="A92" s="2841" t="s">
        <v>646</v>
      </c>
      <c r="B92" s="1727">
        <v>5.0999999999999996</v>
      </c>
      <c r="C92" s="2928">
        <v>3</v>
      </c>
      <c r="D92" s="2929">
        <f>'3. WorkData'!B51</f>
        <v>0</v>
      </c>
      <c r="E92" s="2930">
        <f>'3. WorkData'!C51</f>
        <v>0</v>
      </c>
      <c r="F92" s="2931">
        <f>'3. WorkData'!D51</f>
        <v>0</v>
      </c>
      <c r="G92" s="2932">
        <f>'3. WorkData'!E51</f>
        <v>0</v>
      </c>
      <c r="H92" s="2933">
        <f>'3. WorkData'!F51</f>
        <v>0</v>
      </c>
      <c r="I92" s="1727"/>
      <c r="J92" s="1727"/>
      <c r="K92" s="1727"/>
      <c r="L92" s="2753"/>
    </row>
    <row r="93" spans="1:12" ht="16.5" thickTop="1" thickBot="1" x14ac:dyDescent="0.3">
      <c r="A93" s="2889"/>
      <c r="B93" s="1727"/>
      <c r="C93" s="2884"/>
      <c r="D93" s="1727"/>
      <c r="E93" s="1727"/>
      <c r="F93" s="1727"/>
      <c r="G93" s="1727"/>
      <c r="H93" s="1727"/>
      <c r="I93" s="1727"/>
      <c r="J93" s="1727"/>
      <c r="K93" s="2934"/>
      <c r="L93" s="2753"/>
    </row>
    <row r="94" spans="1:12" ht="40.5" thickTop="1" thickBot="1" x14ac:dyDescent="0.3">
      <c r="A94" s="2841" t="s">
        <v>646</v>
      </c>
      <c r="B94" s="1727">
        <v>5.0999999999999996</v>
      </c>
      <c r="C94" s="2913" t="s">
        <v>1635</v>
      </c>
      <c r="D94" s="2914" t="s">
        <v>1634</v>
      </c>
      <c r="E94" s="2914" t="s">
        <v>1633</v>
      </c>
      <c r="F94" s="2915" t="s">
        <v>1631</v>
      </c>
      <c r="G94" s="2915" t="s">
        <v>1632</v>
      </c>
      <c r="H94" s="2916" t="s">
        <v>447</v>
      </c>
      <c r="I94" s="1727"/>
      <c r="J94" s="1727"/>
      <c r="K94" s="2934"/>
      <c r="L94" s="2753"/>
    </row>
    <row r="95" spans="1:12" ht="15.75" thickTop="1" x14ac:dyDescent="0.25">
      <c r="A95" s="2841" t="s">
        <v>646</v>
      </c>
      <c r="B95" s="1727">
        <v>5.0999999999999996</v>
      </c>
      <c r="C95" s="2917">
        <v>1</v>
      </c>
      <c r="D95" s="2918">
        <f>'3. WorkData'!G49</f>
        <v>25</v>
      </c>
      <c r="E95" s="2919">
        <f>'3. WorkData'!H49</f>
        <v>35</v>
      </c>
      <c r="F95" s="2920">
        <f>'3. WorkData'!I49</f>
        <v>20000</v>
      </c>
      <c r="G95" s="2921">
        <f>'3. WorkData'!J49</f>
        <v>2.1999999999999999E-2</v>
      </c>
      <c r="H95" s="2922">
        <f>'3. WorkData'!K49</f>
        <v>0</v>
      </c>
      <c r="I95" s="1727"/>
      <c r="J95" s="1727"/>
      <c r="K95" s="2934"/>
      <c r="L95" s="2753"/>
    </row>
    <row r="96" spans="1:12" x14ac:dyDescent="0.25">
      <c r="A96" s="2841" t="s">
        <v>646</v>
      </c>
      <c r="B96" s="1727">
        <v>5.0999999999999996</v>
      </c>
      <c r="C96" s="2923">
        <v>2</v>
      </c>
      <c r="D96" s="2924">
        <f>'3. WorkData'!G50</f>
        <v>35</v>
      </c>
      <c r="E96" s="2925">
        <f>'3. WorkData'!H50</f>
        <v>57</v>
      </c>
      <c r="F96" s="2926">
        <f>'3. WorkData'!I50</f>
        <v>40000</v>
      </c>
      <c r="G96" s="2770">
        <f>'3. WorkData'!J50</f>
        <v>1.4999999999999999E-2</v>
      </c>
      <c r="H96" s="2927">
        <f>'3. WorkData'!K50</f>
        <v>0</v>
      </c>
      <c r="I96" s="1727"/>
      <c r="J96" s="1727"/>
      <c r="K96" s="2934"/>
      <c r="L96" s="2753"/>
    </row>
    <row r="97" spans="1:12" ht="15.75" thickBot="1" x14ac:dyDescent="0.3">
      <c r="A97" s="2841" t="s">
        <v>646</v>
      </c>
      <c r="B97" s="1727">
        <v>5.0999999999999996</v>
      </c>
      <c r="C97" s="2928">
        <v>3</v>
      </c>
      <c r="D97" s="2929">
        <f>'3. WorkData'!G51</f>
        <v>58</v>
      </c>
      <c r="E97" s="2930">
        <f>'3. WorkData'!H51</f>
        <v>66</v>
      </c>
      <c r="F97" s="2931">
        <f>'3. WorkData'!I51</f>
        <v>15000</v>
      </c>
      <c r="G97" s="2932">
        <f>'3. WorkData'!J51</f>
        <v>1.4999999999999999E-2</v>
      </c>
      <c r="H97" s="2933">
        <f>'3. WorkData'!K51</f>
        <v>0</v>
      </c>
      <c r="I97" s="1727"/>
      <c r="J97" s="1727"/>
      <c r="K97" s="2903"/>
      <c r="L97" s="2753"/>
    </row>
    <row r="98" spans="1:12" ht="16.5" thickTop="1" thickBot="1" x14ac:dyDescent="0.3">
      <c r="A98" s="2889"/>
      <c r="B98" s="1727"/>
      <c r="C98" s="2935"/>
      <c r="D98" s="2925"/>
      <c r="E98" s="2925"/>
      <c r="F98" s="2925"/>
      <c r="G98" s="2925"/>
      <c r="H98" s="2925"/>
      <c r="I98" s="1727"/>
      <c r="J98" s="1727"/>
      <c r="K98" s="2903"/>
      <c r="L98" s="2753"/>
    </row>
    <row r="99" spans="1:12" ht="15.75" thickTop="1" x14ac:dyDescent="0.25">
      <c r="A99" s="2841" t="s">
        <v>646</v>
      </c>
      <c r="B99" s="1727">
        <v>5.0999999999999996</v>
      </c>
      <c r="C99" s="2936" t="s">
        <v>1707</v>
      </c>
      <c r="D99" s="2919"/>
      <c r="E99" s="2937"/>
      <c r="F99" s="2938"/>
      <c r="G99" s="2867"/>
      <c r="H99" s="2939">
        <f>'3. WorkData'!$E$55</f>
        <v>69</v>
      </c>
      <c r="I99" s="1727"/>
      <c r="J99" s="1727"/>
      <c r="K99" s="2903"/>
      <c r="L99" s="2753"/>
    </row>
    <row r="100" spans="1:12" ht="15.75" thickBot="1" x14ac:dyDescent="0.3">
      <c r="A100" s="2856" t="s">
        <v>646</v>
      </c>
      <c r="B100" s="2157">
        <v>5.0999999999999996</v>
      </c>
      <c r="C100" s="2940" t="s">
        <v>1708</v>
      </c>
      <c r="D100" s="2157"/>
      <c r="E100" s="2941"/>
      <c r="F100" s="2942"/>
      <c r="G100" s="2943"/>
      <c r="H100" s="2944">
        <f>'3. WorkData'!$J$55</f>
        <v>66</v>
      </c>
      <c r="I100" s="2157"/>
      <c r="J100" s="2157"/>
      <c r="K100" s="2907"/>
      <c r="L100" s="2783"/>
    </row>
    <row r="101" spans="1:12" ht="15.75" thickTop="1" x14ac:dyDescent="0.25"/>
    <row r="102" spans="1:12" ht="15.75" thickBot="1" x14ac:dyDescent="0.3"/>
    <row r="103" spans="1:12" ht="20.25" thickTop="1" thickBot="1" x14ac:dyDescent="0.35">
      <c r="A103" s="2945" t="s">
        <v>1438</v>
      </c>
      <c r="B103" s="2909"/>
      <c r="C103" s="2909"/>
      <c r="D103" s="2909"/>
      <c r="E103" s="2909"/>
      <c r="F103" s="2909"/>
      <c r="G103" s="2909"/>
      <c r="H103" s="2909"/>
      <c r="I103" s="2909"/>
      <c r="J103" s="2909"/>
      <c r="K103" s="2909"/>
      <c r="L103" s="2901"/>
    </row>
    <row r="104" spans="1:12" ht="16.5" thickBot="1" x14ac:dyDescent="0.3">
      <c r="A104" s="2893" t="s">
        <v>890</v>
      </c>
      <c r="B104" s="1480" t="s">
        <v>1462</v>
      </c>
      <c r="C104" s="2894"/>
      <c r="D104" s="2895" t="s">
        <v>918</v>
      </c>
      <c r="E104" s="2894"/>
      <c r="F104" s="2896" t="str">
        <f>'4. PensionData'!B9</f>
        <v>You MUST edit this worksheet</v>
      </c>
      <c r="G104" s="2896"/>
      <c r="H104" s="2896"/>
      <c r="I104" s="2894"/>
      <c r="J104" s="2894"/>
      <c r="K104" s="2894"/>
      <c r="L104" s="2897"/>
    </row>
    <row r="105" spans="1:12" ht="31.5" thickTop="1" thickBot="1" x14ac:dyDescent="0.3">
      <c r="A105" s="2830" t="s">
        <v>841</v>
      </c>
      <c r="B105" s="2831" t="s">
        <v>840</v>
      </c>
      <c r="C105" s="2832" t="s">
        <v>2292</v>
      </c>
      <c r="D105" s="2831"/>
      <c r="E105" s="2831"/>
      <c r="F105" s="2831"/>
      <c r="G105" s="2831"/>
      <c r="H105" s="2831"/>
      <c r="I105" s="2831"/>
      <c r="J105" s="2832" t="s">
        <v>842</v>
      </c>
      <c r="K105" s="2831"/>
      <c r="L105" s="2833"/>
    </row>
    <row r="106" spans="1:12" x14ac:dyDescent="0.25">
      <c r="A106" s="2841" t="s">
        <v>323</v>
      </c>
      <c r="B106" s="1727">
        <v>3.1</v>
      </c>
      <c r="C106" s="2946" t="s">
        <v>670</v>
      </c>
      <c r="D106" s="1727"/>
      <c r="E106" s="1727"/>
      <c r="F106" s="1727"/>
      <c r="G106" s="1727"/>
      <c r="H106" s="1727"/>
      <c r="I106" s="1727"/>
      <c r="J106" s="1727"/>
      <c r="K106" s="2903">
        <f>'4. PensionData'!F33</f>
        <v>23000</v>
      </c>
      <c r="L106" s="2753"/>
    </row>
    <row r="107" spans="1:12" x14ac:dyDescent="0.25">
      <c r="A107" s="2841" t="s">
        <v>323</v>
      </c>
      <c r="B107" s="1727">
        <v>3.1</v>
      </c>
      <c r="C107" s="2769" t="s">
        <v>671</v>
      </c>
      <c r="D107" s="1727"/>
      <c r="E107" s="1727"/>
      <c r="F107" s="1727"/>
      <c r="G107" s="1727"/>
      <c r="H107" s="1727"/>
      <c r="I107" s="1727"/>
      <c r="J107" s="1727"/>
      <c r="K107" s="2903">
        <f>'4. PensionData'!F34</f>
        <v>11000</v>
      </c>
      <c r="L107" s="2753"/>
    </row>
    <row r="108" spans="1:12" x14ac:dyDescent="0.25">
      <c r="A108" s="2841" t="s">
        <v>323</v>
      </c>
      <c r="B108" s="1727">
        <v>3.1</v>
      </c>
      <c r="C108" s="2885" t="s">
        <v>607</v>
      </c>
      <c r="D108" s="1727"/>
      <c r="E108" s="1727"/>
      <c r="F108" s="1727"/>
      <c r="G108" s="1727"/>
      <c r="H108" s="1727"/>
      <c r="I108" s="1727"/>
      <c r="J108" s="1727"/>
      <c r="K108" s="3591" t="str">
        <f>'4. PensionData'!F39</f>
        <v>yes</v>
      </c>
      <c r="L108" s="2753"/>
    </row>
    <row r="109" spans="1:12" x14ac:dyDescent="0.25">
      <c r="A109" s="2841" t="s">
        <v>323</v>
      </c>
      <c r="B109" s="1727">
        <v>3.1</v>
      </c>
      <c r="C109" s="2769" t="s">
        <v>378</v>
      </c>
      <c r="D109" s="1727"/>
      <c r="E109" s="1727"/>
      <c r="F109" s="1727"/>
      <c r="G109" s="1727"/>
      <c r="H109" s="1727"/>
      <c r="I109" s="1727"/>
      <c r="J109" s="1727"/>
      <c r="K109" s="2947">
        <f>'4. PensionData'!F44</f>
        <v>66</v>
      </c>
      <c r="L109" s="2753"/>
    </row>
    <row r="110" spans="1:12" x14ac:dyDescent="0.25">
      <c r="A110" s="2841" t="s">
        <v>323</v>
      </c>
      <c r="B110" s="1727">
        <v>3.1</v>
      </c>
      <c r="C110" s="2885" t="s">
        <v>868</v>
      </c>
      <c r="D110" s="1727"/>
      <c r="E110" s="1727"/>
      <c r="F110" s="1727"/>
      <c r="G110" s="1727"/>
      <c r="H110" s="1727"/>
      <c r="I110" s="1727"/>
      <c r="J110" s="1727"/>
      <c r="K110" s="2902">
        <f>'4. PensionData'!F46</f>
        <v>0</v>
      </c>
      <c r="L110" s="2753"/>
    </row>
    <row r="111" spans="1:12" x14ac:dyDescent="0.25">
      <c r="A111" s="2841" t="s">
        <v>323</v>
      </c>
      <c r="B111" s="1727">
        <v>3.1</v>
      </c>
      <c r="C111" s="2791" t="s">
        <v>851</v>
      </c>
      <c r="D111" s="1727"/>
      <c r="E111" s="1727"/>
      <c r="F111" s="1727"/>
      <c r="G111" s="1727"/>
      <c r="H111" s="1727"/>
      <c r="I111" s="1727"/>
      <c r="J111" s="1727"/>
      <c r="K111" s="1655">
        <f>'4. PensionData'!F47</f>
        <v>85</v>
      </c>
      <c r="L111" s="2753"/>
    </row>
    <row r="112" spans="1:12" x14ac:dyDescent="0.25">
      <c r="A112" s="2841" t="s">
        <v>323</v>
      </c>
      <c r="B112" s="1727">
        <v>3.1</v>
      </c>
      <c r="C112" s="2769" t="s">
        <v>379</v>
      </c>
      <c r="D112" s="1727"/>
      <c r="E112" s="1727"/>
      <c r="F112" s="1727"/>
      <c r="G112" s="1727"/>
      <c r="H112" s="1727"/>
      <c r="I112" s="1727"/>
      <c r="J112" s="1727"/>
      <c r="K112" s="1655">
        <f>'4. PensionData'!F49</f>
        <v>55</v>
      </c>
      <c r="L112" s="2753"/>
    </row>
    <row r="113" spans="1:12" x14ac:dyDescent="0.25">
      <c r="A113" s="2841" t="s">
        <v>323</v>
      </c>
      <c r="B113" s="1727">
        <v>3.1</v>
      </c>
      <c r="C113" s="2885" t="s">
        <v>867</v>
      </c>
      <c r="D113" s="1727"/>
      <c r="E113" s="1727"/>
      <c r="F113" s="1727"/>
      <c r="G113" s="1727"/>
      <c r="H113" s="1727"/>
      <c r="I113" s="1727"/>
      <c r="J113" s="1727"/>
      <c r="K113" s="2902">
        <f>'4. PensionData'!F51</f>
        <v>0.5</v>
      </c>
      <c r="L113" s="2753"/>
    </row>
    <row r="114" spans="1:12" x14ac:dyDescent="0.25">
      <c r="A114" s="2841" t="s">
        <v>323</v>
      </c>
      <c r="B114" s="1727">
        <v>3.1</v>
      </c>
      <c r="C114" s="2791" t="s">
        <v>852</v>
      </c>
      <c r="D114" s="1727"/>
      <c r="E114" s="1727"/>
      <c r="F114" s="1727"/>
      <c r="G114" s="1727"/>
      <c r="H114" s="1727"/>
      <c r="I114" s="1727"/>
      <c r="J114" s="1727"/>
      <c r="K114" s="1655">
        <f>'4. PensionData'!F52</f>
        <v>87</v>
      </c>
      <c r="L114" s="2753"/>
    </row>
    <row r="115" spans="1:12" x14ac:dyDescent="0.25">
      <c r="A115" s="2841" t="s">
        <v>323</v>
      </c>
      <c r="B115" s="1727">
        <v>3.1</v>
      </c>
      <c r="C115" s="2884" t="s">
        <v>608</v>
      </c>
      <c r="D115" s="1727"/>
      <c r="E115" s="1727"/>
      <c r="F115" s="1727"/>
      <c r="G115" s="1727"/>
      <c r="H115" s="1727"/>
      <c r="I115" s="1727"/>
      <c r="J115" s="1727"/>
      <c r="K115" s="2902">
        <f>'4. PensionData'!H54</f>
        <v>0.02</v>
      </c>
      <c r="L115" s="2753"/>
    </row>
    <row r="116" spans="1:12" ht="15.75" thickBot="1" x14ac:dyDescent="0.3">
      <c r="A116" s="2856" t="s">
        <v>323</v>
      </c>
      <c r="B116" s="2157">
        <v>3.1</v>
      </c>
      <c r="C116" s="2948" t="s">
        <v>316</v>
      </c>
      <c r="D116" s="2157"/>
      <c r="E116" s="2157"/>
      <c r="F116" s="2157"/>
      <c r="G116" s="2157"/>
      <c r="H116" s="2157"/>
      <c r="I116" s="2157"/>
      <c r="J116" s="2157"/>
      <c r="K116" s="2949">
        <f>'4. PensionData'!H57</f>
        <v>0.02</v>
      </c>
      <c r="L116" s="2783"/>
    </row>
    <row r="117" spans="1:12" ht="15.75" thickTop="1" x14ac:dyDescent="0.25"/>
    <row r="118" spans="1:12" ht="15.75" thickBot="1" x14ac:dyDescent="0.3"/>
    <row r="119" spans="1:12" ht="20.25" thickTop="1" thickBot="1" x14ac:dyDescent="0.35">
      <c r="A119" s="2945" t="s">
        <v>1439</v>
      </c>
      <c r="B119" s="2909"/>
      <c r="C119" s="2909"/>
      <c r="D119" s="2909"/>
      <c r="E119" s="2909"/>
      <c r="F119" s="2909"/>
      <c r="G119" s="2909"/>
      <c r="H119" s="2909"/>
      <c r="I119" s="2909"/>
      <c r="J119" s="2909"/>
      <c r="K119" s="2909"/>
      <c r="L119" s="2901"/>
    </row>
    <row r="120" spans="1:12" ht="19.5" thickBot="1" x14ac:dyDescent="0.35">
      <c r="A120" s="2893" t="s">
        <v>890</v>
      </c>
      <c r="B120" s="1480" t="s">
        <v>1450</v>
      </c>
      <c r="C120" s="2950"/>
      <c r="D120" s="2895" t="s">
        <v>918</v>
      </c>
      <c r="E120" s="2894"/>
      <c r="F120" s="2896" t="str">
        <f>'5. SocSecData'!B9</f>
        <v>You MUST edit this worksheet</v>
      </c>
      <c r="G120" s="2894"/>
      <c r="H120" s="2894"/>
      <c r="I120" s="2894"/>
      <c r="J120" s="2894"/>
      <c r="K120" s="2894"/>
      <c r="L120" s="2897"/>
    </row>
    <row r="121" spans="1:12" ht="31.5" thickTop="1" thickBot="1" x14ac:dyDescent="0.3">
      <c r="A121" s="2830" t="s">
        <v>841</v>
      </c>
      <c r="B121" s="2831" t="s">
        <v>840</v>
      </c>
      <c r="C121" s="2832" t="s">
        <v>2292</v>
      </c>
      <c r="D121" s="2831"/>
      <c r="E121" s="2831"/>
      <c r="F121" s="2831"/>
      <c r="G121" s="2831"/>
      <c r="H121" s="2831"/>
      <c r="I121" s="2831"/>
      <c r="J121" s="2832" t="s">
        <v>842</v>
      </c>
      <c r="K121" s="2831"/>
      <c r="L121" s="2833"/>
    </row>
    <row r="122" spans="1:12" x14ac:dyDescent="0.25">
      <c r="A122" s="2951" t="s">
        <v>397</v>
      </c>
      <c r="B122" s="2835">
        <v>4.0999999999999996</v>
      </c>
      <c r="C122" s="2952" t="s">
        <v>196</v>
      </c>
      <c r="D122" s="1727"/>
      <c r="E122" s="1727"/>
      <c r="F122" s="1727"/>
      <c r="G122" s="1727"/>
      <c r="H122" s="1727"/>
      <c r="I122" s="1727"/>
      <c r="J122" s="1727"/>
      <c r="K122" s="1655">
        <f>'5. SocSecData'!G45</f>
        <v>66</v>
      </c>
      <c r="L122" s="2753"/>
    </row>
    <row r="123" spans="1:12" x14ac:dyDescent="0.25">
      <c r="A123" s="2953" t="s">
        <v>397</v>
      </c>
      <c r="B123" s="2835">
        <v>4.0999999999999996</v>
      </c>
      <c r="C123" s="2952" t="s">
        <v>197</v>
      </c>
      <c r="D123" s="1727"/>
      <c r="E123" s="1727"/>
      <c r="F123" s="1727"/>
      <c r="G123" s="1727"/>
      <c r="H123" s="1727"/>
      <c r="I123" s="1727"/>
      <c r="J123" s="1727"/>
      <c r="K123" s="1655">
        <f>'5. SocSecData'!G47</f>
        <v>64</v>
      </c>
      <c r="L123" s="2753"/>
    </row>
    <row r="124" spans="1:12" x14ac:dyDescent="0.25">
      <c r="A124" s="2953" t="s">
        <v>397</v>
      </c>
      <c r="B124" s="2835">
        <v>4.0999999999999996</v>
      </c>
      <c r="C124" s="2769" t="s">
        <v>134</v>
      </c>
      <c r="D124" s="1727"/>
      <c r="E124" s="1727"/>
      <c r="F124" s="1727"/>
      <c r="G124" s="1727"/>
      <c r="H124" s="1727"/>
      <c r="I124" s="1727"/>
      <c r="J124" s="1727"/>
      <c r="K124" s="3591" t="str">
        <f>'5. SocSecData'!G53</f>
        <v>yes</v>
      </c>
      <c r="L124" s="2753"/>
    </row>
    <row r="125" spans="1:12" x14ac:dyDescent="0.25">
      <c r="A125" s="2954"/>
      <c r="B125" s="2835"/>
      <c r="C125" s="2955"/>
      <c r="D125" s="1727"/>
      <c r="E125" s="1727"/>
      <c r="F125" s="1727"/>
      <c r="G125" s="1727"/>
      <c r="H125" s="1727"/>
      <c r="I125" s="1727"/>
      <c r="J125" s="1727"/>
      <c r="K125" s="1655"/>
      <c r="L125" s="2753"/>
    </row>
    <row r="126" spans="1:12" x14ac:dyDescent="0.25">
      <c r="A126" s="2953" t="s">
        <v>397</v>
      </c>
      <c r="B126" s="2835" t="s">
        <v>856</v>
      </c>
      <c r="C126" s="2956" t="s">
        <v>198</v>
      </c>
      <c r="D126" s="2957"/>
      <c r="E126" s="1727"/>
      <c r="F126" s="1727"/>
      <c r="G126" s="1727"/>
      <c r="H126" s="1727"/>
      <c r="I126" s="1727"/>
      <c r="J126" s="1727"/>
      <c r="K126" s="2903">
        <f>'5. SocSecData'!G56</f>
        <v>0</v>
      </c>
      <c r="L126" s="2753"/>
    </row>
    <row r="127" spans="1:12" x14ac:dyDescent="0.25">
      <c r="A127" s="2953" t="s">
        <v>397</v>
      </c>
      <c r="B127" s="2835" t="s">
        <v>856</v>
      </c>
      <c r="C127" s="2956" t="s">
        <v>199</v>
      </c>
      <c r="D127" s="2957"/>
      <c r="E127" s="1727"/>
      <c r="F127" s="1727"/>
      <c r="G127" s="1727"/>
      <c r="H127" s="1727"/>
      <c r="I127" s="1727"/>
      <c r="J127" s="1727"/>
      <c r="K127" s="2903">
        <f>'5. SocSecData'!G57</f>
        <v>0</v>
      </c>
      <c r="L127" s="2753"/>
    </row>
    <row r="128" spans="1:12" x14ac:dyDescent="0.25">
      <c r="A128" s="2954"/>
      <c r="B128" s="2835"/>
      <c r="C128" s="2955"/>
      <c r="D128" s="1727"/>
      <c r="E128" s="1727"/>
      <c r="F128" s="1727"/>
      <c r="G128" s="1727"/>
      <c r="H128" s="1727"/>
      <c r="I128" s="1727"/>
      <c r="J128" s="1727"/>
      <c r="K128" s="1655"/>
      <c r="L128" s="2753"/>
    </row>
    <row r="129" spans="1:12" x14ac:dyDescent="0.25">
      <c r="A129" s="2953" t="s">
        <v>397</v>
      </c>
      <c r="B129" s="2835" t="s">
        <v>857</v>
      </c>
      <c r="C129" s="2884" t="s">
        <v>860</v>
      </c>
      <c r="D129" s="2958"/>
      <c r="E129" s="2958"/>
      <c r="F129" s="1727"/>
      <c r="G129" s="1727"/>
      <c r="H129" s="1727"/>
      <c r="I129" s="1727"/>
      <c r="J129" s="1727"/>
      <c r="K129" s="2903">
        <f>'5. SocSecData'!H67</f>
        <v>1500</v>
      </c>
      <c r="L129" s="2753"/>
    </row>
    <row r="130" spans="1:12" x14ac:dyDescent="0.25">
      <c r="A130" s="2953" t="s">
        <v>397</v>
      </c>
      <c r="B130" s="2835" t="s">
        <v>857</v>
      </c>
      <c r="C130" s="2884" t="s">
        <v>859</v>
      </c>
      <c r="D130" s="2958"/>
      <c r="E130" s="2958"/>
      <c r="F130" s="1727"/>
      <c r="G130" s="1727"/>
      <c r="H130" s="1727"/>
      <c r="I130" s="1727"/>
      <c r="J130" s="1727"/>
      <c r="K130" s="2903">
        <f>'5. SocSecData'!H68</f>
        <v>1200</v>
      </c>
      <c r="L130" s="2753"/>
    </row>
    <row r="131" spans="1:12" x14ac:dyDescent="0.25">
      <c r="A131" s="2953" t="s">
        <v>397</v>
      </c>
      <c r="B131" s="2835" t="s">
        <v>857</v>
      </c>
      <c r="C131" s="2884" t="s">
        <v>640</v>
      </c>
      <c r="D131" s="1727"/>
      <c r="E131" s="1727"/>
      <c r="F131" s="1727"/>
      <c r="G131" s="1727"/>
      <c r="H131" s="1727"/>
      <c r="I131" s="1727"/>
      <c r="J131" s="1727"/>
      <c r="K131" s="2902">
        <f>'5. SocSecData'!H70</f>
        <v>0.02</v>
      </c>
      <c r="L131" s="2753"/>
    </row>
    <row r="132" spans="1:12" x14ac:dyDescent="0.25">
      <c r="A132" s="2953" t="s">
        <v>397</v>
      </c>
      <c r="B132" s="2835" t="s">
        <v>857</v>
      </c>
      <c r="C132" s="2884" t="s">
        <v>541</v>
      </c>
      <c r="D132" s="1727"/>
      <c r="E132" s="1727"/>
      <c r="F132" s="1727"/>
      <c r="G132" s="1727"/>
      <c r="H132" s="1727"/>
      <c r="I132" s="1727"/>
      <c r="J132" s="1727"/>
      <c r="K132" s="2902">
        <f>'5. SocSecData'!H78</f>
        <v>0.08</v>
      </c>
      <c r="L132" s="2753"/>
    </row>
    <row r="133" spans="1:12" x14ac:dyDescent="0.25">
      <c r="A133" s="2954"/>
      <c r="B133" s="2835"/>
      <c r="C133" s="2884"/>
      <c r="D133" s="1727"/>
      <c r="E133" s="1727"/>
      <c r="F133" s="1727"/>
      <c r="G133" s="1727"/>
      <c r="H133" s="1727"/>
      <c r="I133" s="1727"/>
      <c r="J133" s="1727"/>
      <c r="K133" s="2902"/>
      <c r="L133" s="2753"/>
    </row>
    <row r="134" spans="1:12" x14ac:dyDescent="0.25">
      <c r="A134" s="2953" t="s">
        <v>397</v>
      </c>
      <c r="B134" s="2835" t="s">
        <v>861</v>
      </c>
      <c r="C134" s="2884" t="s">
        <v>615</v>
      </c>
      <c r="D134" s="2958"/>
      <c r="E134" s="2958"/>
      <c r="F134" s="2958"/>
      <c r="G134" s="2958"/>
      <c r="H134" s="1727"/>
      <c r="I134" s="1727"/>
      <c r="J134" s="1727"/>
      <c r="K134" s="2904">
        <f>'5. SocSecData'!H82</f>
        <v>0.85</v>
      </c>
      <c r="L134" s="2753"/>
    </row>
    <row r="135" spans="1:12" x14ac:dyDescent="0.25">
      <c r="A135" s="2954"/>
      <c r="B135" s="2835"/>
      <c r="C135" s="2959"/>
      <c r="D135" s="2958"/>
      <c r="E135" s="2958"/>
      <c r="F135" s="2958"/>
      <c r="G135" s="2958"/>
      <c r="H135" s="1727"/>
      <c r="I135" s="1727"/>
      <c r="J135" s="1727"/>
      <c r="K135" s="1655"/>
      <c r="L135" s="2753"/>
    </row>
    <row r="136" spans="1:12" x14ac:dyDescent="0.25">
      <c r="A136" s="2953" t="s">
        <v>397</v>
      </c>
      <c r="B136" s="2835" t="s">
        <v>858</v>
      </c>
      <c r="C136" s="2769" t="s">
        <v>710</v>
      </c>
      <c r="D136" s="2958"/>
      <c r="E136" s="1727"/>
      <c r="F136" s="1727"/>
      <c r="G136" s="1727"/>
      <c r="H136" s="1727"/>
      <c r="I136" s="1727"/>
      <c r="J136" s="1727"/>
      <c r="K136" s="2903">
        <f>'5. SocSecData'!G94</f>
        <v>2196.150000000001</v>
      </c>
      <c r="L136" s="2753"/>
    </row>
    <row r="137" spans="1:12" ht="15.75" thickBot="1" x14ac:dyDescent="0.3">
      <c r="A137" s="2960" t="s">
        <v>397</v>
      </c>
      <c r="B137" s="2961" t="s">
        <v>858</v>
      </c>
      <c r="C137" s="1962" t="s">
        <v>711</v>
      </c>
      <c r="D137" s="2962"/>
      <c r="E137" s="2157"/>
      <c r="F137" s="2157"/>
      <c r="G137" s="2157"/>
      <c r="H137" s="2157"/>
      <c r="I137" s="2157"/>
      <c r="J137" s="2157"/>
      <c r="K137" s="2907">
        <f>'5. SocSecData'!G95</f>
        <v>1452.0000000000002</v>
      </c>
      <c r="L137" s="2783"/>
    </row>
    <row r="138" spans="1:12" ht="15.75" thickTop="1" x14ac:dyDescent="0.25">
      <c r="A138" s="2855"/>
      <c r="B138" s="2855"/>
      <c r="C138" s="2769"/>
      <c r="D138" s="2958"/>
    </row>
    <row r="139" spans="1:12" ht="15.75" thickBot="1" x14ac:dyDescent="0.3"/>
    <row r="140" spans="1:12" ht="20.25" thickTop="1" thickBot="1" x14ac:dyDescent="0.35">
      <c r="A140" s="2908" t="s">
        <v>267</v>
      </c>
      <c r="B140" s="2909"/>
      <c r="C140" s="2909"/>
      <c r="D140" s="2909"/>
      <c r="E140" s="2909"/>
      <c r="F140" s="2909"/>
      <c r="G140" s="2909"/>
      <c r="H140" s="2909"/>
      <c r="I140" s="2909"/>
      <c r="J140" s="2909"/>
      <c r="K140" s="2909"/>
      <c r="L140" s="2901"/>
    </row>
    <row r="141" spans="1:12" ht="16.5" thickBot="1" x14ac:dyDescent="0.3">
      <c r="A141" s="2893" t="s">
        <v>890</v>
      </c>
      <c r="B141" s="1480" t="s">
        <v>1107</v>
      </c>
      <c r="C141" s="2894"/>
      <c r="D141" s="2895" t="s">
        <v>918</v>
      </c>
      <c r="E141" s="2894"/>
      <c r="F141" s="2896" t="str">
        <f>'6. AnnuityData'!B10</f>
        <v>You MUST edit this worksheet</v>
      </c>
      <c r="G141" s="2894"/>
      <c r="H141" s="2894"/>
      <c r="I141" s="2894"/>
      <c r="J141" s="2894"/>
      <c r="K141" s="2894"/>
      <c r="L141" s="2897"/>
    </row>
    <row r="142" spans="1:12" ht="31.5" thickTop="1" thickBot="1" x14ac:dyDescent="0.3">
      <c r="A142" s="2830" t="s">
        <v>841</v>
      </c>
      <c r="B142" s="2831" t="s">
        <v>840</v>
      </c>
      <c r="C142" s="2832" t="s">
        <v>2292</v>
      </c>
      <c r="D142" s="2831"/>
      <c r="E142" s="2831"/>
      <c r="F142" s="2831"/>
      <c r="G142" s="2831"/>
      <c r="H142" s="2831"/>
      <c r="I142" s="2831"/>
      <c r="J142" s="2832" t="s">
        <v>842</v>
      </c>
      <c r="K142" s="2831"/>
      <c r="L142" s="2833"/>
    </row>
    <row r="143" spans="1:12" x14ac:dyDescent="0.25">
      <c r="A143" s="2834" t="s">
        <v>516</v>
      </c>
      <c r="B143" s="1727">
        <v>6.1</v>
      </c>
      <c r="C143" s="2963" t="s">
        <v>443</v>
      </c>
      <c r="D143" s="2870"/>
      <c r="E143" s="1727"/>
      <c r="F143" s="1727"/>
      <c r="G143" s="1727"/>
      <c r="H143" s="1727"/>
      <c r="I143" s="1727"/>
      <c r="J143" s="1727"/>
      <c r="K143" s="2903">
        <f>'6. AnnuityData'!F32</f>
        <v>3000</v>
      </c>
      <c r="L143" s="2753"/>
    </row>
    <row r="144" spans="1:12" x14ac:dyDescent="0.25">
      <c r="A144" s="2841" t="s">
        <v>516</v>
      </c>
      <c r="B144" s="1727">
        <v>6.1</v>
      </c>
      <c r="C144" s="2884" t="s">
        <v>444</v>
      </c>
      <c r="D144" s="1727"/>
      <c r="E144" s="1727"/>
      <c r="F144" s="1727"/>
      <c r="G144" s="1727"/>
      <c r="H144" s="1727"/>
      <c r="I144" s="1727"/>
      <c r="J144" s="1727"/>
      <c r="K144" s="2903">
        <f>'6. AnnuityData'!F33</f>
        <v>3500</v>
      </c>
      <c r="L144" s="2753"/>
    </row>
    <row r="145" spans="1:12" x14ac:dyDescent="0.25">
      <c r="A145" s="2841" t="s">
        <v>516</v>
      </c>
      <c r="B145" s="1727">
        <v>6.1</v>
      </c>
      <c r="C145" s="2884" t="s">
        <v>204</v>
      </c>
      <c r="D145" s="1727"/>
      <c r="E145" s="1727"/>
      <c r="F145" s="1727"/>
      <c r="G145" s="1727"/>
      <c r="H145" s="1727"/>
      <c r="I145" s="1727"/>
      <c r="J145" s="1727"/>
      <c r="K145" s="2902">
        <f>'6. AnnuityData'!F35</f>
        <v>0.02</v>
      </c>
      <c r="L145" s="2753"/>
    </row>
    <row r="146" spans="1:12" x14ac:dyDescent="0.25">
      <c r="A146" s="2841" t="s">
        <v>516</v>
      </c>
      <c r="B146" s="1727">
        <v>6.1</v>
      </c>
      <c r="C146" s="2884" t="s">
        <v>205</v>
      </c>
      <c r="D146" s="1727"/>
      <c r="E146" s="1727"/>
      <c r="F146" s="1727"/>
      <c r="G146" s="1727"/>
      <c r="H146" s="1727"/>
      <c r="I146" s="1727"/>
      <c r="J146" s="1727"/>
      <c r="K146" s="2902">
        <f>'6. AnnuityData'!F36</f>
        <v>0</v>
      </c>
      <c r="L146" s="2753"/>
    </row>
    <row r="147" spans="1:12" x14ac:dyDescent="0.25">
      <c r="A147" s="2841" t="s">
        <v>516</v>
      </c>
      <c r="B147" s="1727">
        <v>6.1</v>
      </c>
      <c r="C147" s="2884" t="s">
        <v>401</v>
      </c>
      <c r="D147" s="1727"/>
      <c r="E147" s="1727"/>
      <c r="F147" s="1727"/>
      <c r="G147" s="1727"/>
      <c r="H147" s="1727"/>
      <c r="I147" s="1727"/>
      <c r="J147" s="1727"/>
      <c r="K147" s="2934">
        <f>'6. AnnuityData'!F40</f>
        <v>66</v>
      </c>
      <c r="L147" s="2753"/>
    </row>
    <row r="148" spans="1:12" x14ac:dyDescent="0.25">
      <c r="A148" s="2841" t="s">
        <v>516</v>
      </c>
      <c r="B148" s="1727">
        <v>6.1</v>
      </c>
      <c r="C148" s="2884" t="s">
        <v>402</v>
      </c>
      <c r="D148" s="1727"/>
      <c r="E148" s="1727"/>
      <c r="F148" s="1727"/>
      <c r="G148" s="1727"/>
      <c r="H148" s="1727"/>
      <c r="I148" s="1727"/>
      <c r="J148" s="1727"/>
      <c r="K148" s="2934">
        <f>'6. AnnuityData'!F42</f>
        <v>65</v>
      </c>
      <c r="L148" s="2753"/>
    </row>
    <row r="149" spans="1:12" x14ac:dyDescent="0.25">
      <c r="A149" s="2841" t="s">
        <v>516</v>
      </c>
      <c r="B149" s="1727">
        <v>6.1</v>
      </c>
      <c r="C149" s="2884" t="s">
        <v>403</v>
      </c>
      <c r="D149" s="1727"/>
      <c r="E149" s="1727"/>
      <c r="F149" s="1727"/>
      <c r="G149" s="1727"/>
      <c r="H149" s="1727"/>
      <c r="I149" s="1727"/>
      <c r="J149" s="1727"/>
      <c r="K149" s="2934">
        <f>'6. AnnuityData'!F46</f>
        <v>85</v>
      </c>
      <c r="L149" s="2753"/>
    </row>
    <row r="150" spans="1:12" x14ac:dyDescent="0.25">
      <c r="A150" s="2841" t="s">
        <v>516</v>
      </c>
      <c r="B150" s="1727">
        <v>6.1</v>
      </c>
      <c r="C150" s="2884" t="s">
        <v>404</v>
      </c>
      <c r="D150" s="1727"/>
      <c r="E150" s="1727"/>
      <c r="F150" s="1727"/>
      <c r="G150" s="1727"/>
      <c r="H150" s="1727"/>
      <c r="I150" s="1727"/>
      <c r="J150" s="1727"/>
      <c r="K150" s="2934">
        <f>'6. AnnuityData'!F48</f>
        <v>87</v>
      </c>
      <c r="L150" s="2753"/>
    </row>
    <row r="151" spans="1:12" x14ac:dyDescent="0.25">
      <c r="A151" s="2964"/>
      <c r="B151" s="1727"/>
      <c r="C151" s="1727"/>
      <c r="D151" s="1727"/>
      <c r="E151" s="1727"/>
      <c r="F151" s="1727"/>
      <c r="G151" s="1727"/>
      <c r="H151" s="1727"/>
      <c r="I151" s="1727"/>
      <c r="J151" s="1727"/>
      <c r="K151" s="1727"/>
      <c r="L151" s="2753"/>
    </row>
    <row r="152" spans="1:12" x14ac:dyDescent="0.25">
      <c r="A152" s="2841" t="s">
        <v>516</v>
      </c>
      <c r="B152" s="1727">
        <v>6.2</v>
      </c>
      <c r="C152" s="2884" t="s">
        <v>445</v>
      </c>
      <c r="D152" s="1727"/>
      <c r="E152" s="1727"/>
      <c r="F152" s="1727"/>
      <c r="G152" s="1727"/>
      <c r="H152" s="1727"/>
      <c r="I152" s="1727"/>
      <c r="J152" s="1727"/>
      <c r="K152" s="2903">
        <f>'6. AnnuityData'!F70</f>
        <v>0</v>
      </c>
      <c r="L152" s="2753"/>
    </row>
    <row r="153" spans="1:12" x14ac:dyDescent="0.25">
      <c r="A153" s="2841" t="s">
        <v>516</v>
      </c>
      <c r="B153" s="1727">
        <v>6.2</v>
      </c>
      <c r="C153" s="2884" t="s">
        <v>446</v>
      </c>
      <c r="D153" s="1727"/>
      <c r="E153" s="1727"/>
      <c r="F153" s="1727"/>
      <c r="G153" s="1727"/>
      <c r="H153" s="1727"/>
      <c r="I153" s="1727"/>
      <c r="J153" s="1727"/>
      <c r="K153" s="2903">
        <f>'6. AnnuityData'!F71</f>
        <v>0</v>
      </c>
      <c r="L153" s="2753"/>
    </row>
    <row r="154" spans="1:12" x14ac:dyDescent="0.25">
      <c r="A154" s="2841" t="s">
        <v>516</v>
      </c>
      <c r="B154" s="1727">
        <v>6.2</v>
      </c>
      <c r="C154" s="2884" t="s">
        <v>206</v>
      </c>
      <c r="D154" s="1727"/>
      <c r="E154" s="1727"/>
      <c r="F154" s="1727"/>
      <c r="G154" s="1727"/>
      <c r="H154" s="1727"/>
      <c r="I154" s="1727"/>
      <c r="J154" s="1727"/>
      <c r="K154" s="2902">
        <f>'6. AnnuityData'!F73</f>
        <v>0</v>
      </c>
      <c r="L154" s="2753"/>
    </row>
    <row r="155" spans="1:12" x14ac:dyDescent="0.25">
      <c r="A155" s="2841" t="s">
        <v>516</v>
      </c>
      <c r="B155" s="1727">
        <v>6.2</v>
      </c>
      <c r="C155" s="2884" t="s">
        <v>207</v>
      </c>
      <c r="D155" s="1727"/>
      <c r="E155" s="1727"/>
      <c r="F155" s="1727"/>
      <c r="G155" s="1727"/>
      <c r="H155" s="1727"/>
      <c r="I155" s="1727"/>
      <c r="J155" s="1727"/>
      <c r="K155" s="2902">
        <f>'6. AnnuityData'!F74</f>
        <v>0</v>
      </c>
      <c r="L155" s="2753"/>
    </row>
    <row r="156" spans="1:12" x14ac:dyDescent="0.25">
      <c r="A156" s="2841" t="s">
        <v>516</v>
      </c>
      <c r="B156" s="1727">
        <v>6.2</v>
      </c>
      <c r="C156" s="2884" t="s">
        <v>405</v>
      </c>
      <c r="D156" s="1727"/>
      <c r="E156" s="1727"/>
      <c r="F156" s="1727"/>
      <c r="G156" s="1727"/>
      <c r="H156" s="1727"/>
      <c r="I156" s="1727"/>
      <c r="J156" s="1727"/>
      <c r="K156" s="2934">
        <f>'6. AnnuityData'!F76</f>
        <v>85</v>
      </c>
      <c r="L156" s="2753"/>
    </row>
    <row r="157" spans="1:12" x14ac:dyDescent="0.25">
      <c r="A157" s="2841" t="s">
        <v>516</v>
      </c>
      <c r="B157" s="1727">
        <v>6.2</v>
      </c>
      <c r="C157" s="2884" t="s">
        <v>406</v>
      </c>
      <c r="D157" s="1727"/>
      <c r="E157" s="1727"/>
      <c r="F157" s="1727"/>
      <c r="G157" s="1727"/>
      <c r="H157" s="1727"/>
      <c r="I157" s="1727"/>
      <c r="J157" s="1727"/>
      <c r="K157" s="2934">
        <f>'6. AnnuityData'!F78</f>
        <v>87</v>
      </c>
      <c r="L157" s="2753"/>
    </row>
    <row r="158" spans="1:12" x14ac:dyDescent="0.25">
      <c r="A158" s="2841" t="s">
        <v>516</v>
      </c>
      <c r="B158" s="1727">
        <v>6.2</v>
      </c>
      <c r="C158" s="2884" t="s">
        <v>407</v>
      </c>
      <c r="D158" s="1727"/>
      <c r="E158" s="1727"/>
      <c r="F158" s="1727"/>
      <c r="G158" s="1727"/>
      <c r="H158" s="1727"/>
      <c r="I158" s="1727"/>
      <c r="J158" s="1727"/>
      <c r="K158" s="2934">
        <f>'6. AnnuityData'!F82</f>
        <v>85</v>
      </c>
      <c r="L158" s="2753"/>
    </row>
    <row r="159" spans="1:12" ht="15.75" thickBot="1" x14ac:dyDescent="0.3">
      <c r="A159" s="2856" t="s">
        <v>516</v>
      </c>
      <c r="B159" s="2157">
        <v>6.2</v>
      </c>
      <c r="C159" s="2948" t="s">
        <v>408</v>
      </c>
      <c r="D159" s="2157"/>
      <c r="E159" s="2157"/>
      <c r="F159" s="2157"/>
      <c r="G159" s="2157"/>
      <c r="H159" s="2157"/>
      <c r="I159" s="2157"/>
      <c r="J159" s="2157"/>
      <c r="K159" s="2965">
        <f>'6. AnnuityData'!F84</f>
        <v>87</v>
      </c>
      <c r="L159" s="2783"/>
    </row>
    <row r="160" spans="1:12" ht="15.75" thickTop="1" x14ac:dyDescent="0.25"/>
    <row r="161" spans="1:12" ht="15.75" thickBot="1" x14ac:dyDescent="0.3"/>
    <row r="162" spans="1:12" ht="20.25" thickTop="1" thickBot="1" x14ac:dyDescent="0.35">
      <c r="A162" s="2945" t="s">
        <v>747</v>
      </c>
      <c r="B162" s="2909"/>
      <c r="C162" s="2909"/>
      <c r="D162" s="2909"/>
      <c r="E162" s="2909"/>
      <c r="F162" s="2909"/>
      <c r="G162" s="2909"/>
      <c r="H162" s="2909"/>
      <c r="I162" s="2909"/>
      <c r="J162" s="2909"/>
      <c r="K162" s="2909"/>
      <c r="L162" s="2901"/>
    </row>
    <row r="163" spans="1:12" ht="16.5" thickBot="1" x14ac:dyDescent="0.3">
      <c r="A163" s="2893" t="s">
        <v>890</v>
      </c>
      <c r="B163" s="1480" t="s">
        <v>1108</v>
      </c>
      <c r="C163" s="2894"/>
      <c r="D163" s="2895" t="s">
        <v>918</v>
      </c>
      <c r="E163" s="2894"/>
      <c r="F163" s="2896" t="str">
        <f>'7. IRAdata'!B14</f>
        <v>You MUST edit this worksheet</v>
      </c>
      <c r="G163" s="2894"/>
      <c r="H163" s="2894"/>
      <c r="I163" s="2894"/>
      <c r="J163" s="2894"/>
      <c r="K163" s="2894"/>
      <c r="L163" s="2897"/>
    </row>
    <row r="164" spans="1:12" ht="31.5" thickTop="1" thickBot="1" x14ac:dyDescent="0.3">
      <c r="A164" s="2830" t="s">
        <v>841</v>
      </c>
      <c r="B164" s="2831" t="s">
        <v>840</v>
      </c>
      <c r="C164" s="2832" t="s">
        <v>2292</v>
      </c>
      <c r="D164" s="2831"/>
      <c r="E164" s="2831"/>
      <c r="F164" s="2831"/>
      <c r="G164" s="2831"/>
      <c r="H164" s="2831"/>
      <c r="I164" s="2831"/>
      <c r="J164" s="2832" t="s">
        <v>842</v>
      </c>
      <c r="K164" s="2831"/>
      <c r="L164" s="2833"/>
    </row>
    <row r="165" spans="1:12" ht="15.75" thickBot="1" x14ac:dyDescent="0.3">
      <c r="A165" s="2910"/>
      <c r="B165" s="2911"/>
      <c r="C165" s="2912"/>
      <c r="D165" s="2911"/>
      <c r="E165" s="2911"/>
      <c r="F165" s="2911"/>
      <c r="G165" s="2911"/>
      <c r="H165" s="2911"/>
      <c r="I165" s="2911"/>
      <c r="J165" s="2912"/>
      <c r="K165" s="2911"/>
      <c r="L165" s="2753"/>
    </row>
    <row r="166" spans="1:12" ht="50.25" thickTop="1" thickBot="1" x14ac:dyDescent="0.3">
      <c r="A166" s="2841" t="s">
        <v>398</v>
      </c>
      <c r="B166" s="2835" t="s">
        <v>2295</v>
      </c>
      <c r="C166" s="2702" t="s">
        <v>1843</v>
      </c>
      <c r="D166" s="3272"/>
      <c r="E166" s="3273" t="s">
        <v>1788</v>
      </c>
      <c r="F166" s="3274" t="s">
        <v>2823</v>
      </c>
      <c r="G166" s="3275" t="s">
        <v>1947</v>
      </c>
      <c r="H166" s="3276" t="s">
        <v>1948</v>
      </c>
      <c r="I166" s="3277" t="s">
        <v>1949</v>
      </c>
      <c r="J166" s="2912"/>
      <c r="K166" s="2911"/>
      <c r="L166" s="2753"/>
    </row>
    <row r="167" spans="1:12" ht="15.75" thickTop="1" x14ac:dyDescent="0.25">
      <c r="A167" s="2841" t="s">
        <v>398</v>
      </c>
      <c r="B167" s="2835" t="s">
        <v>2295</v>
      </c>
      <c r="C167" s="3520" t="s">
        <v>2861</v>
      </c>
      <c r="D167" s="3278"/>
      <c r="E167" s="3593">
        <f>'7. IRAdata'!$D$113</f>
        <v>10000</v>
      </c>
      <c r="F167" s="3598">
        <f>'7. IRAdata'!E113</f>
        <v>3.5000000000000003E-2</v>
      </c>
      <c r="G167" s="3291">
        <f>'7. IRAdata'!F113</f>
        <v>3.125E-2</v>
      </c>
      <c r="H167" s="3604">
        <f>'7. IRAdata'!G113</f>
        <v>0.5</v>
      </c>
      <c r="I167" s="3293">
        <f>'7. IRAdata'!H113</f>
        <v>0.5</v>
      </c>
      <c r="J167" s="2912"/>
      <c r="K167" s="2911"/>
      <c r="L167" s="2753"/>
    </row>
    <row r="168" spans="1:12" x14ac:dyDescent="0.25">
      <c r="A168" s="2841" t="s">
        <v>398</v>
      </c>
      <c r="B168" s="2835" t="s">
        <v>2295</v>
      </c>
      <c r="C168" s="3521" t="s">
        <v>2862</v>
      </c>
      <c r="D168" s="3283"/>
      <c r="E168" s="3596">
        <f>'7. IRAdata'!$D$114</f>
        <v>20000</v>
      </c>
      <c r="F168" s="3599">
        <f>'7. IRAdata'!E114</f>
        <v>3.2000000000000001E-2</v>
      </c>
      <c r="G168" s="3280">
        <f>'7. IRAdata'!F114</f>
        <v>2.8499999999999998E-2</v>
      </c>
      <c r="H168" s="3595">
        <f>'7. IRAdata'!G114</f>
        <v>0.4</v>
      </c>
      <c r="I168" s="3282">
        <f>'7. IRAdata'!H114</f>
        <v>0.6</v>
      </c>
      <c r="J168" s="2912"/>
      <c r="K168" s="2911"/>
      <c r="L168" s="2753"/>
    </row>
    <row r="169" spans="1:12" x14ac:dyDescent="0.25">
      <c r="A169" s="2841" t="s">
        <v>398</v>
      </c>
      <c r="B169" s="2835" t="s">
        <v>2295</v>
      </c>
      <c r="C169" s="3521" t="s">
        <v>2863</v>
      </c>
      <c r="D169" s="3283"/>
      <c r="E169" s="3596">
        <f>'7. IRAdata'!$D$115</f>
        <v>30000</v>
      </c>
      <c r="F169" s="3599">
        <f>'7. IRAdata'!E115</f>
        <v>3.7999999999999999E-2</v>
      </c>
      <c r="G169" s="3280">
        <f>'7. IRAdata'!F115</f>
        <v>3.4000000000000002E-2</v>
      </c>
      <c r="H169" s="3595">
        <f>'7. IRAdata'!G115</f>
        <v>0.6</v>
      </c>
      <c r="I169" s="3282">
        <f>'7. IRAdata'!H115</f>
        <v>0.4</v>
      </c>
      <c r="J169" s="2912"/>
      <c r="K169" s="2911"/>
      <c r="L169" s="2753"/>
    </row>
    <row r="170" spans="1:12" x14ac:dyDescent="0.25">
      <c r="A170" s="2841" t="s">
        <v>398</v>
      </c>
      <c r="B170" s="2835" t="s">
        <v>2295</v>
      </c>
      <c r="C170" s="2358" t="s">
        <v>2523</v>
      </c>
      <c r="D170" s="3284"/>
      <c r="E170" s="3596">
        <f>'7. IRAdata'!$D$116</f>
        <v>115000</v>
      </c>
      <c r="F170" s="3599">
        <f>'7. IRAdata'!E116</f>
        <v>3.5299999999999998E-2</v>
      </c>
      <c r="G170" s="3280">
        <f>'7. IRAdata'!F116</f>
        <v>3.1524999999999997E-2</v>
      </c>
      <c r="H170" s="3595">
        <f>'7. IRAdata'!G116</f>
        <v>0.51</v>
      </c>
      <c r="I170" s="3282">
        <f>'7. IRAdata'!H116</f>
        <v>0.49</v>
      </c>
      <c r="J170" s="2912"/>
      <c r="K170" s="2911"/>
      <c r="L170" s="2753"/>
    </row>
    <row r="171" spans="1:12" ht="15.75" thickBot="1" x14ac:dyDescent="0.3">
      <c r="A171" s="2841" t="s">
        <v>398</v>
      </c>
      <c r="B171" s="2835" t="s">
        <v>2295</v>
      </c>
      <c r="C171" s="2358" t="s">
        <v>2525</v>
      </c>
      <c r="D171" s="3284"/>
      <c r="E171" s="3597">
        <f>'7. IRAdata'!$D$117</f>
        <v>40000</v>
      </c>
      <c r="F171" s="3600">
        <f>'7. IRAdata'!E117</f>
        <v>3.6499999999999998E-2</v>
      </c>
      <c r="G171" s="3605">
        <f>'7. IRAdata'!F117</f>
        <v>3.2625000000000001E-2</v>
      </c>
      <c r="H171" s="3602">
        <f>'7. IRAdata'!G117</f>
        <v>0.55000000000000004</v>
      </c>
      <c r="I171" s="3603">
        <f>'7. IRAdata'!H117</f>
        <v>0.44999999999999996</v>
      </c>
      <c r="J171" s="2912"/>
      <c r="K171" s="2911"/>
      <c r="L171" s="2753"/>
    </row>
    <row r="172" spans="1:12" ht="16.5" thickTop="1" thickBot="1" x14ac:dyDescent="0.3">
      <c r="A172" s="2841" t="s">
        <v>398</v>
      </c>
      <c r="B172" s="2835" t="s">
        <v>2295</v>
      </c>
      <c r="C172" s="3522" t="s">
        <v>2825</v>
      </c>
      <c r="D172" s="3518"/>
      <c r="E172" s="3597">
        <f>'7. IRAdata'!$D$118</f>
        <v>215000</v>
      </c>
      <c r="F172" s="3601">
        <f>'7. IRAdata'!E118</f>
        <v>3.5579069767441858E-2</v>
      </c>
      <c r="G172" s="3601">
        <f>'7. IRAdata'!F118</f>
        <v>3.178081395348837E-2</v>
      </c>
      <c r="H172" s="3602">
        <f>'7. IRAdata'!G118</f>
        <v>0.51930232558139533</v>
      </c>
      <c r="I172" s="3603">
        <f>'7. IRAdata'!H118</f>
        <v>0.48069767441860467</v>
      </c>
      <c r="J172" s="2912"/>
      <c r="K172" s="2911"/>
      <c r="L172" s="2753"/>
    </row>
    <row r="173" spans="1:12" ht="16.5" thickTop="1" thickBot="1" x14ac:dyDescent="0.3">
      <c r="A173" s="2910"/>
      <c r="B173" s="2911"/>
      <c r="C173" s="3606"/>
      <c r="D173" s="2971"/>
      <c r="E173" s="2971"/>
      <c r="F173" s="2971"/>
      <c r="G173" s="2971"/>
      <c r="H173" s="2971"/>
      <c r="I173" s="3607"/>
      <c r="J173" s="2912"/>
      <c r="K173" s="2911"/>
      <c r="L173" s="2753"/>
    </row>
    <row r="174" spans="1:12" ht="50.25" thickTop="1" thickBot="1" x14ac:dyDescent="0.3">
      <c r="A174" s="2841" t="s">
        <v>398</v>
      </c>
      <c r="B174" s="2835" t="s">
        <v>2295</v>
      </c>
      <c r="C174" s="2702" t="s">
        <v>1844</v>
      </c>
      <c r="D174" s="3272"/>
      <c r="E174" s="3273" t="s">
        <v>1789</v>
      </c>
      <c r="F174" s="3274" t="s">
        <v>2824</v>
      </c>
      <c r="G174" s="3275" t="s">
        <v>2208</v>
      </c>
      <c r="H174" s="3276" t="s">
        <v>2211</v>
      </c>
      <c r="I174" s="3277" t="s">
        <v>2212</v>
      </c>
      <c r="J174" s="2912"/>
      <c r="K174" s="2911"/>
      <c r="L174" s="2753"/>
    </row>
    <row r="175" spans="1:12" ht="15.75" thickTop="1" x14ac:dyDescent="0.25">
      <c r="A175" s="2841" t="s">
        <v>398</v>
      </c>
      <c r="B175" s="2835" t="s">
        <v>2295</v>
      </c>
      <c r="C175" s="3520" t="s">
        <v>2861</v>
      </c>
      <c r="D175" s="3278"/>
      <c r="E175" s="3593">
        <f>'7. IRAdata'!D121</f>
        <v>0</v>
      </c>
      <c r="F175" s="3608">
        <f>'7. IRAdata'!E121</f>
        <v>0</v>
      </c>
      <c r="G175" s="3611">
        <f>'7. IRAdata'!F121</f>
        <v>1.7500000000000002E-2</v>
      </c>
      <c r="H175" s="3611">
        <f>'7. IRAdata'!G121</f>
        <v>0</v>
      </c>
      <c r="I175" s="3612">
        <f>'7. IRAdata'!H121</f>
        <v>1</v>
      </c>
      <c r="J175" s="2912"/>
      <c r="K175" s="2911"/>
      <c r="L175" s="2753"/>
    </row>
    <row r="176" spans="1:12" x14ac:dyDescent="0.25">
      <c r="A176" s="2841" t="s">
        <v>398</v>
      </c>
      <c r="B176" s="2835" t="s">
        <v>2295</v>
      </c>
      <c r="C176" s="3521" t="s">
        <v>2862</v>
      </c>
      <c r="D176" s="3283"/>
      <c r="E176" s="3596">
        <f>'7. IRAdata'!D122</f>
        <v>0</v>
      </c>
      <c r="F176" s="3609">
        <f>'7. IRAdata'!E122</f>
        <v>0</v>
      </c>
      <c r="G176" s="3613">
        <f>'7. IRAdata'!F122</f>
        <v>1.7500000000000002E-2</v>
      </c>
      <c r="H176" s="3613">
        <f>'7. IRAdata'!G122</f>
        <v>0</v>
      </c>
      <c r="I176" s="3614">
        <f>'7. IRAdata'!H122</f>
        <v>1</v>
      </c>
      <c r="J176" s="2912"/>
      <c r="K176" s="2911"/>
      <c r="L176" s="2753"/>
    </row>
    <row r="177" spans="1:12" x14ac:dyDescent="0.25">
      <c r="A177" s="2841" t="s">
        <v>398</v>
      </c>
      <c r="B177" s="2835" t="s">
        <v>2295</v>
      </c>
      <c r="C177" s="3521" t="s">
        <v>2863</v>
      </c>
      <c r="D177" s="3283"/>
      <c r="E177" s="3596">
        <f>'7. IRAdata'!D123</f>
        <v>0</v>
      </c>
      <c r="F177" s="3609">
        <f>'7. IRAdata'!E123</f>
        <v>0</v>
      </c>
      <c r="G177" s="3613">
        <f>'7. IRAdata'!F123</f>
        <v>1.7500000000000002E-2</v>
      </c>
      <c r="H177" s="3613">
        <f>'7. IRAdata'!G123</f>
        <v>0</v>
      </c>
      <c r="I177" s="3614">
        <f>'7. IRAdata'!H123</f>
        <v>1</v>
      </c>
      <c r="J177" s="2912"/>
      <c r="K177" s="2911"/>
      <c r="L177" s="2753"/>
    </row>
    <row r="178" spans="1:12" x14ac:dyDescent="0.25">
      <c r="A178" s="2841" t="s">
        <v>398</v>
      </c>
      <c r="B178" s="2835" t="s">
        <v>2295</v>
      </c>
      <c r="C178" s="2358" t="s">
        <v>2523</v>
      </c>
      <c r="D178" s="3284"/>
      <c r="E178" s="3596">
        <f>'7. IRAdata'!D124</f>
        <v>90000</v>
      </c>
      <c r="F178" s="3609">
        <f>'7. IRAdata'!E124</f>
        <v>3.5900000000000001E-2</v>
      </c>
      <c r="G178" s="3613">
        <f>'7. IRAdata'!F124</f>
        <v>3.2074999999999999E-2</v>
      </c>
      <c r="H178" s="3613">
        <f>'7. IRAdata'!G124</f>
        <v>0.53</v>
      </c>
      <c r="I178" s="3614">
        <f>'7. IRAdata'!H124</f>
        <v>0.47</v>
      </c>
      <c r="J178" s="2912"/>
      <c r="K178" s="2911"/>
      <c r="L178" s="2753"/>
    </row>
    <row r="179" spans="1:12" ht="15.75" thickBot="1" x14ac:dyDescent="0.3">
      <c r="A179" s="2841" t="s">
        <v>398</v>
      </c>
      <c r="B179" s="2835" t="s">
        <v>2295</v>
      </c>
      <c r="C179" s="2358" t="s">
        <v>2525</v>
      </c>
      <c r="D179" s="3284"/>
      <c r="E179" s="3597">
        <f>'7. IRAdata'!D125</f>
        <v>0</v>
      </c>
      <c r="F179" s="3610">
        <f>'7. IRAdata'!E125</f>
        <v>0</v>
      </c>
      <c r="G179" s="3615">
        <f>'7. IRAdata'!F125</f>
        <v>1.7500000000000002E-2</v>
      </c>
      <c r="H179" s="3615">
        <f>'7. IRAdata'!G125</f>
        <v>0</v>
      </c>
      <c r="I179" s="3616">
        <f>'7. IRAdata'!H125</f>
        <v>1</v>
      </c>
      <c r="J179" s="2912"/>
      <c r="K179" s="2911"/>
      <c r="L179" s="2753"/>
    </row>
    <row r="180" spans="1:12" ht="16.5" thickTop="1" thickBot="1" x14ac:dyDescent="0.3">
      <c r="A180" s="2841" t="s">
        <v>398</v>
      </c>
      <c r="B180" s="2835" t="s">
        <v>2295</v>
      </c>
      <c r="C180" s="3522" t="s">
        <v>2825</v>
      </c>
      <c r="D180" s="3518"/>
      <c r="E180" s="3597">
        <f>'7. IRAdata'!D126</f>
        <v>90000</v>
      </c>
      <c r="F180" s="3610">
        <f>'7. IRAdata'!E126</f>
        <v>3.5900000000000001E-2</v>
      </c>
      <c r="G180" s="3615">
        <f>'7. IRAdata'!F126</f>
        <v>3.2074999999999999E-2</v>
      </c>
      <c r="H180" s="3615">
        <f>'7. IRAdata'!G126</f>
        <v>0.53</v>
      </c>
      <c r="I180" s="3616">
        <f>'7. IRAdata'!H126</f>
        <v>0.47</v>
      </c>
      <c r="J180" s="2912"/>
      <c r="K180" s="2911"/>
      <c r="L180" s="2753"/>
    </row>
    <row r="181" spans="1:12" ht="16.5" thickTop="1" thickBot="1" x14ac:dyDescent="0.3">
      <c r="A181" s="2910"/>
      <c r="B181" s="2911"/>
      <c r="C181" s="2912"/>
      <c r="D181" s="2911"/>
      <c r="E181" s="2911"/>
      <c r="F181" s="2911"/>
      <c r="G181" s="2911"/>
      <c r="H181" s="2911"/>
      <c r="I181" s="2911"/>
      <c r="J181" s="2912"/>
      <c r="K181" s="2911"/>
      <c r="L181" s="2753"/>
    </row>
    <row r="182" spans="1:12" ht="53.25" thickTop="1" thickBot="1" x14ac:dyDescent="0.3">
      <c r="A182" s="2841" t="s">
        <v>398</v>
      </c>
      <c r="B182" s="2835" t="s">
        <v>2295</v>
      </c>
      <c r="C182" s="2702" t="s">
        <v>1843</v>
      </c>
      <c r="D182" s="2703"/>
      <c r="E182" s="2704" t="s">
        <v>1788</v>
      </c>
      <c r="F182" s="2705" t="s">
        <v>2823</v>
      </c>
      <c r="G182" s="2706" t="s">
        <v>1947</v>
      </c>
      <c r="H182" s="2707" t="s">
        <v>1948</v>
      </c>
      <c r="I182" s="2708" t="s">
        <v>1949</v>
      </c>
      <c r="J182" s="2709" t="s">
        <v>1950</v>
      </c>
      <c r="K182" s="2710" t="s">
        <v>2206</v>
      </c>
      <c r="L182" s="2753"/>
    </row>
    <row r="183" spans="1:12" ht="15.75" thickTop="1" x14ac:dyDescent="0.25">
      <c r="A183" s="2841" t="s">
        <v>398</v>
      </c>
      <c r="B183" s="2835" t="s">
        <v>2295</v>
      </c>
      <c r="C183" s="2746" t="s">
        <v>2825</v>
      </c>
      <c r="D183" s="2712"/>
      <c r="E183" s="3620">
        <f>'7. IRAdata'!D131</f>
        <v>215000</v>
      </c>
      <c r="F183" s="3619">
        <f>'7. IRAdata'!E131</f>
        <v>3.5579069767441858E-2</v>
      </c>
      <c r="G183" s="3623">
        <f>'7. IRAdata'!F131</f>
        <v>3.178081395348837E-2</v>
      </c>
      <c r="H183" s="3604">
        <f>'7. IRAdata'!G131</f>
        <v>0.51930232558139533</v>
      </c>
      <c r="I183" s="3293">
        <f>'7. IRAdata'!H131</f>
        <v>0.48069767441860467</v>
      </c>
      <c r="J183" s="2713" t="s">
        <v>1796</v>
      </c>
      <c r="K183" s="2544" t="s">
        <v>1791</v>
      </c>
      <c r="L183" s="2753"/>
    </row>
    <row r="184" spans="1:12" x14ac:dyDescent="0.25">
      <c r="A184" s="2841" t="s">
        <v>398</v>
      </c>
      <c r="B184" s="2835" t="s">
        <v>2295</v>
      </c>
      <c r="C184" s="2747" t="s">
        <v>2291</v>
      </c>
      <c r="D184" s="2359"/>
      <c r="E184" s="3621">
        <f>'7. IRAdata'!D132</f>
        <v>10000</v>
      </c>
      <c r="F184" s="3594">
        <f>'7. IRAdata'!E132</f>
        <v>3.7999999999999999E-2</v>
      </c>
      <c r="G184" s="3624">
        <f>'7. IRAdata'!F132</f>
        <v>3.4000000000000002E-2</v>
      </c>
      <c r="H184" s="3595">
        <f>'7. IRAdata'!G132</f>
        <v>0.6</v>
      </c>
      <c r="I184" s="3282">
        <f>'7. IRAdata'!H132</f>
        <v>0.4</v>
      </c>
      <c r="J184" s="2714" t="s">
        <v>1901</v>
      </c>
      <c r="K184" s="2280" t="s">
        <v>1791</v>
      </c>
      <c r="L184" s="2753"/>
    </row>
    <row r="185" spans="1:12" ht="15.75" thickBot="1" x14ac:dyDescent="0.3">
      <c r="A185" s="2841" t="s">
        <v>398</v>
      </c>
      <c r="B185" s="2835" t="s">
        <v>2295</v>
      </c>
      <c r="C185" s="2747" t="s">
        <v>2293</v>
      </c>
      <c r="D185" s="2359"/>
      <c r="E185" s="3622">
        <f>'7. IRAdata'!D133</f>
        <v>6000</v>
      </c>
      <c r="F185" s="3601">
        <f>'7. IRAdata'!E133</f>
        <v>3.2000000000000001E-2</v>
      </c>
      <c r="G185" s="3625">
        <f>'7. IRAdata'!F133</f>
        <v>2.8499999999999998E-2</v>
      </c>
      <c r="H185" s="3602">
        <f>'7. IRAdata'!G133</f>
        <v>0.4</v>
      </c>
      <c r="I185" s="3603">
        <f>'7. IRAdata'!H133</f>
        <v>0.6</v>
      </c>
      <c r="J185" s="2714" t="s">
        <v>1902</v>
      </c>
      <c r="K185" s="2280" t="s">
        <v>1791</v>
      </c>
      <c r="L185" s="2753"/>
    </row>
    <row r="186" spans="1:12" ht="16.5" thickTop="1" thickBot="1" x14ac:dyDescent="0.3">
      <c r="A186" s="2841" t="s">
        <v>398</v>
      </c>
      <c r="B186" s="2835" t="s">
        <v>2295</v>
      </c>
      <c r="C186" s="3617" t="s">
        <v>2864</v>
      </c>
      <c r="D186" s="2559"/>
      <c r="E186" s="3532">
        <v>0</v>
      </c>
      <c r="F186" s="3533">
        <v>0</v>
      </c>
      <c r="G186" s="3618">
        <f>$F$97*H186+$F$98*I186</f>
        <v>0</v>
      </c>
      <c r="H186" s="3535">
        <v>0</v>
      </c>
      <c r="I186" s="3536">
        <f>100%-H186</f>
        <v>1</v>
      </c>
      <c r="J186" s="2561" t="s">
        <v>2097</v>
      </c>
      <c r="K186" s="2562">
        <v>0</v>
      </c>
      <c r="L186" s="2753"/>
    </row>
    <row r="187" spans="1:12" ht="16.5" thickTop="1" thickBot="1" x14ac:dyDescent="0.3">
      <c r="A187" s="2841"/>
      <c r="C187" s="2715"/>
      <c r="D187" s="2716"/>
      <c r="E187" s="2717"/>
      <c r="F187" s="2717"/>
      <c r="G187" s="2718"/>
      <c r="H187" s="2717"/>
      <c r="I187" s="2719"/>
      <c r="J187" s="2720"/>
      <c r="K187" s="2721"/>
      <c r="L187" s="2753"/>
    </row>
    <row r="188" spans="1:12" ht="53.25" thickTop="1" thickBot="1" x14ac:dyDescent="0.3">
      <c r="A188" s="2841" t="s">
        <v>398</v>
      </c>
      <c r="B188" s="2835" t="s">
        <v>2295</v>
      </c>
      <c r="C188" s="2702" t="s">
        <v>1844</v>
      </c>
      <c r="D188" s="2703"/>
      <c r="E188" s="2704" t="s">
        <v>1789</v>
      </c>
      <c r="F188" s="2705" t="s">
        <v>2824</v>
      </c>
      <c r="G188" s="2722" t="s">
        <v>2208</v>
      </c>
      <c r="H188" s="2707" t="s">
        <v>2209</v>
      </c>
      <c r="I188" s="2723" t="s">
        <v>2210</v>
      </c>
      <c r="J188" s="2709" t="s">
        <v>2205</v>
      </c>
      <c r="K188" s="2710" t="s">
        <v>2207</v>
      </c>
      <c r="L188" s="2753"/>
    </row>
    <row r="189" spans="1:12" ht="15.75" thickTop="1" x14ac:dyDescent="0.25">
      <c r="A189" s="2841" t="s">
        <v>398</v>
      </c>
      <c r="B189" s="2835" t="s">
        <v>2295</v>
      </c>
      <c r="C189" s="2746" t="s">
        <v>2825</v>
      </c>
      <c r="D189" s="2359"/>
      <c r="E189" s="3620">
        <f>'7. IRAdata'!D137</f>
        <v>90000</v>
      </c>
      <c r="F189" s="3619">
        <f>'7. IRAdata'!E137</f>
        <v>3.5900000000000001E-2</v>
      </c>
      <c r="G189" s="3623">
        <f>'7. IRAdata'!F137</f>
        <v>3.2074999999999999E-2</v>
      </c>
      <c r="H189" s="3604">
        <f>'7. IRAdata'!G137</f>
        <v>0.53</v>
      </c>
      <c r="I189" s="3293">
        <f>'7. IRAdata'!H137</f>
        <v>0.47</v>
      </c>
      <c r="J189" s="2453" t="s">
        <v>1796</v>
      </c>
      <c r="K189" s="2544" t="s">
        <v>1791</v>
      </c>
      <c r="L189" s="2753"/>
    </row>
    <row r="190" spans="1:12" x14ac:dyDescent="0.25">
      <c r="A190" s="2841" t="s">
        <v>398</v>
      </c>
      <c r="B190" s="2835" t="s">
        <v>2295</v>
      </c>
      <c r="C190" s="2747" t="s">
        <v>2291</v>
      </c>
      <c r="D190" s="2359"/>
      <c r="E190" s="3621">
        <f>'7. IRAdata'!D138</f>
        <v>8000</v>
      </c>
      <c r="F190" s="3594">
        <f>'7. IRAdata'!E138</f>
        <v>3.95E-2</v>
      </c>
      <c r="G190" s="3624">
        <f>'7. IRAdata'!F138</f>
        <v>3.5374999999999997E-2</v>
      </c>
      <c r="H190" s="3595">
        <f>'7. IRAdata'!G138</f>
        <v>0.65</v>
      </c>
      <c r="I190" s="3282">
        <f>'7. IRAdata'!H138</f>
        <v>0.35</v>
      </c>
      <c r="J190" s="2714" t="s">
        <v>1901</v>
      </c>
      <c r="K190" s="2280" t="s">
        <v>1791</v>
      </c>
      <c r="L190" s="2753"/>
    </row>
    <row r="191" spans="1:12" ht="15.75" thickBot="1" x14ac:dyDescent="0.3">
      <c r="A191" s="2841" t="s">
        <v>398</v>
      </c>
      <c r="B191" s="2835" t="s">
        <v>2295</v>
      </c>
      <c r="C191" s="2747" t="s">
        <v>2293</v>
      </c>
      <c r="D191" s="2359"/>
      <c r="E191" s="3622">
        <f>'7. IRAdata'!D139</f>
        <v>12000</v>
      </c>
      <c r="F191" s="3601">
        <f>'7. IRAdata'!E139</f>
        <v>3.3500000000000002E-2</v>
      </c>
      <c r="G191" s="3625">
        <f>'7. IRAdata'!F139</f>
        <v>2.9875000000000002E-2</v>
      </c>
      <c r="H191" s="3602">
        <f>'7. IRAdata'!G139</f>
        <v>0.45</v>
      </c>
      <c r="I191" s="3603">
        <f>'7. IRAdata'!H139</f>
        <v>0.55000000000000004</v>
      </c>
      <c r="J191" s="2714" t="s">
        <v>1902</v>
      </c>
      <c r="K191" s="2280" t="s">
        <v>1791</v>
      </c>
      <c r="L191" s="2753"/>
    </row>
    <row r="192" spans="1:12" ht="16.5" thickTop="1" thickBot="1" x14ac:dyDescent="0.3">
      <c r="A192" s="2841" t="s">
        <v>398</v>
      </c>
      <c r="B192" s="2835" t="s">
        <v>2295</v>
      </c>
      <c r="C192" s="3617" t="s">
        <v>2864</v>
      </c>
      <c r="D192" s="2564"/>
      <c r="E192" s="3538">
        <v>0</v>
      </c>
      <c r="F192" s="3539">
        <v>0</v>
      </c>
      <c r="G192" s="3618">
        <f>$F$97*H192+$F$98*I192</f>
        <v>0</v>
      </c>
      <c r="H192" s="3542">
        <v>0</v>
      </c>
      <c r="I192" s="3543">
        <f>100%-H192</f>
        <v>1</v>
      </c>
      <c r="J192" s="2561" t="s">
        <v>2097</v>
      </c>
      <c r="K192" s="2563">
        <v>0</v>
      </c>
      <c r="L192" s="2753"/>
    </row>
    <row r="193" spans="1:18" ht="16.5" thickTop="1" thickBot="1" x14ac:dyDescent="0.3">
      <c r="A193" s="2910"/>
      <c r="B193" s="2911"/>
      <c r="C193" s="2912"/>
      <c r="D193" s="2911"/>
      <c r="E193" s="2911"/>
      <c r="F193" s="2911"/>
      <c r="G193" s="2911"/>
      <c r="H193" s="2911"/>
      <c r="I193" s="2911"/>
      <c r="J193" s="2912"/>
      <c r="K193" s="2911"/>
      <c r="L193" s="2753"/>
    </row>
    <row r="194" spans="1:18" ht="53.25" thickTop="1" thickBot="1" x14ac:dyDescent="0.3">
      <c r="A194" s="2841" t="s">
        <v>398</v>
      </c>
      <c r="B194" s="2835" t="s">
        <v>2295</v>
      </c>
      <c r="C194" s="2702" t="s">
        <v>1843</v>
      </c>
      <c r="D194" s="2703"/>
      <c r="E194" s="2704" t="s">
        <v>1788</v>
      </c>
      <c r="F194" s="2705" t="s">
        <v>2823</v>
      </c>
      <c r="G194" s="2706" t="s">
        <v>1947</v>
      </c>
      <c r="H194" s="2707" t="s">
        <v>1948</v>
      </c>
      <c r="I194" s="2733" t="s">
        <v>1949</v>
      </c>
      <c r="L194" s="2753"/>
    </row>
    <row r="195" spans="1:18" ht="15.75" thickTop="1" x14ac:dyDescent="0.25">
      <c r="A195" s="2841" t="s">
        <v>398</v>
      </c>
      <c r="B195" s="2835" t="s">
        <v>2295</v>
      </c>
      <c r="C195" s="2711" t="s">
        <v>2825</v>
      </c>
      <c r="D195" s="2712"/>
      <c r="E195" s="2754">
        <f>'7. IRAdata'!D131</f>
        <v>215000</v>
      </c>
      <c r="F195" s="2755">
        <f>'7. IRAdata'!E131</f>
        <v>3.5579069767441858E-2</v>
      </c>
      <c r="G195" s="2250">
        <f>'1. AgeData'!$E$50*H195+'1. AgeData'!$E$51*I195</f>
        <v>3.178081395348837E-2</v>
      </c>
      <c r="H195" s="2756">
        <f>'7. IRAdata'!$G131</f>
        <v>0.51930232558139533</v>
      </c>
      <c r="I195" s="2740">
        <f>100%-H195</f>
        <v>0.48069767441860467</v>
      </c>
      <c r="L195" s="2753"/>
    </row>
    <row r="196" spans="1:18" x14ac:dyDescent="0.25">
      <c r="A196" s="2841" t="s">
        <v>398</v>
      </c>
      <c r="B196" s="2835" t="s">
        <v>2295</v>
      </c>
      <c r="C196" s="2358" t="s">
        <v>2290</v>
      </c>
      <c r="D196" s="2359"/>
      <c r="E196" s="2757">
        <f>'7. IRAdata'!D132</f>
        <v>10000</v>
      </c>
      <c r="F196" s="2758">
        <f>'7. IRAdata'!E132</f>
        <v>3.7999999999999999E-2</v>
      </c>
      <c r="G196" s="2360">
        <f>'1. AgeData'!$E$50*H196+'1. AgeData'!$E$51*I196</f>
        <v>3.4000000000000002E-2</v>
      </c>
      <c r="H196" s="2293">
        <f>'7. IRAdata'!$G132</f>
        <v>0.6</v>
      </c>
      <c r="I196" s="2741">
        <f>100%-H196</f>
        <v>0.4</v>
      </c>
      <c r="L196" s="2753"/>
    </row>
    <row r="197" spans="1:18" ht="15.75" thickBot="1" x14ac:dyDescent="0.3">
      <c r="A197" s="2841" t="s">
        <v>398</v>
      </c>
      <c r="B197" s="2835" t="s">
        <v>2295</v>
      </c>
      <c r="C197" s="2743" t="s">
        <v>2293</v>
      </c>
      <c r="D197" s="2744"/>
      <c r="E197" s="2759">
        <f>'7. IRAdata'!D133</f>
        <v>6000</v>
      </c>
      <c r="F197" s="2760">
        <f>'7. IRAdata'!E133</f>
        <v>3.2000000000000001E-2</v>
      </c>
      <c r="G197" s="2275">
        <f>'1. AgeData'!$E$50*H197+'1. AgeData'!$E$51*I197</f>
        <v>2.8499999999999998E-2</v>
      </c>
      <c r="H197" s="2761">
        <f>'7. IRAdata'!$G133</f>
        <v>0.4</v>
      </c>
      <c r="I197" s="2745">
        <f>100%-H197</f>
        <v>0.6</v>
      </c>
      <c r="L197" s="2753"/>
    </row>
    <row r="198" spans="1:18" ht="16.5" thickTop="1" thickBot="1" x14ac:dyDescent="0.3">
      <c r="A198" s="2889"/>
      <c r="B198" s="2835"/>
      <c r="C198" s="2715"/>
      <c r="D198" s="2716"/>
      <c r="E198" s="2717"/>
      <c r="F198" s="2717"/>
      <c r="G198" s="2718"/>
      <c r="H198" s="2717"/>
      <c r="I198" s="2742"/>
      <c r="L198" s="2753"/>
    </row>
    <row r="199" spans="1:18" ht="53.25" thickTop="1" thickBot="1" x14ac:dyDescent="0.3">
      <c r="A199" s="2841" t="s">
        <v>398</v>
      </c>
      <c r="B199" s="2835" t="s">
        <v>2295</v>
      </c>
      <c r="C199" s="2702" t="s">
        <v>1844</v>
      </c>
      <c r="D199" s="2703"/>
      <c r="E199" s="2704" t="s">
        <v>1789</v>
      </c>
      <c r="F199" s="2705" t="s">
        <v>2824</v>
      </c>
      <c r="G199" s="2722" t="s">
        <v>2208</v>
      </c>
      <c r="H199" s="2707" t="s">
        <v>2209</v>
      </c>
      <c r="I199" s="2733" t="s">
        <v>2210</v>
      </c>
      <c r="L199" s="2753"/>
    </row>
    <row r="200" spans="1:18" ht="15.75" thickTop="1" x14ac:dyDescent="0.25">
      <c r="A200" s="2841" t="s">
        <v>398</v>
      </c>
      <c r="B200" s="2835" t="s">
        <v>2295</v>
      </c>
      <c r="C200" s="2711" t="s">
        <v>2825</v>
      </c>
      <c r="D200" s="2359"/>
      <c r="E200" s="2762">
        <f>'7. IRAdata'!D137</f>
        <v>90000</v>
      </c>
      <c r="F200" s="2763">
        <f>'7. IRAdata'!E137</f>
        <v>3.5900000000000001E-2</v>
      </c>
      <c r="G200" s="2250">
        <f>'1. AgeData'!$E$50*H200+'1. AgeData'!$E$51*I200</f>
        <v>3.2074999999999999E-2</v>
      </c>
      <c r="H200" s="2756">
        <v>0.53</v>
      </c>
      <c r="I200" s="2740">
        <f>100%-H200</f>
        <v>0.47</v>
      </c>
      <c r="L200" s="2753"/>
    </row>
    <row r="201" spans="1:18" x14ac:dyDescent="0.25">
      <c r="A201" s="2841" t="s">
        <v>398</v>
      </c>
      <c r="B201" s="2835" t="s">
        <v>2295</v>
      </c>
      <c r="C201" s="2358" t="s">
        <v>2290</v>
      </c>
      <c r="D201" s="2359"/>
      <c r="E201" s="2762">
        <f>'7. IRAdata'!D138</f>
        <v>8000</v>
      </c>
      <c r="F201" s="2764">
        <f>'7. IRAdata'!E138</f>
        <v>3.95E-2</v>
      </c>
      <c r="G201" s="2360">
        <f>'1. AgeData'!$E$50*H201+'1. AgeData'!$E$51*I201</f>
        <v>3.5374999999999997E-2</v>
      </c>
      <c r="H201" s="2765">
        <v>0.65</v>
      </c>
      <c r="I201" s="2741">
        <f>100%-H201</f>
        <v>0.35</v>
      </c>
      <c r="L201" s="2753"/>
    </row>
    <row r="202" spans="1:18" ht="15.75" thickBot="1" x14ac:dyDescent="0.3">
      <c r="A202" s="2841" t="s">
        <v>398</v>
      </c>
      <c r="B202" s="2835" t="s">
        <v>2295</v>
      </c>
      <c r="C202" s="2743" t="s">
        <v>2293</v>
      </c>
      <c r="D202" s="2744"/>
      <c r="E202" s="2766">
        <f>'7. IRAdata'!D139</f>
        <v>12000</v>
      </c>
      <c r="F202" s="2767">
        <f>'7. IRAdata'!E139</f>
        <v>3.3500000000000002E-2</v>
      </c>
      <c r="G202" s="2275">
        <f>'1. AgeData'!$E$50*H202+'1. AgeData'!$E$51*I202</f>
        <v>2.9875000000000002E-2</v>
      </c>
      <c r="H202" s="2768">
        <v>0.45</v>
      </c>
      <c r="I202" s="2745">
        <f>100%-H202</f>
        <v>0.55000000000000004</v>
      </c>
      <c r="L202" s="2753"/>
    </row>
    <row r="203" spans="1:18" s="2819" customFormat="1" ht="16.5" thickTop="1" thickBot="1" x14ac:dyDescent="0.3">
      <c r="A203" s="2889"/>
      <c r="B203" s="2855"/>
      <c r="C203" s="2791"/>
      <c r="D203" s="2792"/>
      <c r="E203" s="2792"/>
      <c r="F203" s="2793"/>
      <c r="G203" s="2793"/>
      <c r="H203" s="2793"/>
      <c r="I203" s="2793"/>
      <c r="J203" s="2793"/>
      <c r="K203" s="2794"/>
      <c r="L203" s="2729"/>
      <c r="P203" s="1671"/>
      <c r="Q203" s="1671"/>
      <c r="R203" s="1671"/>
    </row>
    <row r="204" spans="1:18" ht="66" thickTop="1" thickBot="1" x14ac:dyDescent="0.3">
      <c r="A204" s="2841" t="s">
        <v>398</v>
      </c>
      <c r="B204" s="2835" t="s">
        <v>2296</v>
      </c>
      <c r="C204" s="2702" t="s">
        <v>1843</v>
      </c>
      <c r="D204" s="2703"/>
      <c r="E204" s="2704" t="s">
        <v>1852</v>
      </c>
      <c r="F204" s="2705" t="s">
        <v>1854</v>
      </c>
      <c r="G204" s="2705" t="s">
        <v>1855</v>
      </c>
      <c r="H204" s="2705" t="s">
        <v>1856</v>
      </c>
      <c r="I204" s="2771" t="s">
        <v>1865</v>
      </c>
      <c r="J204" s="2731" t="s">
        <v>1860</v>
      </c>
      <c r="K204" s="2731" t="s">
        <v>1861</v>
      </c>
      <c r="L204" s="2733" t="s">
        <v>2239</v>
      </c>
    </row>
    <row r="205" spans="1:18" ht="15.75" thickTop="1" x14ac:dyDescent="0.25">
      <c r="A205" s="2841" t="s">
        <v>398</v>
      </c>
      <c r="B205" s="2835" t="s">
        <v>2296</v>
      </c>
      <c r="C205" s="2711" t="s">
        <v>2825</v>
      </c>
      <c r="D205" s="2712"/>
      <c r="E205" s="2772">
        <f>'7. IRAdata'!$D$180</f>
        <v>6200</v>
      </c>
      <c r="F205" s="2227">
        <f>'7. IRAdata'!$E$180</f>
        <v>6.6129032258064515E-3</v>
      </c>
      <c r="G205" s="2773">
        <f>'7. IRAdata'!$F$180</f>
        <v>40.806451612903224</v>
      </c>
      <c r="H205" s="2773">
        <f>'7. IRAdata'!$G$180</f>
        <v>44.306451612903224</v>
      </c>
      <c r="I205" s="2798">
        <f>'7. IRAdata'!$H180</f>
        <v>8.0645161290322581E-4</v>
      </c>
      <c r="J205" s="2774">
        <f>'7. IRAdata'!$I180</f>
        <v>10.483870967741936</v>
      </c>
      <c r="K205" s="2775">
        <f>'7. IRAdata'!$J180</f>
        <v>47.41935483870968</v>
      </c>
      <c r="L205" s="2776">
        <f>'7. IRAdata'!$K180</f>
        <v>70</v>
      </c>
    </row>
    <row r="206" spans="1:18" x14ac:dyDescent="0.25">
      <c r="A206" s="2841" t="s">
        <v>398</v>
      </c>
      <c r="B206" s="2835" t="s">
        <v>2296</v>
      </c>
      <c r="C206" s="2358" t="s">
        <v>2291</v>
      </c>
      <c r="D206" s="2359"/>
      <c r="E206" s="2367" t="s">
        <v>1791</v>
      </c>
      <c r="F206" s="2368" t="s">
        <v>1791</v>
      </c>
      <c r="G206" s="2368" t="s">
        <v>1791</v>
      </c>
      <c r="H206" s="2796" t="s">
        <v>1791</v>
      </c>
      <c r="I206" s="2799">
        <f>'7. IRAdata'!$H181</f>
        <v>1.8499999999999999E-2</v>
      </c>
      <c r="J206" s="2777">
        <f>'7. IRAdata'!$I181</f>
        <v>62</v>
      </c>
      <c r="K206" s="2778">
        <f>'7. IRAdata'!$J181</f>
        <v>64</v>
      </c>
      <c r="L206" s="2779">
        <f>'7. IRAdata'!$K181</f>
        <v>71</v>
      </c>
    </row>
    <row r="207" spans="1:18" ht="15.75" thickBot="1" x14ac:dyDescent="0.3">
      <c r="A207" s="2841" t="s">
        <v>398</v>
      </c>
      <c r="B207" s="2835" t="s">
        <v>2296</v>
      </c>
      <c r="C207" s="2743" t="s">
        <v>2293</v>
      </c>
      <c r="D207" s="2744"/>
      <c r="E207" s="2749" t="s">
        <v>1791</v>
      </c>
      <c r="F207" s="2750" t="s">
        <v>1791</v>
      </c>
      <c r="G207" s="2750" t="s">
        <v>1791</v>
      </c>
      <c r="H207" s="2797" t="s">
        <v>1791</v>
      </c>
      <c r="I207" s="2800">
        <f>'7. IRAdata'!$H182</f>
        <v>1.7999999999999999E-2</v>
      </c>
      <c r="J207" s="2780">
        <f>'7. IRAdata'!$I182</f>
        <v>63</v>
      </c>
      <c r="K207" s="2781">
        <f>'7. IRAdata'!$J182</f>
        <v>67</v>
      </c>
      <c r="L207" s="2782">
        <f>'7. IRAdata'!$K182</f>
        <v>72</v>
      </c>
    </row>
    <row r="208" spans="1:18" ht="16.5" thickTop="1" thickBot="1" x14ac:dyDescent="0.3">
      <c r="A208" s="2889"/>
      <c r="B208" s="2855"/>
      <c r="C208" s="2715"/>
      <c r="D208" s="2716"/>
      <c r="E208" s="2717"/>
      <c r="F208" s="2717"/>
      <c r="G208" s="2725"/>
      <c r="H208" s="2725"/>
      <c r="I208" s="2726"/>
      <c r="J208" s="2751"/>
      <c r="K208" s="2751"/>
      <c r="L208" s="2752"/>
    </row>
    <row r="209" spans="1:18" ht="66" thickTop="1" thickBot="1" x14ac:dyDescent="0.3">
      <c r="A209" s="2841" t="s">
        <v>398</v>
      </c>
      <c r="B209" s="2835" t="s">
        <v>2296</v>
      </c>
      <c r="C209" s="2702" t="s">
        <v>1844</v>
      </c>
      <c r="D209" s="2703"/>
      <c r="E209" s="2704" t="s">
        <v>1853</v>
      </c>
      <c r="F209" s="2705" t="s">
        <v>1859</v>
      </c>
      <c r="G209" s="2705" t="s">
        <v>1858</v>
      </c>
      <c r="H209" s="2705" t="s">
        <v>1857</v>
      </c>
      <c r="I209" s="2730" t="s">
        <v>1866</v>
      </c>
      <c r="J209" s="2731" t="s">
        <v>1867</v>
      </c>
      <c r="K209" s="2732" t="s">
        <v>1868</v>
      </c>
      <c r="L209" s="2733" t="s">
        <v>2240</v>
      </c>
    </row>
    <row r="210" spans="1:18" ht="15.75" thickTop="1" x14ac:dyDescent="0.25">
      <c r="A210" s="2841" t="s">
        <v>398</v>
      </c>
      <c r="B210" s="2835" t="s">
        <v>2296</v>
      </c>
      <c r="C210" s="2711" t="s">
        <v>2825</v>
      </c>
      <c r="D210" s="2359"/>
      <c r="E210" s="2772">
        <f>'7. IRAdata'!D186</f>
        <v>2500</v>
      </c>
      <c r="F210" s="2227">
        <f>'7. IRAdata'!E186</f>
        <v>0.01</v>
      </c>
      <c r="G210" s="2784">
        <f>'7. IRAdata'!F186</f>
        <v>55</v>
      </c>
      <c r="H210" s="2784">
        <f>'7. IRAdata'!G186</f>
        <v>64</v>
      </c>
      <c r="I210" s="2801">
        <f>'7. IRAdata'!H186</f>
        <v>0.04</v>
      </c>
      <c r="J210" s="2785">
        <f>'7. IRAdata'!I186</f>
        <v>60</v>
      </c>
      <c r="K210" s="2785">
        <f>'7. IRAdata'!J186</f>
        <v>63</v>
      </c>
      <c r="L210" s="2786">
        <f>'7. IRAdata'!K186</f>
        <v>70</v>
      </c>
    </row>
    <row r="211" spans="1:18" x14ac:dyDescent="0.25">
      <c r="A211" s="2841" t="s">
        <v>398</v>
      </c>
      <c r="B211" s="2835" t="s">
        <v>2296</v>
      </c>
      <c r="C211" s="2358" t="s">
        <v>2291</v>
      </c>
      <c r="D211" s="2359"/>
      <c r="E211" s="2367" t="s">
        <v>1791</v>
      </c>
      <c r="F211" s="2368" t="s">
        <v>1791</v>
      </c>
      <c r="G211" s="2368" t="s">
        <v>1791</v>
      </c>
      <c r="H211" s="2796" t="s">
        <v>1791</v>
      </c>
      <c r="I211" s="2802">
        <f>'7. IRAdata'!H187</f>
        <v>1.8499999999999999E-2</v>
      </c>
      <c r="J211" s="2784">
        <f>'7. IRAdata'!I187</f>
        <v>58</v>
      </c>
      <c r="K211" s="2784">
        <f>'7. IRAdata'!J187</f>
        <v>63</v>
      </c>
      <c r="L211" s="2787">
        <f>'7. IRAdata'!K187</f>
        <v>58</v>
      </c>
    </row>
    <row r="212" spans="1:18" ht="15.75" thickBot="1" x14ac:dyDescent="0.3">
      <c r="A212" s="2841" t="s">
        <v>398</v>
      </c>
      <c r="B212" s="2835" t="s">
        <v>2296</v>
      </c>
      <c r="C212" s="2743" t="s">
        <v>2293</v>
      </c>
      <c r="D212" s="2744"/>
      <c r="E212" s="2749" t="s">
        <v>1791</v>
      </c>
      <c r="F212" s="2750" t="s">
        <v>1791</v>
      </c>
      <c r="G212" s="2750" t="s">
        <v>1791</v>
      </c>
      <c r="H212" s="2797" t="s">
        <v>1791</v>
      </c>
      <c r="I212" s="2803">
        <f>'7. IRAdata'!H188</f>
        <v>1.7999999999999999E-2</v>
      </c>
      <c r="J212" s="2788">
        <f>'7. IRAdata'!I188</f>
        <v>59</v>
      </c>
      <c r="K212" s="2788">
        <f>'7. IRAdata'!J188</f>
        <v>65</v>
      </c>
      <c r="L212" s="2789">
        <f>'7. IRAdata'!K188</f>
        <v>59</v>
      </c>
    </row>
    <row r="213" spans="1:18" ht="16.5" thickTop="1" thickBot="1" x14ac:dyDescent="0.3">
      <c r="A213" s="2966"/>
      <c r="B213" s="2157"/>
      <c r="C213" s="2157"/>
      <c r="D213" s="2157"/>
      <c r="E213" s="2157"/>
      <c r="F213" s="2157"/>
      <c r="G213" s="2157"/>
      <c r="H213" s="2157"/>
      <c r="I213" s="2157"/>
      <c r="J213" s="2157"/>
      <c r="K213" s="2157"/>
      <c r="L213" s="2783"/>
    </row>
    <row r="214" spans="1:18" ht="15.75" thickTop="1" x14ac:dyDescent="0.25">
      <c r="A214" s="1727"/>
      <c r="B214" s="1727"/>
      <c r="C214" s="1727"/>
      <c r="D214" s="1727"/>
      <c r="E214" s="1727"/>
      <c r="F214" s="1727"/>
      <c r="G214" s="1727"/>
      <c r="H214" s="1727"/>
      <c r="I214" s="1727"/>
      <c r="J214" s="1727"/>
      <c r="K214" s="1727"/>
      <c r="L214" s="1727"/>
    </row>
    <row r="215" spans="1:18" ht="15.75" thickBot="1" x14ac:dyDescent="0.3"/>
    <row r="216" spans="1:18" ht="20.25" thickTop="1" thickBot="1" x14ac:dyDescent="0.35">
      <c r="A216" s="2967" t="s">
        <v>862</v>
      </c>
      <c r="B216" s="2968"/>
      <c r="C216" s="2968"/>
      <c r="D216" s="2968"/>
      <c r="E216" s="2968"/>
      <c r="F216" s="2968"/>
      <c r="G216" s="2968"/>
      <c r="H216" s="2968"/>
      <c r="I216" s="2968"/>
      <c r="J216" s="2968"/>
      <c r="K216" s="2968"/>
      <c r="L216" s="2969"/>
    </row>
    <row r="217" spans="1:18" ht="16.5" thickBot="1" x14ac:dyDescent="0.3">
      <c r="A217" s="2893" t="s">
        <v>890</v>
      </c>
      <c r="B217" s="1480" t="s">
        <v>1100</v>
      </c>
      <c r="C217" s="2894"/>
      <c r="D217" s="2895" t="s">
        <v>918</v>
      </c>
      <c r="E217" s="2894"/>
      <c r="F217" s="2896" t="str">
        <f>'8. RothData'!B9</f>
        <v>You MUST edit this worksheet</v>
      </c>
      <c r="G217" s="2894"/>
      <c r="H217" s="2894"/>
      <c r="I217" s="2894"/>
      <c r="J217" s="2894"/>
      <c r="K217" s="2894"/>
      <c r="L217" s="2897"/>
    </row>
    <row r="218" spans="1:18" ht="31.5" thickTop="1" thickBot="1" x14ac:dyDescent="0.3">
      <c r="A218" s="2830" t="s">
        <v>841</v>
      </c>
      <c r="B218" s="2831" t="s">
        <v>840</v>
      </c>
      <c r="C218" s="2832" t="s">
        <v>2292</v>
      </c>
      <c r="D218" s="2831"/>
      <c r="E218" s="2831"/>
      <c r="F218" s="2831"/>
      <c r="G218" s="2831"/>
      <c r="H218" s="2831" t="s">
        <v>715</v>
      </c>
      <c r="I218" s="2831"/>
      <c r="J218" s="2970" t="s">
        <v>842</v>
      </c>
      <c r="K218" s="2971"/>
      <c r="L218" s="2833"/>
    </row>
    <row r="219" spans="1:18" ht="53.25" thickTop="1" thickBot="1" x14ac:dyDescent="0.3">
      <c r="A219" s="2834" t="s">
        <v>672</v>
      </c>
      <c r="B219" s="2835" t="s">
        <v>2294</v>
      </c>
      <c r="C219" s="2702" t="s">
        <v>1843</v>
      </c>
      <c r="D219" s="2704" t="s">
        <v>1945</v>
      </c>
      <c r="E219" s="2705" t="s">
        <v>2823</v>
      </c>
      <c r="F219" s="2706" t="s">
        <v>1947</v>
      </c>
      <c r="G219" s="2707" t="s">
        <v>1948</v>
      </c>
      <c r="H219" s="2707" t="s">
        <v>1949</v>
      </c>
      <c r="I219" s="2972"/>
      <c r="J219" s="2762"/>
      <c r="L219" s="2753"/>
      <c r="N219" s="2819"/>
      <c r="O219" s="2819"/>
      <c r="P219" s="2819"/>
      <c r="Q219" s="2819"/>
      <c r="R219" s="2819"/>
    </row>
    <row r="220" spans="1:18" ht="15.75" thickTop="1" x14ac:dyDescent="0.25">
      <c r="A220" s="2841" t="s">
        <v>672</v>
      </c>
      <c r="B220" s="2835" t="s">
        <v>2294</v>
      </c>
      <c r="C220" s="2358" t="s">
        <v>353</v>
      </c>
      <c r="D220" s="2754">
        <f>'8. RothData'!D92</f>
        <v>16000</v>
      </c>
      <c r="E220" s="2973">
        <f>'8. RothData'!E92</f>
        <v>3.5999999999999997E-2</v>
      </c>
      <c r="F220" s="2250">
        <f>'8. RothData'!F92</f>
        <v>3.1800000000000002E-2</v>
      </c>
      <c r="G220" s="2756">
        <f>'8. RothData'!G92</f>
        <v>0.52</v>
      </c>
      <c r="H220" s="2740">
        <f>'8. RothData'!H92</f>
        <v>0.48</v>
      </c>
      <c r="I220" s="2790"/>
      <c r="J220" s="2762"/>
      <c r="L220" s="2753"/>
      <c r="N220" s="2819"/>
      <c r="O220" s="2819"/>
      <c r="P220" s="2819"/>
      <c r="Q220" s="2819"/>
      <c r="R220" s="2819"/>
    </row>
    <row r="221" spans="1:18" x14ac:dyDescent="0.25">
      <c r="A221" s="2841" t="s">
        <v>672</v>
      </c>
      <c r="B221" s="2835" t="s">
        <v>2294</v>
      </c>
      <c r="C221" s="2358" t="s">
        <v>1880</v>
      </c>
      <c r="D221" s="2757">
        <f>'8. RothData'!D93</f>
        <v>4000</v>
      </c>
      <c r="E221" s="2227">
        <f>'8. RothData'!E93</f>
        <v>3.7699999999999997E-2</v>
      </c>
      <c r="F221" s="2360">
        <f>'8. RothData'!F93</f>
        <v>3.3724999999999998E-2</v>
      </c>
      <c r="G221" s="2293">
        <f>'8. RothData'!G93</f>
        <v>0.59</v>
      </c>
      <c r="H221" s="2741">
        <f>'8. RothData'!H93</f>
        <v>0.41000000000000003</v>
      </c>
      <c r="I221" s="2974"/>
      <c r="J221" s="2227"/>
      <c r="L221" s="2753"/>
      <c r="N221" s="2819"/>
      <c r="O221" s="2819"/>
      <c r="P221" s="2819"/>
      <c r="Q221" s="2819"/>
      <c r="R221" s="2819"/>
    </row>
    <row r="222" spans="1:18" x14ac:dyDescent="0.25">
      <c r="A222" s="2841" t="s">
        <v>672</v>
      </c>
      <c r="B222" s="2835" t="s">
        <v>2294</v>
      </c>
      <c r="C222" s="2358" t="s">
        <v>1881</v>
      </c>
      <c r="D222" s="2757">
        <f>'8. RothData'!D94</f>
        <v>2000</v>
      </c>
      <c r="E222" s="2227">
        <f>'8. RothData'!E94</f>
        <v>3.1699999999999999E-2</v>
      </c>
      <c r="F222" s="2360">
        <f>'8. RothData'!F94</f>
        <v>2.8225E-2</v>
      </c>
      <c r="G222" s="2293">
        <f>'8. RothData'!G94</f>
        <v>0.39</v>
      </c>
      <c r="H222" s="2741">
        <f>'8. RothData'!H94</f>
        <v>0.61</v>
      </c>
      <c r="I222" s="2974"/>
      <c r="J222" s="2227"/>
      <c r="L222" s="2753"/>
      <c r="N222" s="2819"/>
      <c r="O222" s="2819"/>
      <c r="P222" s="2819"/>
      <c r="Q222" s="2819"/>
      <c r="R222" s="2819"/>
    </row>
    <row r="223" spans="1:18" ht="15.75" thickBot="1" x14ac:dyDescent="0.3">
      <c r="A223" s="2841" t="s">
        <v>672</v>
      </c>
      <c r="B223" s="2835" t="s">
        <v>2294</v>
      </c>
      <c r="C223" s="2273" t="s">
        <v>1795</v>
      </c>
      <c r="D223" s="2759">
        <f>'8. RothData'!D95</f>
        <v>17000</v>
      </c>
      <c r="E223" s="2975">
        <f>'8. RothData'!E95</f>
        <v>3.5499999999999997E-2</v>
      </c>
      <c r="F223" s="2275">
        <f>'8. RothData'!F95</f>
        <v>3.125E-2</v>
      </c>
      <c r="G223" s="2761">
        <f>'8. RothData'!G95</f>
        <v>0.5</v>
      </c>
      <c r="H223" s="2745">
        <f>'8. RothData'!H95</f>
        <v>0.5</v>
      </c>
      <c r="I223" s="2790"/>
      <c r="J223" s="2976"/>
      <c r="L223" s="2753"/>
      <c r="N223" s="2819"/>
      <c r="O223" s="2819"/>
      <c r="P223" s="2819"/>
      <c r="Q223" s="2819"/>
      <c r="R223" s="2819"/>
    </row>
    <row r="224" spans="1:18" s="2819" customFormat="1" ht="16.5" thickTop="1" thickBot="1" x14ac:dyDescent="0.3">
      <c r="A224" s="2889"/>
      <c r="B224" s="2793"/>
      <c r="C224" s="2715"/>
      <c r="D224" s="2717"/>
      <c r="E224" s="2717"/>
      <c r="F224" s="2717"/>
      <c r="G224" s="2726"/>
      <c r="H224" s="2977"/>
      <c r="I224" s="2978"/>
      <c r="J224" s="2227"/>
      <c r="L224" s="2729"/>
    </row>
    <row r="225" spans="1:12" s="2819" customFormat="1" ht="53.25" thickTop="1" thickBot="1" x14ac:dyDescent="0.3">
      <c r="A225" s="2841" t="s">
        <v>672</v>
      </c>
      <c r="B225" s="2835" t="s">
        <v>2294</v>
      </c>
      <c r="C225" s="2702" t="s">
        <v>1844</v>
      </c>
      <c r="D225" s="2704" t="s">
        <v>1946</v>
      </c>
      <c r="E225" s="2705" t="s">
        <v>2824</v>
      </c>
      <c r="F225" s="2706" t="s">
        <v>2208</v>
      </c>
      <c r="G225" s="2979" t="s">
        <v>2211</v>
      </c>
      <c r="H225" s="2979" t="s">
        <v>2212</v>
      </c>
      <c r="I225" s="2972"/>
      <c r="J225" s="2227"/>
      <c r="L225" s="2729"/>
    </row>
    <row r="226" spans="1:12" s="2819" customFormat="1" ht="15.75" thickTop="1" x14ac:dyDescent="0.25">
      <c r="A226" s="2841" t="s">
        <v>672</v>
      </c>
      <c r="B226" s="2835" t="s">
        <v>2294</v>
      </c>
      <c r="C226" s="2358" t="s">
        <v>353</v>
      </c>
      <c r="D226" s="2754">
        <f>'8. RothData'!D98</f>
        <v>11000</v>
      </c>
      <c r="E226" s="2973">
        <f>'8. RothData'!E98</f>
        <v>3.6200000000000003E-2</v>
      </c>
      <c r="F226" s="2250">
        <f>'8. RothData'!F98</f>
        <v>3.2074999999999999E-2</v>
      </c>
      <c r="G226" s="2756">
        <f>'8. RothData'!G98</f>
        <v>0.53</v>
      </c>
      <c r="H226" s="2740">
        <f>'8. RothData'!H98</f>
        <v>0.47</v>
      </c>
      <c r="I226" s="2790"/>
      <c r="J226" s="2293"/>
      <c r="L226" s="2729"/>
    </row>
    <row r="227" spans="1:12" s="2819" customFormat="1" x14ac:dyDescent="0.25">
      <c r="A227" s="2841" t="s">
        <v>672</v>
      </c>
      <c r="B227" s="2835" t="s">
        <v>2294</v>
      </c>
      <c r="C227" s="2358" t="s">
        <v>1880</v>
      </c>
      <c r="D227" s="2757">
        <f>'8. RothData'!D99</f>
        <v>3000</v>
      </c>
      <c r="E227" s="2227">
        <f>'8. RothData'!E99</f>
        <v>3.95E-2</v>
      </c>
      <c r="F227" s="2360">
        <f>'8. RothData'!F99</f>
        <v>3.5374999999999997E-2</v>
      </c>
      <c r="G227" s="2293">
        <f>'8. RothData'!G99</f>
        <v>0.65</v>
      </c>
      <c r="H227" s="2741">
        <f>'8. RothData'!H99</f>
        <v>0.35</v>
      </c>
      <c r="I227" s="2974"/>
      <c r="J227" s="2293"/>
      <c r="L227" s="2729"/>
    </row>
    <row r="228" spans="1:12" s="2819" customFormat="1" x14ac:dyDescent="0.25">
      <c r="A228" s="2841" t="s">
        <v>672</v>
      </c>
      <c r="B228" s="2835" t="s">
        <v>2294</v>
      </c>
      <c r="C228" s="2358" t="s">
        <v>1881</v>
      </c>
      <c r="D228" s="2757">
        <f>'8. RothData'!D100</f>
        <v>4500</v>
      </c>
      <c r="E228" s="2227">
        <f>'8. RothData'!E100</f>
        <v>3.3500000000000002E-2</v>
      </c>
      <c r="F228" s="2360">
        <f>'8. RothData'!F100</f>
        <v>2.9875000000000002E-2</v>
      </c>
      <c r="G228" s="2293">
        <f>'8. RothData'!G100</f>
        <v>0.45</v>
      </c>
      <c r="H228" s="2741">
        <f>'8. RothData'!H100</f>
        <v>0.55000000000000004</v>
      </c>
      <c r="I228" s="2974"/>
      <c r="J228" s="2293"/>
      <c r="L228" s="2729"/>
    </row>
    <row r="229" spans="1:12" s="2819" customFormat="1" ht="15.75" thickBot="1" x14ac:dyDescent="0.3">
      <c r="A229" s="2841" t="s">
        <v>672</v>
      </c>
      <c r="B229" s="2835" t="s">
        <v>2294</v>
      </c>
      <c r="C229" s="2273" t="s">
        <v>1795</v>
      </c>
      <c r="D229" s="2759">
        <f>'8. RothData'!D101</f>
        <v>15000</v>
      </c>
      <c r="E229" s="2975">
        <f>'8. RothData'!E101</f>
        <v>2.1000000000000001E-2</v>
      </c>
      <c r="F229" s="2275">
        <f>'8. RothData'!F101</f>
        <v>1.7500000000000002E-2</v>
      </c>
      <c r="G229" s="2761">
        <f>'8. RothData'!G101</f>
        <v>0</v>
      </c>
      <c r="H229" s="2745">
        <f>'8. RothData'!H101</f>
        <v>1</v>
      </c>
      <c r="I229" s="2790"/>
      <c r="J229" s="2293"/>
      <c r="L229" s="2729"/>
    </row>
    <row r="230" spans="1:12" s="2819" customFormat="1" ht="16.5" thickTop="1" thickBot="1" x14ac:dyDescent="0.3">
      <c r="A230" s="2889"/>
      <c r="B230" s="2793"/>
      <c r="C230" s="2791"/>
      <c r="D230" s="2792"/>
      <c r="E230" s="2793"/>
      <c r="F230" s="2793"/>
      <c r="G230" s="2793"/>
      <c r="H230" s="2793"/>
      <c r="I230" s="2793"/>
      <c r="J230" s="2293"/>
      <c r="L230" s="2729"/>
    </row>
    <row r="231" spans="1:12" s="2819" customFormat="1" ht="66" thickTop="1" thickBot="1" x14ac:dyDescent="0.3">
      <c r="A231" s="2841" t="s">
        <v>672</v>
      </c>
      <c r="B231" s="2835" t="s">
        <v>2297</v>
      </c>
      <c r="C231" s="2702" t="s">
        <v>1843</v>
      </c>
      <c r="D231" s="2704" t="s">
        <v>1852</v>
      </c>
      <c r="E231" s="2705" t="s">
        <v>1854</v>
      </c>
      <c r="F231" s="2705" t="s">
        <v>1855</v>
      </c>
      <c r="G231" s="2705" t="s">
        <v>1856</v>
      </c>
      <c r="H231" s="2771" t="s">
        <v>1865</v>
      </c>
      <c r="I231" s="2731" t="s">
        <v>1860</v>
      </c>
      <c r="J231" s="2980" t="s">
        <v>1861</v>
      </c>
      <c r="L231" s="2729"/>
    </row>
    <row r="232" spans="1:12" s="2819" customFormat="1" ht="15.75" thickTop="1" x14ac:dyDescent="0.25">
      <c r="A232" s="2841" t="s">
        <v>672</v>
      </c>
      <c r="B232" s="2835" t="s">
        <v>2297</v>
      </c>
      <c r="C232" s="2289" t="s">
        <v>353</v>
      </c>
      <c r="D232" s="2981">
        <f>'8. RothData'!D115</f>
        <v>1000</v>
      </c>
      <c r="E232" s="2973">
        <f>'8. RothData'!E115</f>
        <v>0.01</v>
      </c>
      <c r="F232" s="2982">
        <f>'8. RothData'!F115</f>
        <v>61</v>
      </c>
      <c r="G232" s="2785">
        <f>'8. RothData'!G115</f>
        <v>64</v>
      </c>
      <c r="H232" s="2801">
        <f>'8. RothData'!H115</f>
        <v>0.02</v>
      </c>
      <c r="I232" s="2982">
        <f>'8. RothData'!I115</f>
        <v>75</v>
      </c>
      <c r="J232" s="2786">
        <f>'8. RothData'!J115</f>
        <v>85</v>
      </c>
      <c r="L232" s="2729"/>
    </row>
    <row r="233" spans="1:12" s="2819" customFormat="1" x14ac:dyDescent="0.25">
      <c r="A233" s="2841" t="s">
        <v>672</v>
      </c>
      <c r="B233" s="2835" t="s">
        <v>2297</v>
      </c>
      <c r="C233" s="2358" t="s">
        <v>1880</v>
      </c>
      <c r="D233" s="2367" t="s">
        <v>1791</v>
      </c>
      <c r="E233" s="2368" t="s">
        <v>1791</v>
      </c>
      <c r="F233" s="2795" t="s">
        <v>1791</v>
      </c>
      <c r="G233" s="2796" t="s">
        <v>1791</v>
      </c>
      <c r="H233" s="2802">
        <f>'8. RothData'!H116</f>
        <v>1.8499999999999999E-2</v>
      </c>
      <c r="I233" s="2983">
        <f>'8. RothData'!I116</f>
        <v>62</v>
      </c>
      <c r="J233" s="2787">
        <f>'8. RothData'!J116</f>
        <v>64</v>
      </c>
      <c r="L233" s="2729"/>
    </row>
    <row r="234" spans="1:12" s="2819" customFormat="1" x14ac:dyDescent="0.25">
      <c r="A234" s="2841" t="s">
        <v>672</v>
      </c>
      <c r="B234" s="2835" t="s">
        <v>2297</v>
      </c>
      <c r="C234" s="2358" t="s">
        <v>1881</v>
      </c>
      <c r="D234" s="2367" t="s">
        <v>1791</v>
      </c>
      <c r="E234" s="2368" t="s">
        <v>1791</v>
      </c>
      <c r="F234" s="2795" t="s">
        <v>1791</v>
      </c>
      <c r="G234" s="2796" t="s">
        <v>1791</v>
      </c>
      <c r="H234" s="2802">
        <f>'8. RothData'!H117</f>
        <v>1.7999999999999999E-2</v>
      </c>
      <c r="I234" s="2983">
        <f>'8. RothData'!I117</f>
        <v>63</v>
      </c>
      <c r="J234" s="2787">
        <f>'8. RothData'!J117</f>
        <v>67</v>
      </c>
      <c r="L234" s="2729"/>
    </row>
    <row r="235" spans="1:12" s="2819" customFormat="1" ht="15.75" thickBot="1" x14ac:dyDescent="0.3">
      <c r="A235" s="2841" t="s">
        <v>672</v>
      </c>
      <c r="B235" s="2835" t="s">
        <v>2297</v>
      </c>
      <c r="C235" s="2273" t="s">
        <v>1795</v>
      </c>
      <c r="D235" s="2984">
        <f>'8. RothData'!D118</f>
        <v>123</v>
      </c>
      <c r="E235" s="2975">
        <f>'8. RothData'!E118</f>
        <v>1.4999999999999999E-2</v>
      </c>
      <c r="F235" s="2985">
        <f>'8. RothData'!F118</f>
        <v>60</v>
      </c>
      <c r="G235" s="2788">
        <f>'8. RothData'!G118</f>
        <v>64</v>
      </c>
      <c r="H235" s="2803">
        <f>'8. RothData'!H118</f>
        <v>2.1000000000000001E-2</v>
      </c>
      <c r="I235" s="2985">
        <f>'8. RothData'!I118</f>
        <v>65</v>
      </c>
      <c r="J235" s="2789">
        <f>'8. RothData'!J118</f>
        <v>69</v>
      </c>
      <c r="L235" s="2729"/>
    </row>
    <row r="236" spans="1:12" s="2819" customFormat="1" ht="16.5" thickTop="1" thickBot="1" x14ac:dyDescent="0.3">
      <c r="A236" s="2889"/>
      <c r="B236" s="2793"/>
      <c r="C236" s="2715"/>
      <c r="D236" s="2717"/>
      <c r="E236" s="2717"/>
      <c r="F236" s="2725"/>
      <c r="G236" s="2725"/>
      <c r="H236" s="2726"/>
      <c r="I236" s="2751"/>
      <c r="J236" s="2986"/>
      <c r="L236" s="2729"/>
    </row>
    <row r="237" spans="1:12" s="2819" customFormat="1" ht="66" thickTop="1" thickBot="1" x14ac:dyDescent="0.3">
      <c r="A237" s="2841" t="s">
        <v>672</v>
      </c>
      <c r="B237" s="2835" t="s">
        <v>2297</v>
      </c>
      <c r="C237" s="2702" t="s">
        <v>1844</v>
      </c>
      <c r="D237" s="2704" t="s">
        <v>1853</v>
      </c>
      <c r="E237" s="2705" t="s">
        <v>1859</v>
      </c>
      <c r="F237" s="2705" t="s">
        <v>1858</v>
      </c>
      <c r="G237" s="2705" t="s">
        <v>1857</v>
      </c>
      <c r="H237" s="2730" t="s">
        <v>1866</v>
      </c>
      <c r="I237" s="2731" t="s">
        <v>1867</v>
      </c>
      <c r="J237" s="2987" t="s">
        <v>1868</v>
      </c>
      <c r="L237" s="2729"/>
    </row>
    <row r="238" spans="1:12" s="2819" customFormat="1" ht="15.75" thickTop="1" x14ac:dyDescent="0.25">
      <c r="A238" s="2841" t="s">
        <v>672</v>
      </c>
      <c r="B238" s="2835" t="s">
        <v>2297</v>
      </c>
      <c r="C238" s="2289" t="s">
        <v>353</v>
      </c>
      <c r="D238" s="2981">
        <f>'8. RothData'!D121</f>
        <v>2000</v>
      </c>
      <c r="E238" s="2973">
        <f>'8. RothData'!E121</f>
        <v>5.0000000000000001E-3</v>
      </c>
      <c r="F238" s="2982">
        <f>'8. RothData'!F121</f>
        <v>56</v>
      </c>
      <c r="G238" s="2785">
        <f>'8. RothData'!G121</f>
        <v>58</v>
      </c>
      <c r="H238" s="2801">
        <f>'8. RothData'!H121</f>
        <v>0.02</v>
      </c>
      <c r="I238" s="2982">
        <f>'8. RothData'!I121</f>
        <v>72</v>
      </c>
      <c r="J238" s="2786">
        <f>'8. RothData'!J121</f>
        <v>75</v>
      </c>
      <c r="L238" s="2729"/>
    </row>
    <row r="239" spans="1:12" s="2819" customFormat="1" x14ac:dyDescent="0.25">
      <c r="A239" s="2841" t="s">
        <v>672</v>
      </c>
      <c r="B239" s="2835" t="s">
        <v>2297</v>
      </c>
      <c r="C239" s="2358" t="s">
        <v>1880</v>
      </c>
      <c r="D239" s="2367" t="s">
        <v>1791</v>
      </c>
      <c r="E239" s="2368" t="s">
        <v>1791</v>
      </c>
      <c r="F239" s="2795" t="s">
        <v>1791</v>
      </c>
      <c r="G239" s="2796" t="s">
        <v>1791</v>
      </c>
      <c r="H239" s="2988">
        <v>1.8499999999999999E-2</v>
      </c>
      <c r="I239" s="2989">
        <v>58</v>
      </c>
      <c r="J239" s="2990">
        <f>I239+5</f>
        <v>63</v>
      </c>
      <c r="L239" s="2729"/>
    </row>
    <row r="240" spans="1:12" s="2819" customFormat="1" x14ac:dyDescent="0.25">
      <c r="A240" s="2841" t="s">
        <v>672</v>
      </c>
      <c r="B240" s="2835" t="s">
        <v>2297</v>
      </c>
      <c r="C240" s="2358" t="s">
        <v>1881</v>
      </c>
      <c r="D240" s="2367" t="s">
        <v>1791</v>
      </c>
      <c r="E240" s="2368" t="s">
        <v>1791</v>
      </c>
      <c r="F240" s="2795" t="s">
        <v>1791</v>
      </c>
      <c r="G240" s="2796" t="s">
        <v>1791</v>
      </c>
      <c r="H240" s="2988">
        <v>1.7999999999999999E-2</v>
      </c>
      <c r="I240" s="2989">
        <v>59</v>
      </c>
      <c r="J240" s="2990">
        <f>'1. AgeData'!$I$31</f>
        <v>87</v>
      </c>
      <c r="L240" s="2729"/>
    </row>
    <row r="241" spans="1:12" s="2819" customFormat="1" ht="15.75" thickBot="1" x14ac:dyDescent="0.3">
      <c r="A241" s="2841" t="s">
        <v>672</v>
      </c>
      <c r="B241" s="2835" t="s">
        <v>2297</v>
      </c>
      <c r="C241" s="2991" t="s">
        <v>1795</v>
      </c>
      <c r="D241" s="2759">
        <v>2500</v>
      </c>
      <c r="E241" s="2975">
        <v>1.6E-2</v>
      </c>
      <c r="F241" s="2992">
        <v>55</v>
      </c>
      <c r="G241" s="2993">
        <v>62</v>
      </c>
      <c r="H241" s="2994">
        <v>1.7000000000000001E-2</v>
      </c>
      <c r="I241" s="2992">
        <v>64</v>
      </c>
      <c r="J241" s="2995">
        <v>69</v>
      </c>
      <c r="L241" s="2729"/>
    </row>
    <row r="242" spans="1:12" s="2819" customFormat="1" ht="16.5" thickTop="1" thickBot="1" x14ac:dyDescent="0.3">
      <c r="A242" s="2996"/>
      <c r="B242" s="2961"/>
      <c r="C242" s="2997"/>
      <c r="D242" s="2891"/>
      <c r="E242" s="2891"/>
      <c r="F242" s="2891"/>
      <c r="G242" s="2891"/>
      <c r="H242" s="2891"/>
      <c r="I242" s="2891"/>
      <c r="J242" s="2891"/>
      <c r="K242" s="2998"/>
      <c r="L242" s="2999"/>
    </row>
    <row r="243" spans="1:12" ht="15.75" thickTop="1" x14ac:dyDescent="0.25">
      <c r="C243" s="2959"/>
      <c r="D243" s="1727"/>
    </row>
    <row r="244" spans="1:12" ht="15.75" thickBot="1" x14ac:dyDescent="0.3">
      <c r="C244" s="2959"/>
      <c r="D244" s="1727"/>
    </row>
    <row r="245" spans="1:12" ht="20.25" thickTop="1" thickBot="1" x14ac:dyDescent="0.35">
      <c r="A245" s="3000" t="s">
        <v>118</v>
      </c>
      <c r="B245" s="2867"/>
      <c r="C245" s="3001"/>
      <c r="D245" s="2867"/>
      <c r="E245" s="2867"/>
      <c r="F245" s="2867"/>
      <c r="G245" s="2867"/>
      <c r="H245" s="2867"/>
      <c r="I245" s="2867"/>
      <c r="J245" s="2867"/>
      <c r="K245" s="2867"/>
      <c r="L245" s="2868"/>
    </row>
    <row r="246" spans="1:12" ht="16.5" thickTop="1" x14ac:dyDescent="0.25">
      <c r="A246" s="3002" t="s">
        <v>890</v>
      </c>
      <c r="B246" s="2807" t="s">
        <v>1099</v>
      </c>
      <c r="C246" s="2867"/>
      <c r="D246" s="3003" t="s">
        <v>918</v>
      </c>
      <c r="E246" s="2867"/>
      <c r="F246" s="2867"/>
      <c r="G246" s="2867"/>
      <c r="H246" s="2867"/>
      <c r="I246" s="2867"/>
      <c r="J246" s="2867"/>
      <c r="K246" s="2867"/>
      <c r="L246" s="2868"/>
    </row>
    <row r="247" spans="1:12" ht="16.5" thickBot="1" x14ac:dyDescent="0.3">
      <c r="A247" s="3004"/>
      <c r="B247" s="2808"/>
      <c r="C247" s="3005" t="str">
        <f>'9. SavingsData'!B10</f>
        <v>You MAY edit this worksheet. If you have no savings and contributions, set values to $0.</v>
      </c>
      <c r="D247" s="3006"/>
      <c r="E247" s="2157"/>
      <c r="F247" s="3005"/>
      <c r="G247" s="2157"/>
      <c r="H247" s="2157"/>
      <c r="I247" s="2157"/>
      <c r="J247" s="2157"/>
      <c r="K247" s="2157"/>
      <c r="L247" s="2783"/>
    </row>
    <row r="248" spans="1:12" ht="31.5" thickTop="1" thickBot="1" x14ac:dyDescent="0.3">
      <c r="A248" s="2830" t="s">
        <v>841</v>
      </c>
      <c r="B248" s="3007" t="s">
        <v>840</v>
      </c>
      <c r="C248" s="2832" t="s">
        <v>2292</v>
      </c>
      <c r="D248" s="2831"/>
      <c r="E248" s="2831"/>
      <c r="F248" s="2831"/>
      <c r="G248" s="2831"/>
      <c r="H248" s="2831"/>
      <c r="I248" s="2831"/>
      <c r="J248" s="2832" t="s">
        <v>842</v>
      </c>
      <c r="K248" s="2831"/>
      <c r="L248" s="2833"/>
    </row>
    <row r="249" spans="1:12" x14ac:dyDescent="0.25">
      <c r="A249" s="2834" t="s">
        <v>399</v>
      </c>
      <c r="B249" s="2835">
        <v>9.1</v>
      </c>
      <c r="C249" s="2946" t="s">
        <v>11</v>
      </c>
      <c r="D249" s="2870"/>
      <c r="E249" s="1727"/>
      <c r="F249" s="1727"/>
      <c r="G249" s="1727"/>
      <c r="H249" s="1727"/>
      <c r="I249" s="1727"/>
      <c r="J249" s="1727"/>
      <c r="K249" s="2903">
        <f>'9. SavingsData'!F59</f>
        <v>110000</v>
      </c>
      <c r="L249" s="2753"/>
    </row>
    <row r="250" spans="1:12" x14ac:dyDescent="0.25">
      <c r="A250" s="2841" t="s">
        <v>399</v>
      </c>
      <c r="B250" s="2835">
        <v>9.1</v>
      </c>
      <c r="C250" s="2769" t="s">
        <v>875</v>
      </c>
      <c r="D250" s="1727"/>
      <c r="E250" s="1727"/>
      <c r="F250" s="1727"/>
      <c r="G250" s="1727"/>
      <c r="H250" s="1727"/>
      <c r="I250" s="1727"/>
      <c r="J250" s="1727"/>
      <c r="K250" s="2903">
        <f>'9. SavingsData'!G59</f>
        <v>105000</v>
      </c>
      <c r="L250" s="2753"/>
    </row>
    <row r="251" spans="1:12" x14ac:dyDescent="0.25">
      <c r="A251" s="2841" t="s">
        <v>399</v>
      </c>
      <c r="B251" s="2835">
        <v>9.1</v>
      </c>
      <c r="C251" s="2769" t="s">
        <v>876</v>
      </c>
      <c r="D251" s="1727"/>
      <c r="E251" s="1727"/>
      <c r="F251" s="1727"/>
      <c r="G251" s="1727"/>
      <c r="H251" s="1727"/>
      <c r="I251" s="1727"/>
      <c r="J251" s="1727"/>
      <c r="K251" s="2903">
        <f>'9. SavingsData'!H59</f>
        <v>5000</v>
      </c>
      <c r="L251" s="2753"/>
    </row>
    <row r="252" spans="1:12" x14ac:dyDescent="0.25">
      <c r="A252" s="2841" t="s">
        <v>399</v>
      </c>
      <c r="B252" s="2835">
        <v>9.1</v>
      </c>
      <c r="C252" s="2769" t="s">
        <v>12</v>
      </c>
      <c r="D252" s="1727"/>
      <c r="E252" s="1727"/>
      <c r="F252" s="1727"/>
      <c r="G252" s="1727"/>
      <c r="H252" s="1727"/>
      <c r="I252" s="1727"/>
      <c r="J252" s="1727"/>
      <c r="K252" s="2903">
        <f>'9. SavingsData'!F60</f>
        <v>80000</v>
      </c>
      <c r="L252" s="2753"/>
    </row>
    <row r="253" spans="1:12" x14ac:dyDescent="0.25">
      <c r="A253" s="2841" t="s">
        <v>399</v>
      </c>
      <c r="B253" s="2835">
        <v>9.1</v>
      </c>
      <c r="C253" s="2769" t="s">
        <v>877</v>
      </c>
      <c r="D253" s="1727"/>
      <c r="E253" s="1727"/>
      <c r="F253" s="1727"/>
      <c r="G253" s="1727"/>
      <c r="H253" s="1727"/>
      <c r="I253" s="1727"/>
      <c r="J253" s="1727"/>
      <c r="K253" s="2903">
        <f>'9. SavingsData'!G60</f>
        <v>70000</v>
      </c>
      <c r="L253" s="2753"/>
    </row>
    <row r="254" spans="1:12" x14ac:dyDescent="0.25">
      <c r="A254" s="2841" t="s">
        <v>399</v>
      </c>
      <c r="B254" s="2835">
        <v>9.1</v>
      </c>
      <c r="C254" s="2769" t="s">
        <v>878</v>
      </c>
      <c r="D254" s="1727"/>
      <c r="E254" s="1727"/>
      <c r="F254" s="1727"/>
      <c r="G254" s="1727"/>
      <c r="H254" s="1727"/>
      <c r="I254" s="1727"/>
      <c r="J254" s="1727"/>
      <c r="K254" s="2903">
        <f>'9. SavingsData'!H60</f>
        <v>10000</v>
      </c>
      <c r="L254" s="2753"/>
    </row>
    <row r="255" spans="1:12" x14ac:dyDescent="0.25">
      <c r="A255" s="2841" t="s">
        <v>399</v>
      </c>
      <c r="B255" s="2835">
        <v>9.1</v>
      </c>
      <c r="C255" s="2769" t="s">
        <v>879</v>
      </c>
      <c r="D255" s="1727"/>
      <c r="E255" s="1727"/>
      <c r="F255" s="1727"/>
      <c r="G255" s="1727"/>
      <c r="H255" s="1727"/>
      <c r="I255" s="1727"/>
      <c r="J255" s="1727"/>
      <c r="K255" s="2902">
        <f>'9. SavingsData'!G65</f>
        <v>3.2185863874345549E-2</v>
      </c>
      <c r="L255" s="2753"/>
    </row>
    <row r="256" spans="1:12" x14ac:dyDescent="0.25">
      <c r="A256" s="2841" t="s">
        <v>399</v>
      </c>
      <c r="B256" s="2835">
        <v>9.1</v>
      </c>
      <c r="C256" s="2769" t="s">
        <v>880</v>
      </c>
      <c r="D256" s="1727"/>
      <c r="E256" s="1727"/>
      <c r="F256" s="1727"/>
      <c r="G256" s="1727"/>
      <c r="H256" s="1727"/>
      <c r="I256" s="1727"/>
      <c r="J256" s="1727"/>
      <c r="K256" s="2902">
        <f>'9. SavingsData'!G67</f>
        <v>3.2585714285714287E-2</v>
      </c>
      <c r="L256" s="2753"/>
    </row>
    <row r="257" spans="1:12" x14ac:dyDescent="0.25">
      <c r="A257" s="3008"/>
      <c r="B257" s="2835"/>
      <c r="C257" s="2959"/>
      <c r="D257" s="1727"/>
      <c r="E257" s="1727"/>
      <c r="F257" s="1727"/>
      <c r="G257" s="1727"/>
      <c r="H257" s="1727"/>
      <c r="I257" s="1727"/>
      <c r="J257" s="1727"/>
      <c r="K257" s="1655"/>
      <c r="L257" s="2753"/>
    </row>
    <row r="258" spans="1:12" x14ac:dyDescent="0.25">
      <c r="A258" s="2841" t="s">
        <v>399</v>
      </c>
      <c r="B258" s="2835" t="s">
        <v>881</v>
      </c>
      <c r="C258" s="2769" t="s">
        <v>9</v>
      </c>
      <c r="D258" s="1727"/>
      <c r="E258" s="1727"/>
      <c r="F258" s="1727"/>
      <c r="G258" s="1727"/>
      <c r="H258" s="1727"/>
      <c r="I258" s="1727"/>
      <c r="J258" s="1727"/>
      <c r="K258" s="2902">
        <f>'9. SavingsData'!F78</f>
        <v>4.4999999999999998E-2</v>
      </c>
      <c r="L258" s="2753"/>
    </row>
    <row r="259" spans="1:12" x14ac:dyDescent="0.25">
      <c r="A259" s="2841" t="s">
        <v>399</v>
      </c>
      <c r="B259" s="2835" t="s">
        <v>881</v>
      </c>
      <c r="C259" s="2769" t="s">
        <v>10</v>
      </c>
      <c r="D259" s="1727"/>
      <c r="E259" s="1727"/>
      <c r="F259" s="1727"/>
      <c r="G259" s="1727"/>
      <c r="H259" s="1727"/>
      <c r="I259" s="1727"/>
      <c r="J259" s="1727"/>
      <c r="K259" s="2902">
        <f>'9. SavingsData'!F79</f>
        <v>1.7500000000000002E-2</v>
      </c>
      <c r="L259" s="2753"/>
    </row>
    <row r="260" spans="1:12" x14ac:dyDescent="0.25">
      <c r="A260" s="2841" t="s">
        <v>399</v>
      </c>
      <c r="B260" s="2835" t="s">
        <v>881</v>
      </c>
      <c r="C260" s="2769" t="s">
        <v>391</v>
      </c>
      <c r="D260" s="1727"/>
      <c r="E260" s="1727"/>
      <c r="F260" s="1727"/>
      <c r="G260" s="1727"/>
      <c r="H260" s="1727"/>
      <c r="I260" s="1727"/>
      <c r="J260" s="1727"/>
      <c r="K260" s="2902">
        <f>'9. SavingsData'!F83</f>
        <v>0.51</v>
      </c>
      <c r="L260" s="2753"/>
    </row>
    <row r="261" spans="1:12" x14ac:dyDescent="0.25">
      <c r="A261" s="2841" t="s">
        <v>399</v>
      </c>
      <c r="B261" s="2835" t="s">
        <v>881</v>
      </c>
      <c r="C261" s="2769" t="s">
        <v>392</v>
      </c>
      <c r="D261" s="1727"/>
      <c r="E261" s="1727"/>
      <c r="F261" s="1727"/>
      <c r="G261" s="1727"/>
      <c r="H261" s="1727"/>
      <c r="I261" s="1727"/>
      <c r="J261" s="1727"/>
      <c r="K261" s="2902">
        <f>'9. SavingsData'!F84</f>
        <v>0.44500000000000001</v>
      </c>
      <c r="L261" s="2753"/>
    </row>
    <row r="262" spans="1:12" x14ac:dyDescent="0.25">
      <c r="A262" s="2841" t="s">
        <v>399</v>
      </c>
      <c r="B262" s="2835" t="s">
        <v>881</v>
      </c>
      <c r="C262" s="2769" t="s">
        <v>2827</v>
      </c>
      <c r="D262" s="1727"/>
      <c r="E262" s="1727"/>
      <c r="F262" s="1727"/>
      <c r="G262" s="1727"/>
      <c r="H262" s="1727"/>
      <c r="I262" s="1727"/>
      <c r="J262" s="1727"/>
      <c r="K262" s="2902">
        <f>'9. SavingsData'!F85</f>
        <v>4.4999999999999998E-2</v>
      </c>
      <c r="L262" s="2753"/>
    </row>
    <row r="263" spans="1:12" x14ac:dyDescent="0.25">
      <c r="A263" s="2841" t="s">
        <v>399</v>
      </c>
      <c r="B263" s="2835" t="s">
        <v>881</v>
      </c>
      <c r="C263" s="2769" t="s">
        <v>393</v>
      </c>
      <c r="D263" s="1727"/>
      <c r="E263" s="1727"/>
      <c r="F263" s="1727"/>
      <c r="G263" s="1727"/>
      <c r="H263" s="1727"/>
      <c r="I263" s="1727"/>
      <c r="J263" s="1727"/>
      <c r="K263" s="2902">
        <f>'9. SavingsData'!F88</f>
        <v>0.48</v>
      </c>
      <c r="L263" s="2753"/>
    </row>
    <row r="264" spans="1:12" x14ac:dyDescent="0.25">
      <c r="A264" s="2841" t="s">
        <v>399</v>
      </c>
      <c r="B264" s="2835" t="s">
        <v>881</v>
      </c>
      <c r="C264" s="2769" t="s">
        <v>394</v>
      </c>
      <c r="D264" s="1727"/>
      <c r="E264" s="1727"/>
      <c r="F264" s="1727"/>
      <c r="G264" s="1727"/>
      <c r="H264" s="1727"/>
      <c r="I264" s="1727"/>
      <c r="J264" s="1727"/>
      <c r="K264" s="2902">
        <f>'9. SavingsData'!F89</f>
        <v>0.39500000000000002</v>
      </c>
      <c r="L264" s="2753"/>
    </row>
    <row r="265" spans="1:12" x14ac:dyDescent="0.25">
      <c r="A265" s="2841" t="s">
        <v>399</v>
      </c>
      <c r="B265" s="2835" t="s">
        <v>881</v>
      </c>
      <c r="C265" s="2769" t="s">
        <v>2826</v>
      </c>
      <c r="D265" s="1727"/>
      <c r="E265" s="1727"/>
      <c r="F265" s="1727"/>
      <c r="G265" s="1727"/>
      <c r="H265" s="1727"/>
      <c r="I265" s="1727"/>
      <c r="J265" s="1727"/>
      <c r="K265" s="2902">
        <f>'9. SavingsData'!F90</f>
        <v>0.125</v>
      </c>
      <c r="L265" s="2753"/>
    </row>
    <row r="266" spans="1:12" x14ac:dyDescent="0.25">
      <c r="A266" s="2841" t="s">
        <v>399</v>
      </c>
      <c r="B266" s="2835" t="s">
        <v>881</v>
      </c>
      <c r="C266" s="2769" t="s">
        <v>2828</v>
      </c>
      <c r="D266" s="1727"/>
      <c r="E266" s="1727"/>
      <c r="F266" s="1727"/>
      <c r="G266" s="1727"/>
      <c r="H266" s="1727"/>
      <c r="I266" s="1727"/>
      <c r="J266" s="1727"/>
      <c r="K266" s="2902">
        <f>'9. SavingsData'!I94</f>
        <v>3.2185863874345549E-2</v>
      </c>
      <c r="L266" s="2753"/>
    </row>
    <row r="267" spans="1:12" x14ac:dyDescent="0.25">
      <c r="A267" s="2841" t="s">
        <v>399</v>
      </c>
      <c r="B267" s="2835" t="s">
        <v>881</v>
      </c>
      <c r="C267" s="2769" t="s">
        <v>2829</v>
      </c>
      <c r="D267" s="1727"/>
      <c r="E267" s="1727"/>
      <c r="F267" s="1727"/>
      <c r="G267" s="1727"/>
      <c r="H267" s="1727"/>
      <c r="I267" s="1727"/>
      <c r="J267" s="1727"/>
      <c r="K267" s="2902">
        <f>'9. SavingsData'!I95</f>
        <v>3.2585714285714287E-2</v>
      </c>
      <c r="L267" s="2753"/>
    </row>
    <row r="268" spans="1:12" x14ac:dyDescent="0.25">
      <c r="A268" s="3008"/>
      <c r="B268" s="2835"/>
      <c r="C268" s="2959"/>
      <c r="D268" s="1727"/>
      <c r="E268" s="1727"/>
      <c r="F268" s="1727"/>
      <c r="G268" s="1727"/>
      <c r="H268" s="1727"/>
      <c r="I268" s="1727"/>
      <c r="J268" s="1727"/>
      <c r="K268" s="1655"/>
      <c r="L268" s="2753"/>
    </row>
    <row r="269" spans="1:12" x14ac:dyDescent="0.25">
      <c r="A269" s="2841" t="s">
        <v>399</v>
      </c>
      <c r="B269" s="2835">
        <v>9.1999999999999993</v>
      </c>
      <c r="C269" s="2884" t="s">
        <v>882</v>
      </c>
      <c r="D269" s="1727"/>
      <c r="E269" s="1727"/>
      <c r="F269" s="1727"/>
      <c r="G269" s="1727"/>
      <c r="H269" s="1727"/>
      <c r="I269" s="1727"/>
      <c r="J269" s="1727"/>
      <c r="K269" s="2902">
        <f>'9. SavingsData'!H108</f>
        <v>0.01</v>
      </c>
      <c r="L269" s="2753"/>
    </row>
    <row r="270" spans="1:12" x14ac:dyDescent="0.25">
      <c r="A270" s="2841" t="s">
        <v>399</v>
      </c>
      <c r="B270" s="2835">
        <v>9.1999999999999993</v>
      </c>
      <c r="C270" s="2884" t="s">
        <v>883</v>
      </c>
      <c r="D270" s="1727"/>
      <c r="E270" s="1727"/>
      <c r="F270" s="1727"/>
      <c r="G270" s="1727"/>
      <c r="H270" s="1727"/>
      <c r="I270" s="1727"/>
      <c r="J270" s="1727"/>
      <c r="K270" s="2902">
        <f>'9. SavingsData'!H109</f>
        <v>0.02</v>
      </c>
      <c r="L270" s="2753"/>
    </row>
    <row r="271" spans="1:12" x14ac:dyDescent="0.25">
      <c r="A271" s="2841" t="s">
        <v>399</v>
      </c>
      <c r="B271" s="2835">
        <v>9.1999999999999993</v>
      </c>
      <c r="C271" s="2884" t="s">
        <v>884</v>
      </c>
      <c r="D271" s="1727"/>
      <c r="E271" s="1727"/>
      <c r="F271" s="1727"/>
      <c r="G271" s="1727"/>
      <c r="H271" s="1727"/>
      <c r="I271" s="1727"/>
      <c r="J271" s="1727"/>
      <c r="K271" s="2902">
        <f>'9. SavingsData'!H112</f>
        <v>5.0000000000000001E-3</v>
      </c>
      <c r="L271" s="2753"/>
    </row>
    <row r="272" spans="1:12" x14ac:dyDescent="0.25">
      <c r="A272" s="2841" t="s">
        <v>399</v>
      </c>
      <c r="B272" s="2835">
        <v>9.1999999999999993</v>
      </c>
      <c r="C272" s="2884" t="s">
        <v>67</v>
      </c>
      <c r="D272" s="1727"/>
      <c r="E272" s="1727"/>
      <c r="F272" s="1727"/>
      <c r="G272" s="1727"/>
      <c r="H272" s="1727"/>
      <c r="I272" s="1727"/>
      <c r="J272" s="1727"/>
      <c r="K272" s="2902">
        <f>'9. SavingsData'!H113</f>
        <v>5.0000000000000001E-3</v>
      </c>
      <c r="L272" s="2753"/>
    </row>
    <row r="273" spans="1:12" x14ac:dyDescent="0.25">
      <c r="A273" s="2841" t="s">
        <v>399</v>
      </c>
      <c r="B273" s="2835">
        <v>9.1999999999999993</v>
      </c>
      <c r="C273" s="2884" t="s">
        <v>548</v>
      </c>
      <c r="D273" s="1727"/>
      <c r="E273" s="1727"/>
      <c r="F273" s="1727"/>
      <c r="G273" s="1727"/>
      <c r="H273" s="1727"/>
      <c r="I273" s="1727"/>
      <c r="J273" s="1727"/>
      <c r="K273" s="2902">
        <f>'9. SavingsData'!H116</f>
        <v>6.4999999999999997E-3</v>
      </c>
      <c r="L273" s="2753"/>
    </row>
    <row r="274" spans="1:12" x14ac:dyDescent="0.25">
      <c r="A274" s="2841" t="s">
        <v>399</v>
      </c>
      <c r="B274" s="2835">
        <v>9.1999999999999993</v>
      </c>
      <c r="C274" s="2884" t="s">
        <v>485</v>
      </c>
      <c r="D274" s="1727"/>
      <c r="E274" s="1727"/>
      <c r="F274" s="1727"/>
      <c r="G274" s="1727"/>
      <c r="H274" s="1727"/>
      <c r="I274" s="1727"/>
      <c r="J274" s="1727"/>
      <c r="K274" s="2902">
        <f>'9. SavingsData'!H117</f>
        <v>2.5000000000000001E-3</v>
      </c>
      <c r="L274" s="2753"/>
    </row>
    <row r="275" spans="1:12" x14ac:dyDescent="0.25">
      <c r="A275" s="3008"/>
      <c r="B275" s="2835"/>
      <c r="C275" s="2959"/>
      <c r="D275" s="1727"/>
      <c r="E275" s="1727"/>
      <c r="F275" s="1727"/>
      <c r="G275" s="1727"/>
      <c r="H275" s="1727"/>
      <c r="I275" s="1727"/>
      <c r="J275" s="1727"/>
      <c r="K275" s="1655"/>
      <c r="L275" s="2753"/>
    </row>
    <row r="276" spans="1:12" x14ac:dyDescent="0.25">
      <c r="A276" s="2841" t="s">
        <v>399</v>
      </c>
      <c r="B276" s="2835" t="s">
        <v>885</v>
      </c>
      <c r="C276" s="3009" t="s">
        <v>338</v>
      </c>
      <c r="D276" s="1727"/>
      <c r="E276" s="1727"/>
      <c r="F276" s="1727"/>
      <c r="G276" s="1727"/>
      <c r="H276" s="1727"/>
      <c r="I276" s="1727"/>
      <c r="J276" s="1727"/>
      <c r="K276" s="2903">
        <f>'9. SavingsData'!G127</f>
        <v>1000</v>
      </c>
      <c r="L276" s="2753"/>
    </row>
    <row r="277" spans="1:12" x14ac:dyDescent="0.25">
      <c r="A277" s="2841" t="s">
        <v>399</v>
      </c>
      <c r="B277" s="2835" t="s">
        <v>885</v>
      </c>
      <c r="C277" s="3009" t="s">
        <v>339</v>
      </c>
      <c r="D277" s="1727"/>
      <c r="E277" s="1727"/>
      <c r="F277" s="1727"/>
      <c r="G277" s="1727"/>
      <c r="H277" s="1727"/>
      <c r="I277" s="1727"/>
      <c r="J277" s="1727"/>
      <c r="K277" s="2903">
        <f>'9. SavingsData'!G128</f>
        <v>1200</v>
      </c>
      <c r="L277" s="2753"/>
    </row>
    <row r="278" spans="1:12" x14ac:dyDescent="0.25">
      <c r="A278" s="2841" t="s">
        <v>399</v>
      </c>
      <c r="B278" s="2835" t="s">
        <v>885</v>
      </c>
      <c r="C278" s="3009" t="s">
        <v>592</v>
      </c>
      <c r="D278" s="1727"/>
      <c r="E278" s="1727"/>
      <c r="F278" s="1727"/>
      <c r="G278" s="1727"/>
      <c r="H278" s="1727"/>
      <c r="I278" s="1727"/>
      <c r="J278" s="1727"/>
      <c r="K278" s="2902">
        <f>'9. SavingsData'!G130</f>
        <v>0.01</v>
      </c>
      <c r="L278" s="2753"/>
    </row>
    <row r="279" spans="1:12" x14ac:dyDescent="0.25">
      <c r="A279" s="2841" t="s">
        <v>399</v>
      </c>
      <c r="B279" s="2835" t="s">
        <v>885</v>
      </c>
      <c r="C279" s="3009" t="s">
        <v>593</v>
      </c>
      <c r="D279" s="1727"/>
      <c r="E279" s="1727"/>
      <c r="F279" s="1727"/>
      <c r="G279" s="1727"/>
      <c r="H279" s="1727"/>
      <c r="I279" s="1727"/>
      <c r="J279" s="1727"/>
      <c r="K279" s="2902">
        <f>'9. SavingsData'!G131</f>
        <v>0</v>
      </c>
      <c r="L279" s="2753"/>
    </row>
    <row r="280" spans="1:12" x14ac:dyDescent="0.25">
      <c r="A280" s="2841" t="s">
        <v>399</v>
      </c>
      <c r="B280" s="2835" t="s">
        <v>885</v>
      </c>
      <c r="C280" s="3009" t="s">
        <v>784</v>
      </c>
      <c r="D280" s="1727"/>
      <c r="E280" s="1727"/>
      <c r="F280" s="1727"/>
      <c r="G280" s="1727"/>
      <c r="H280" s="1727"/>
      <c r="I280" s="1727"/>
      <c r="J280" s="1727"/>
      <c r="K280" s="1655">
        <f>'9. SavingsData'!G134</f>
        <v>60</v>
      </c>
      <c r="L280" s="2753"/>
    </row>
    <row r="281" spans="1:12" x14ac:dyDescent="0.25">
      <c r="A281" s="2841" t="s">
        <v>399</v>
      </c>
      <c r="B281" s="2835" t="s">
        <v>885</v>
      </c>
      <c r="C281" s="3009" t="s">
        <v>785</v>
      </c>
      <c r="D281" s="1727"/>
      <c r="E281" s="1727"/>
      <c r="F281" s="1727"/>
      <c r="G281" s="1727"/>
      <c r="H281" s="1727"/>
      <c r="I281" s="1727"/>
      <c r="J281" s="1727"/>
      <c r="K281" s="1655">
        <f>'9. SavingsData'!G136</f>
        <v>58</v>
      </c>
      <c r="L281" s="2753"/>
    </row>
    <row r="282" spans="1:12" x14ac:dyDescent="0.25">
      <c r="A282" s="2841" t="s">
        <v>399</v>
      </c>
      <c r="B282" s="2835" t="s">
        <v>885</v>
      </c>
      <c r="C282" s="3009" t="s">
        <v>786</v>
      </c>
      <c r="D282" s="1727"/>
      <c r="E282" s="1727"/>
      <c r="F282" s="1727"/>
      <c r="G282" s="1727"/>
      <c r="H282" s="1727"/>
      <c r="I282" s="1727"/>
      <c r="J282" s="1727"/>
      <c r="K282" s="1655">
        <f>'9. SavingsData'!G140</f>
        <v>63</v>
      </c>
      <c r="L282" s="2753"/>
    </row>
    <row r="283" spans="1:12" x14ac:dyDescent="0.25">
      <c r="A283" s="2841" t="s">
        <v>399</v>
      </c>
      <c r="B283" s="2835" t="s">
        <v>885</v>
      </c>
      <c r="C283" s="3009" t="s">
        <v>787</v>
      </c>
      <c r="D283" s="1727"/>
      <c r="E283" s="1727"/>
      <c r="F283" s="1727"/>
      <c r="G283" s="1727"/>
      <c r="H283" s="1727"/>
      <c r="I283" s="1727"/>
      <c r="J283" s="1727"/>
      <c r="K283" s="1655">
        <f>'9. SavingsData'!G142</f>
        <v>68</v>
      </c>
      <c r="L283" s="2753"/>
    </row>
    <row r="284" spans="1:12" x14ac:dyDescent="0.25">
      <c r="A284" s="3008"/>
      <c r="B284" s="2835"/>
      <c r="C284" s="2959"/>
      <c r="D284" s="1727"/>
      <c r="E284" s="1727"/>
      <c r="F284" s="1727"/>
      <c r="G284" s="1727"/>
      <c r="H284" s="1727"/>
      <c r="I284" s="1727"/>
      <c r="J284" s="1727"/>
      <c r="K284" s="1655"/>
      <c r="L284" s="2753"/>
    </row>
    <row r="285" spans="1:12" x14ac:dyDescent="0.25">
      <c r="A285" s="2841" t="s">
        <v>399</v>
      </c>
      <c r="B285" s="2835" t="s">
        <v>886</v>
      </c>
      <c r="C285" s="2884" t="s">
        <v>680</v>
      </c>
      <c r="D285" s="1727"/>
      <c r="E285" s="1727"/>
      <c r="F285" s="1727"/>
      <c r="G285" s="1727"/>
      <c r="H285" s="1727"/>
      <c r="I285" s="1727"/>
      <c r="J285" s="1727"/>
      <c r="K285" s="1655">
        <f>'9. SavingsData'!F150</f>
        <v>67</v>
      </c>
      <c r="L285" s="2753"/>
    </row>
    <row r="286" spans="1:12" x14ac:dyDescent="0.25">
      <c r="A286" s="2841" t="s">
        <v>399</v>
      </c>
      <c r="B286" s="2835" t="s">
        <v>886</v>
      </c>
      <c r="C286" s="2884" t="s">
        <v>681</v>
      </c>
      <c r="D286" s="1727"/>
      <c r="E286" s="1727"/>
      <c r="F286" s="1727"/>
      <c r="G286" s="1727"/>
      <c r="H286" s="1727"/>
      <c r="I286" s="1727"/>
      <c r="J286" s="1727"/>
      <c r="K286" s="1655">
        <f>'9. SavingsData'!F152</f>
        <v>60</v>
      </c>
      <c r="L286" s="2753"/>
    </row>
    <row r="287" spans="1:12" x14ac:dyDescent="0.25">
      <c r="A287" s="2841" t="s">
        <v>399</v>
      </c>
      <c r="B287" s="2835" t="s">
        <v>886</v>
      </c>
      <c r="C287" s="2884" t="s">
        <v>682</v>
      </c>
      <c r="D287" s="1727"/>
      <c r="E287" s="1727"/>
      <c r="F287" s="1727"/>
      <c r="G287" s="1727"/>
      <c r="H287" s="1727"/>
      <c r="I287" s="1727"/>
      <c r="J287" s="1727"/>
      <c r="K287" s="1655">
        <f>'9. SavingsData'!F156</f>
        <v>85</v>
      </c>
      <c r="L287" s="2753"/>
    </row>
    <row r="288" spans="1:12" x14ac:dyDescent="0.25">
      <c r="A288" s="2841" t="s">
        <v>399</v>
      </c>
      <c r="B288" s="2835" t="s">
        <v>886</v>
      </c>
      <c r="C288" s="2884" t="s">
        <v>683</v>
      </c>
      <c r="D288" s="1727"/>
      <c r="E288" s="1727"/>
      <c r="F288" s="1727"/>
      <c r="G288" s="1727"/>
      <c r="H288" s="1727"/>
      <c r="I288" s="1727"/>
      <c r="J288" s="1727"/>
      <c r="K288" s="1655">
        <f>'9. SavingsData'!F158</f>
        <v>87</v>
      </c>
      <c r="L288" s="2753"/>
    </row>
    <row r="289" spans="1:13" x14ac:dyDescent="0.25">
      <c r="A289" s="2841" t="s">
        <v>399</v>
      </c>
      <c r="B289" s="2835" t="s">
        <v>886</v>
      </c>
      <c r="C289" s="2884" t="s">
        <v>684</v>
      </c>
      <c r="D289" s="1727"/>
      <c r="E289" s="1727"/>
      <c r="F289" s="1727"/>
      <c r="G289" s="1727"/>
      <c r="H289" s="1727"/>
      <c r="I289" s="1727"/>
      <c r="J289" s="1727"/>
      <c r="K289" s="2902">
        <f>'9. SavingsData'!F161</f>
        <v>0.01</v>
      </c>
      <c r="L289" s="2753"/>
    </row>
    <row r="290" spans="1:13" ht="15.75" thickBot="1" x14ac:dyDescent="0.3">
      <c r="A290" s="2856" t="s">
        <v>399</v>
      </c>
      <c r="B290" s="2857" t="s">
        <v>886</v>
      </c>
      <c r="C290" s="2948" t="s">
        <v>158</v>
      </c>
      <c r="D290" s="2157"/>
      <c r="E290" s="2157"/>
      <c r="F290" s="2157"/>
      <c r="G290" s="2157"/>
      <c r="H290" s="2157"/>
      <c r="I290" s="2157"/>
      <c r="J290" s="2157"/>
      <c r="K290" s="2949">
        <f>'9. SavingsData'!F162</f>
        <v>0.01</v>
      </c>
      <c r="L290" s="2783"/>
    </row>
    <row r="291" spans="1:13" ht="15.75" thickTop="1" x14ac:dyDescent="0.25"/>
    <row r="292" spans="1:13" ht="15.75" thickBot="1" x14ac:dyDescent="0.3"/>
    <row r="293" spans="1:13" ht="20.25" thickTop="1" thickBot="1" x14ac:dyDescent="0.35">
      <c r="A293" s="3000" t="s">
        <v>121</v>
      </c>
      <c r="B293" s="2867"/>
      <c r="C293" s="2867"/>
      <c r="D293" s="2867"/>
      <c r="E293" s="2867"/>
      <c r="F293" s="2867"/>
      <c r="G293" s="2867"/>
      <c r="H293" s="2867"/>
      <c r="I293" s="2867"/>
      <c r="J293" s="2867"/>
      <c r="K293" s="2867"/>
      <c r="L293" s="2868"/>
    </row>
    <row r="294" spans="1:13" ht="16.5" thickBot="1" x14ac:dyDescent="0.3">
      <c r="A294" s="2823" t="s">
        <v>890</v>
      </c>
      <c r="B294" s="1477" t="s">
        <v>1098</v>
      </c>
      <c r="C294" s="2824"/>
      <c r="D294" s="2825" t="s">
        <v>918</v>
      </c>
      <c r="E294" s="2824"/>
      <c r="F294" s="3010" t="str">
        <f>'10. ExpensesData'!B10</f>
        <v>You MUST edit this worksheet.</v>
      </c>
      <c r="G294" s="2824"/>
      <c r="H294" s="2824"/>
      <c r="I294" s="2824"/>
      <c r="J294" s="2824"/>
      <c r="K294" s="2824"/>
      <c r="L294" s="2829"/>
    </row>
    <row r="295" spans="1:13" ht="30.75" thickBot="1" x14ac:dyDescent="0.3">
      <c r="A295" s="2830" t="s">
        <v>841</v>
      </c>
      <c r="B295" s="2831" t="s">
        <v>840</v>
      </c>
      <c r="C295" s="2832" t="s">
        <v>2292</v>
      </c>
      <c r="D295" s="2831"/>
      <c r="E295" s="2831"/>
      <c r="F295" s="2831"/>
      <c r="G295" s="2831"/>
      <c r="H295" s="2831"/>
      <c r="I295" s="2831"/>
      <c r="J295" s="2832" t="s">
        <v>842</v>
      </c>
      <c r="K295" s="2831"/>
      <c r="L295" s="2833"/>
    </row>
    <row r="296" spans="1:13" x14ac:dyDescent="0.25">
      <c r="A296" s="2841" t="s">
        <v>688</v>
      </c>
      <c r="B296" s="2870">
        <v>10.1</v>
      </c>
      <c r="C296" s="2884" t="s">
        <v>1718</v>
      </c>
      <c r="D296" s="1727"/>
      <c r="E296" s="1727"/>
      <c r="F296" s="1727"/>
      <c r="G296" s="1727"/>
      <c r="H296" s="1727"/>
      <c r="I296" s="1727"/>
      <c r="J296" s="1727"/>
      <c r="K296" s="2903">
        <f>'10. ExpensesData'!H49</f>
        <v>31000</v>
      </c>
      <c r="L296" s="2753"/>
    </row>
    <row r="297" spans="1:13" x14ac:dyDescent="0.25">
      <c r="A297" s="2841" t="s">
        <v>688</v>
      </c>
      <c r="B297" s="1727">
        <v>10.1</v>
      </c>
      <c r="C297" s="2884" t="s">
        <v>1719</v>
      </c>
      <c r="D297" s="1727"/>
      <c r="E297" s="1727"/>
      <c r="F297" s="1727"/>
      <c r="G297" s="1727"/>
      <c r="H297" s="1727"/>
      <c r="I297" s="1727"/>
      <c r="J297" s="1727"/>
      <c r="K297" s="2903">
        <f>'10. ExpensesData'!H50</f>
        <v>29000</v>
      </c>
      <c r="L297" s="2753"/>
    </row>
    <row r="298" spans="1:13" x14ac:dyDescent="0.25">
      <c r="A298" s="2841" t="s">
        <v>688</v>
      </c>
      <c r="B298" s="1727">
        <v>10.1</v>
      </c>
      <c r="C298" s="2884" t="s">
        <v>1720</v>
      </c>
      <c r="D298" s="1727"/>
      <c r="E298" s="1727"/>
      <c r="F298" s="1727"/>
      <c r="G298" s="1727"/>
      <c r="H298" s="1727"/>
      <c r="I298" s="1727"/>
      <c r="J298" s="1727"/>
      <c r="K298" s="2903">
        <f>K296+K297</f>
        <v>60000</v>
      </c>
      <c r="L298" s="2753"/>
    </row>
    <row r="299" spans="1:13" x14ac:dyDescent="0.25">
      <c r="A299" s="2841" t="s">
        <v>688</v>
      </c>
      <c r="B299" s="1727">
        <v>10.1</v>
      </c>
      <c r="C299" s="2884" t="s">
        <v>1709</v>
      </c>
      <c r="D299" s="3011"/>
      <c r="E299" s="3011"/>
      <c r="F299" s="3012"/>
      <c r="G299" s="3011"/>
      <c r="J299" s="3013"/>
      <c r="K299" s="2904">
        <f>'10. ExpensesData'!H53</f>
        <v>0.8</v>
      </c>
      <c r="L299" s="2753"/>
      <c r="M299" s="2926"/>
    </row>
    <row r="300" spans="1:13" x14ac:dyDescent="0.25">
      <c r="A300" s="2841" t="s">
        <v>688</v>
      </c>
      <c r="B300" s="1727">
        <v>10.1</v>
      </c>
      <c r="C300" s="2884" t="s">
        <v>1710</v>
      </c>
      <c r="D300" s="2884"/>
      <c r="E300" s="3011"/>
      <c r="F300" s="3012"/>
      <c r="G300" s="3014"/>
      <c r="I300" s="3015"/>
      <c r="J300" s="3016"/>
      <c r="K300" s="3017">
        <f>'10. ExpensesData'!H55</f>
        <v>24800</v>
      </c>
      <c r="L300" s="2753"/>
      <c r="M300" s="2926"/>
    </row>
    <row r="301" spans="1:13" x14ac:dyDescent="0.25">
      <c r="A301" s="2841" t="s">
        <v>688</v>
      </c>
      <c r="B301" s="1727">
        <v>10.1</v>
      </c>
      <c r="C301" s="2884" t="s">
        <v>1712</v>
      </c>
      <c r="D301" s="2884"/>
      <c r="E301" s="3011"/>
      <c r="F301" s="3012"/>
      <c r="G301" s="3014"/>
      <c r="I301" s="3015"/>
      <c r="J301" s="3016"/>
      <c r="K301" s="3017">
        <f>'10. ExpensesData'!H56</f>
        <v>23200</v>
      </c>
      <c r="L301" s="2753"/>
      <c r="M301" s="2926"/>
    </row>
    <row r="302" spans="1:13" x14ac:dyDescent="0.25">
      <c r="A302" s="2841" t="s">
        <v>688</v>
      </c>
      <c r="B302" s="1727">
        <v>10.1</v>
      </c>
      <c r="C302" s="2884" t="s">
        <v>1713</v>
      </c>
      <c r="D302" s="3011"/>
      <c r="E302" s="3011"/>
      <c r="F302" s="3012"/>
      <c r="G302" s="3014"/>
      <c r="I302" s="3015"/>
      <c r="J302" s="3016"/>
      <c r="K302" s="3017">
        <f>K300+K301</f>
        <v>48000</v>
      </c>
      <c r="L302" s="2753"/>
      <c r="M302" s="2926"/>
    </row>
    <row r="303" spans="1:13" x14ac:dyDescent="0.25">
      <c r="A303" s="2841" t="s">
        <v>688</v>
      </c>
      <c r="B303" s="1727">
        <v>10.1</v>
      </c>
      <c r="C303" s="2884" t="s">
        <v>1251</v>
      </c>
      <c r="D303" s="3011"/>
      <c r="E303" s="3011"/>
      <c r="F303" s="3012"/>
      <c r="G303" s="3014"/>
      <c r="I303" s="3015">
        <f>'10. ExpensesData'!H61</f>
        <v>0.6</v>
      </c>
      <c r="J303" s="3016" t="s">
        <v>1260</v>
      </c>
      <c r="K303" s="3017">
        <f>(K296+K297)*I303</f>
        <v>36000</v>
      </c>
      <c r="L303" s="2753"/>
      <c r="M303" s="2926"/>
    </row>
    <row r="304" spans="1:13" x14ac:dyDescent="0.25">
      <c r="A304" s="2841" t="s">
        <v>688</v>
      </c>
      <c r="B304" s="1727">
        <v>10.1</v>
      </c>
      <c r="C304" s="2884" t="s">
        <v>2821</v>
      </c>
      <c r="D304" s="1727"/>
      <c r="E304" s="1727"/>
      <c r="F304" s="1727"/>
      <c r="G304" s="1727"/>
      <c r="H304" s="1727"/>
      <c r="I304" s="1727"/>
      <c r="J304" s="1727"/>
      <c r="K304" s="2903">
        <f>'10. ExpensesData'!H65</f>
        <v>7000</v>
      </c>
      <c r="L304" s="2753"/>
    </row>
    <row r="305" spans="1:13" x14ac:dyDescent="0.25">
      <c r="A305" s="2841" t="s">
        <v>688</v>
      </c>
      <c r="B305" s="1727">
        <v>10.1</v>
      </c>
      <c r="C305" s="2884" t="s">
        <v>2822</v>
      </c>
      <c r="D305" s="1727"/>
      <c r="E305" s="1727"/>
      <c r="F305" s="1727"/>
      <c r="G305" s="1727"/>
      <c r="H305" s="1727"/>
      <c r="I305" s="1727"/>
      <c r="J305" s="1727"/>
      <c r="K305" s="2903">
        <f>'10. ExpensesData'!H66</f>
        <v>6500</v>
      </c>
      <c r="L305" s="2753"/>
    </row>
    <row r="306" spans="1:13" x14ac:dyDescent="0.25">
      <c r="A306" s="2841" t="s">
        <v>688</v>
      </c>
      <c r="B306" s="1727">
        <v>10.1</v>
      </c>
      <c r="C306" s="2884" t="s">
        <v>1259</v>
      </c>
      <c r="D306" s="3011"/>
      <c r="E306" s="3011"/>
      <c r="F306" s="3012"/>
      <c r="G306" s="3014"/>
      <c r="I306" s="3015">
        <f>'10. ExpensesData'!H70</f>
        <v>0.55000000000000004</v>
      </c>
      <c r="J306" s="3016" t="s">
        <v>1261</v>
      </c>
      <c r="K306" s="3017">
        <f>(K304+K305)*I306</f>
        <v>7425.0000000000009</v>
      </c>
      <c r="L306" s="2753"/>
      <c r="M306" s="2926"/>
    </row>
    <row r="307" spans="1:13" x14ac:dyDescent="0.25">
      <c r="A307" s="2841" t="s">
        <v>688</v>
      </c>
      <c r="B307" s="1727">
        <v>10.1</v>
      </c>
      <c r="C307" s="2884" t="s">
        <v>643</v>
      </c>
      <c r="D307" s="1727"/>
      <c r="E307" s="1727"/>
      <c r="F307" s="1727"/>
      <c r="G307" s="1727"/>
      <c r="H307" s="1727"/>
      <c r="I307" s="1727"/>
      <c r="J307" s="1727"/>
      <c r="K307" s="2902">
        <f>'10. ExpensesData'!H74</f>
        <v>0.02</v>
      </c>
      <c r="L307" s="2753"/>
    </row>
    <row r="308" spans="1:13" x14ac:dyDescent="0.25">
      <c r="A308" s="2841" t="s">
        <v>688</v>
      </c>
      <c r="B308" s="1727">
        <v>10.1</v>
      </c>
      <c r="C308" s="2884" t="s">
        <v>642</v>
      </c>
      <c r="D308" s="1727"/>
      <c r="E308" s="1727"/>
      <c r="F308" s="1727"/>
      <c r="G308" s="1727"/>
      <c r="H308" s="1727"/>
      <c r="I308" s="1727"/>
      <c r="J308" s="1727"/>
      <c r="K308" s="2902">
        <f>'10. ExpensesData'!H77</f>
        <v>0.02</v>
      </c>
      <c r="L308" s="2753"/>
    </row>
    <row r="309" spans="1:13" x14ac:dyDescent="0.25">
      <c r="A309" s="2841" t="s">
        <v>688</v>
      </c>
      <c r="B309" s="1727">
        <v>10.1</v>
      </c>
      <c r="C309" s="2884" t="s">
        <v>617</v>
      </c>
      <c r="D309" s="1727"/>
      <c r="E309" s="1727"/>
      <c r="F309" s="1727"/>
      <c r="G309" s="1727"/>
      <c r="H309" s="1727"/>
      <c r="I309" s="1727"/>
      <c r="J309" s="1727"/>
      <c r="K309" s="2934">
        <f>'10. ExpensesData'!F83</f>
        <v>60</v>
      </c>
      <c r="L309" s="2753"/>
    </row>
    <row r="310" spans="1:13" x14ac:dyDescent="0.25">
      <c r="A310" s="2841" t="s">
        <v>688</v>
      </c>
      <c r="B310" s="1727">
        <v>10.1</v>
      </c>
      <c r="C310" s="2884" t="s">
        <v>618</v>
      </c>
      <c r="D310" s="1727"/>
      <c r="E310" s="1727"/>
      <c r="F310" s="1727"/>
      <c r="G310" s="1727"/>
      <c r="H310" s="1727"/>
      <c r="I310" s="1727"/>
      <c r="J310" s="1727"/>
      <c r="K310" s="2934">
        <f>'10. ExpensesData'!F85</f>
        <v>55</v>
      </c>
      <c r="L310" s="2753"/>
    </row>
    <row r="311" spans="1:13" x14ac:dyDescent="0.25">
      <c r="A311" s="2841" t="s">
        <v>688</v>
      </c>
      <c r="B311" s="1727">
        <v>10.1</v>
      </c>
      <c r="C311" s="2884" t="s">
        <v>620</v>
      </c>
      <c r="D311" s="1727"/>
      <c r="E311" s="1727"/>
      <c r="F311" s="1727"/>
      <c r="G311" s="1727"/>
      <c r="H311" s="1727"/>
      <c r="I311" s="1727"/>
      <c r="J311" s="1727"/>
      <c r="K311" s="2934">
        <f>'10. ExpensesData'!F89</f>
        <v>85</v>
      </c>
      <c r="L311" s="2753"/>
    </row>
    <row r="312" spans="1:13" ht="15.75" thickBot="1" x14ac:dyDescent="0.3">
      <c r="A312" s="2856" t="s">
        <v>688</v>
      </c>
      <c r="B312" s="2157">
        <v>10.1</v>
      </c>
      <c r="C312" s="2948" t="s">
        <v>621</v>
      </c>
      <c r="D312" s="2157"/>
      <c r="E312" s="2157"/>
      <c r="F312" s="2157"/>
      <c r="G312" s="2157"/>
      <c r="H312" s="2157"/>
      <c r="I312" s="2157"/>
      <c r="J312" s="2157"/>
      <c r="K312" s="2965">
        <f>'10. ExpensesData'!F91</f>
        <v>87</v>
      </c>
      <c r="L312" s="2783"/>
    </row>
    <row r="313" spans="1:13" ht="15.75" thickTop="1" x14ac:dyDescent="0.25">
      <c r="C313" s="1727"/>
    </row>
    <row r="315" spans="1:13" s="2809" customFormat="1" ht="15.75" x14ac:dyDescent="0.25">
      <c r="B315" s="1471" t="s">
        <v>1770</v>
      </c>
      <c r="F315" s="1383" t="s">
        <v>1130</v>
      </c>
    </row>
    <row r="316" spans="1:13" ht="15.75" thickBot="1" x14ac:dyDescent="0.3"/>
    <row r="317" spans="1:13" ht="19.5" thickTop="1" x14ac:dyDescent="0.3">
      <c r="A317" s="3018" t="s">
        <v>486</v>
      </c>
      <c r="B317" s="3019"/>
      <c r="C317" s="3019"/>
      <c r="D317" s="3020"/>
      <c r="E317" s="3020"/>
      <c r="F317" s="3019"/>
      <c r="G317" s="3019"/>
      <c r="H317" s="3021"/>
    </row>
    <row r="318" spans="1:13" ht="15.75" x14ac:dyDescent="0.25">
      <c r="A318" s="3022" t="s">
        <v>736</v>
      </c>
      <c r="B318" s="3023"/>
      <c r="C318" s="3023"/>
      <c r="D318" s="3024"/>
      <c r="E318" s="3024"/>
      <c r="F318" s="3023"/>
      <c r="G318" s="3023"/>
      <c r="H318" s="3025"/>
    </row>
    <row r="319" spans="1:13" x14ac:dyDescent="0.25">
      <c r="A319" s="3026"/>
      <c r="B319" s="943" t="s">
        <v>326</v>
      </c>
      <c r="C319" s="3024"/>
      <c r="D319" s="3024"/>
      <c r="E319" s="3024"/>
      <c r="F319" s="3023"/>
      <c r="G319" s="3023"/>
      <c r="H319" s="3025"/>
    </row>
    <row r="320" spans="1:13" x14ac:dyDescent="0.25">
      <c r="A320" s="3026"/>
      <c r="B320" s="1356" t="s">
        <v>870</v>
      </c>
      <c r="C320" s="3027"/>
      <c r="D320" s="3027"/>
      <c r="E320" s="3024"/>
      <c r="F320" s="3023"/>
      <c r="G320" s="3023"/>
      <c r="H320" s="3025"/>
    </row>
    <row r="321" spans="1:8" x14ac:dyDescent="0.25">
      <c r="A321" s="3026"/>
      <c r="B321" s="942" t="s">
        <v>1103</v>
      </c>
      <c r="C321" s="3024"/>
      <c r="D321" s="3024"/>
      <c r="E321" s="3024"/>
      <c r="F321" s="3023"/>
      <c r="G321" s="3023"/>
      <c r="H321" s="3025"/>
    </row>
    <row r="322" spans="1:8" x14ac:dyDescent="0.25">
      <c r="A322" s="3026" t="s">
        <v>154</v>
      </c>
      <c r="B322" s="942" t="s">
        <v>1104</v>
      </c>
      <c r="C322" s="3024"/>
      <c r="D322" s="3024"/>
      <c r="E322" s="3024"/>
      <c r="F322" s="3023"/>
      <c r="G322" s="3023"/>
      <c r="H322" s="3025"/>
    </row>
    <row r="323" spans="1:8" x14ac:dyDescent="0.25">
      <c r="A323" s="3026"/>
      <c r="B323" s="942" t="s">
        <v>1105</v>
      </c>
      <c r="C323" s="3024"/>
      <c r="D323" s="3024"/>
      <c r="E323" s="3024"/>
      <c r="F323" s="3023"/>
      <c r="G323" s="3023"/>
      <c r="H323" s="3025"/>
    </row>
    <row r="324" spans="1:8" x14ac:dyDescent="0.25">
      <c r="A324" s="3028"/>
      <c r="B324" s="942" t="s">
        <v>1106</v>
      </c>
      <c r="C324" s="3029"/>
      <c r="D324" s="3024"/>
      <c r="E324" s="3024"/>
      <c r="F324" s="3023"/>
      <c r="G324" s="3023"/>
      <c r="H324" s="3025"/>
    </row>
    <row r="325" spans="1:8" x14ac:dyDescent="0.25">
      <c r="A325" s="3028"/>
      <c r="B325" s="942" t="s">
        <v>1449</v>
      </c>
      <c r="C325" s="3029"/>
      <c r="D325" s="3024"/>
      <c r="E325" s="3024"/>
      <c r="F325" s="3023"/>
      <c r="G325" s="3023"/>
      <c r="H325" s="3025"/>
    </row>
    <row r="326" spans="1:8" x14ac:dyDescent="0.25">
      <c r="A326" s="3028"/>
      <c r="B326" s="942" t="s">
        <v>1462</v>
      </c>
      <c r="C326" s="3029"/>
      <c r="D326" s="3024"/>
      <c r="E326" s="3024"/>
      <c r="F326" s="3023"/>
      <c r="G326" s="3023"/>
      <c r="H326" s="3025"/>
    </row>
    <row r="327" spans="1:8" x14ac:dyDescent="0.25">
      <c r="A327" s="3028"/>
      <c r="B327" s="942" t="s">
        <v>1450</v>
      </c>
      <c r="C327" s="3029"/>
      <c r="D327" s="3024"/>
      <c r="E327" s="3024"/>
      <c r="F327" s="3023"/>
      <c r="G327" s="3023"/>
      <c r="H327" s="3025"/>
    </row>
    <row r="328" spans="1:8" x14ac:dyDescent="0.25">
      <c r="A328" s="3028"/>
      <c r="B328" s="942" t="s">
        <v>1107</v>
      </c>
      <c r="C328" s="3029"/>
      <c r="D328" s="3024"/>
      <c r="E328" s="3024"/>
      <c r="F328" s="3023"/>
      <c r="G328" s="3023"/>
      <c r="H328" s="3025"/>
    </row>
    <row r="329" spans="1:8" x14ac:dyDescent="0.25">
      <c r="A329" s="3028"/>
      <c r="B329" s="943" t="s">
        <v>1108</v>
      </c>
      <c r="C329" s="3029"/>
      <c r="D329" s="3024"/>
      <c r="E329" s="3024"/>
      <c r="F329" s="3023"/>
      <c r="G329" s="3023"/>
      <c r="H329" s="3025"/>
    </row>
    <row r="330" spans="1:8" x14ac:dyDescent="0.25">
      <c r="A330" s="3028"/>
      <c r="B330" s="943" t="s">
        <v>1100</v>
      </c>
      <c r="C330" s="3029"/>
      <c r="D330" s="3024"/>
      <c r="E330" s="3024"/>
      <c r="F330" s="3023"/>
      <c r="G330" s="3023"/>
      <c r="H330" s="3025"/>
    </row>
    <row r="331" spans="1:8" x14ac:dyDescent="0.25">
      <c r="A331" s="3026"/>
      <c r="B331" s="943" t="s">
        <v>1099</v>
      </c>
      <c r="C331" s="3024"/>
      <c r="D331" s="3024"/>
      <c r="E331" s="3024"/>
      <c r="F331" s="3023"/>
      <c r="G331" s="3023"/>
      <c r="H331" s="3025"/>
    </row>
    <row r="332" spans="1:8" x14ac:dyDescent="0.25">
      <c r="A332" s="3026"/>
      <c r="B332" s="943" t="s">
        <v>1098</v>
      </c>
      <c r="C332" s="3024"/>
      <c r="D332" s="3024"/>
      <c r="E332" s="3024"/>
      <c r="F332" s="3023"/>
      <c r="G332" s="3023"/>
      <c r="H332" s="3025"/>
    </row>
    <row r="333" spans="1:8" x14ac:dyDescent="0.25">
      <c r="A333" s="3026"/>
      <c r="B333" s="942" t="s">
        <v>1097</v>
      </c>
      <c r="C333" s="3024"/>
      <c r="D333" s="3024"/>
      <c r="E333" s="3024"/>
      <c r="F333" s="3023"/>
      <c r="G333" s="3023"/>
      <c r="H333" s="3025"/>
    </row>
    <row r="334" spans="1:8" x14ac:dyDescent="0.25">
      <c r="A334" s="3026"/>
      <c r="B334" s="943" t="s">
        <v>1101</v>
      </c>
      <c r="C334" s="3024"/>
      <c r="D334" s="3024"/>
      <c r="E334" s="3024"/>
      <c r="F334" s="3023"/>
      <c r="G334" s="3023"/>
      <c r="H334" s="3025"/>
    </row>
    <row r="335" spans="1:8" x14ac:dyDescent="0.25">
      <c r="A335" s="3026"/>
      <c r="B335" s="943" t="s">
        <v>1102</v>
      </c>
      <c r="C335" s="3024"/>
      <c r="D335" s="3029" t="s">
        <v>1762</v>
      </c>
      <c r="E335" s="3024"/>
      <c r="F335" s="3023"/>
      <c r="G335" s="3023"/>
      <c r="H335" s="3025"/>
    </row>
    <row r="336" spans="1:8" x14ac:dyDescent="0.25">
      <c r="A336" s="3030"/>
      <c r="B336" s="1081" t="s">
        <v>719</v>
      </c>
      <c r="C336" s="3024"/>
      <c r="D336" s="3029" t="s">
        <v>1764</v>
      </c>
      <c r="E336" s="3024"/>
      <c r="F336" s="3023"/>
      <c r="G336" s="3023"/>
      <c r="H336" s="3025"/>
    </row>
    <row r="337" spans="1:8" x14ac:dyDescent="0.25">
      <c r="A337" s="3030"/>
      <c r="B337" s="1081" t="s">
        <v>720</v>
      </c>
      <c r="C337" s="3024"/>
      <c r="D337" s="3029" t="s">
        <v>1289</v>
      </c>
      <c r="E337" s="3024"/>
      <c r="F337" s="3024"/>
      <c r="G337" s="3024"/>
      <c r="H337" s="3025"/>
    </row>
    <row r="338" spans="1:8" x14ac:dyDescent="0.25">
      <c r="A338" s="3030"/>
      <c r="B338" s="1081" t="s">
        <v>721</v>
      </c>
      <c r="C338" s="3024"/>
      <c r="D338" s="3024" t="s">
        <v>722</v>
      </c>
      <c r="E338" s="3024"/>
      <c r="F338" s="3024"/>
      <c r="G338" s="3024"/>
      <c r="H338" s="3025"/>
    </row>
    <row r="339" spans="1:8" x14ac:dyDescent="0.25">
      <c r="A339" s="3030"/>
      <c r="B339" s="1081" t="s">
        <v>725</v>
      </c>
      <c r="C339" s="3024"/>
      <c r="D339" s="3029" t="s">
        <v>1763</v>
      </c>
      <c r="E339" s="3024"/>
      <c r="F339" s="3024"/>
      <c r="G339" s="3024"/>
      <c r="H339" s="3025"/>
    </row>
    <row r="340" spans="1:8" ht="15.75" thickBot="1" x14ac:dyDescent="0.3">
      <c r="A340" s="3031"/>
      <c r="B340" s="1089" t="s">
        <v>577</v>
      </c>
      <c r="C340" s="3032"/>
      <c r="D340" s="3033" t="s">
        <v>578</v>
      </c>
      <c r="E340" s="3032"/>
      <c r="F340" s="3032"/>
      <c r="G340" s="3032"/>
      <c r="H340" s="3034"/>
    </row>
    <row r="341" spans="1:8" ht="15.75" thickTop="1" x14ac:dyDescent="0.25"/>
  </sheetData>
  <sheetProtection sheet="1" objects="1" scenarios="1"/>
  <dataValidations count="2">
    <dataValidation type="list" allowBlank="1" showInputMessage="1" showErrorMessage="1" sqref="K26:K33">
      <formula1>"used,ignored"</formula1>
    </dataValidation>
    <dataValidation type="list" allowBlank="1" showInputMessage="1" showErrorMessage="1" sqref="F64">
      <formula1>"S1,S2,Other"</formula1>
    </dataValidation>
  </dataValidations>
  <hyperlinks>
    <hyperlink ref="B22" location="'S. Setup'!A1" display="S. Setup"/>
    <hyperlink ref="B49" location="'1. AgeData'!A1" display="1. AgeData"/>
    <hyperlink ref="B72" location="'2. TaxData'!A1" display="2. TaxData"/>
    <hyperlink ref="B104" location="'4. PensionData'!A1" display="4. PensionData"/>
    <hyperlink ref="B120" location="'5. SocSecData'!A1" display="5. SocSecData"/>
    <hyperlink ref="B87" location="'3. WorkData'!A1" display="3. WorkData"/>
    <hyperlink ref="B141" location="'6. AnnuityData'!A1" display="6. AnnuityData"/>
    <hyperlink ref="B163" location="'7. IRAdata'!A1" display="7. IRAdata"/>
    <hyperlink ref="B217" location="'8. RothData'!A1" display="8. RothData"/>
    <hyperlink ref="B294" location="'10. ExpensesData'!A1" display="10. ExpensesData"/>
    <hyperlink ref="B246" location="'9. SavingsData'!A1" display="9. SavingsData"/>
    <hyperlink ref="B1" location="Introduction!A1" display="Previous worksheet (SimpleCalc)"/>
    <hyperlink ref="F1" location="'R. Results'!A1" display="Next worksheet (Results)"/>
    <hyperlink ref="B322" location="'S. Setup'!A1" display="Setup"/>
    <hyperlink ref="B323" location="'1. AgeData'!A1" display="AgeData"/>
    <hyperlink ref="B324" location="'2. TaxData'!A1" display="TaxData"/>
    <hyperlink ref="B326" location="'4. PensionData'!A1" display="4. PensionData"/>
    <hyperlink ref="B327" location="'5. SocSecData'!A1" display="5. SocSecData"/>
    <hyperlink ref="B325" location="'3. WorkData'!A1" display="3. WorkData"/>
    <hyperlink ref="B328" location="'6. AnnuityData'!A1" display="AnnuityData"/>
    <hyperlink ref="B329" location="'7. IRAdata'!A1" display="IRAdata"/>
    <hyperlink ref="B330" location="'8. RothData'!A1" display="RothData"/>
    <hyperlink ref="B331" location="'9. SavingsData'!A1" display="SavingsData"/>
    <hyperlink ref="B321" location="'R. Results'!A1" display="Results"/>
    <hyperlink ref="B333" location="'11. CashData'!A1" display="CashData"/>
    <hyperlink ref="B332" location="'10. ExpensesData'!A1" display="ExpensesData"/>
    <hyperlink ref="B334" location="'12. RMDtable'!A1" display="RMDtable"/>
    <hyperlink ref="B319" location="Introduction!A1" display="Introduction"/>
    <hyperlink ref="B339" location="'Appendix D'!A1" display="Appendix D"/>
    <hyperlink ref="B336" location="'Appendix A'!A1" display="Appendix A"/>
    <hyperlink ref="B337" location="'Appendix B'!A1" display="Appendix B"/>
    <hyperlink ref="B338" location="'Appendix C'!A1" display="Appendix C"/>
    <hyperlink ref="B340" location="FAQ!A1" display="FAQ"/>
    <hyperlink ref="B320" location="Assumptions!A1" display="Assumptions"/>
    <hyperlink ref="B335" location="'RS. Resources'!A1" display="Resources"/>
    <hyperlink ref="B315" location="Introduction!A1" display="Previous worksheet (SimpleCalc)"/>
    <hyperlink ref="F315" location="'R. Results'!A1" display="Next worksheet (Results)"/>
  </hyperlinks>
  <pageMargins left="0.7" right="0.7" top="0.75" bottom="0.75" header="0.3" footer="0.3"/>
  <pageSetup orientation="landscape" horizontalDpi="0" verticalDpi="0" r:id="rId1"/>
  <ignoredErrors>
    <ignoredError sqref="E201:E202 E195:E197 H195:H197 F195 F200:F202 E205:H205 D220:H220 D221:D223 E221:E223 F221:F223 G221:G223 H221:H223 D226:D229 E226:E229 F226:F229 G226:G229 H226:H229 D232:J232 D235:J235 H233:H234 I233:I234 J233:J234 D238:J238 J239:J240 D90:D92 E90:E92 F90:F92 G90:G92 H90:H92 D95:D97 E95:E97 F95:F97 G95:G97 H95:H97" unlocked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X1093"/>
  <sheetViews>
    <sheetView zoomScaleNormal="100" workbookViewId="0">
      <selection activeCell="G5" sqref="G5"/>
    </sheetView>
  </sheetViews>
  <sheetFormatPr defaultRowHeight="15" x14ac:dyDescent="0.25"/>
  <cols>
    <col min="1" max="1" width="3.5703125" customWidth="1"/>
    <col min="2" max="2" width="3.42578125" customWidth="1"/>
    <col min="4" max="4" width="9.42578125" customWidth="1"/>
    <col min="5" max="5" width="10.7109375" customWidth="1"/>
    <col min="6" max="6" width="8.28515625" customWidth="1"/>
    <col min="7" max="7" width="7.7109375" customWidth="1"/>
    <col min="8" max="9" width="8.85546875" customWidth="1"/>
    <col min="10" max="10" width="8.28515625" customWidth="1"/>
    <col min="11" max="11" width="8.42578125" customWidth="1"/>
    <col min="12" max="12" width="12" customWidth="1"/>
    <col min="13" max="13" width="10.42578125" customWidth="1"/>
    <col min="14" max="14" width="8.140625" customWidth="1"/>
    <col min="15" max="15" width="7" customWidth="1"/>
  </cols>
  <sheetData>
    <row r="1" spans="1:14" s="1382" customFormat="1" ht="15.75" x14ac:dyDescent="0.25">
      <c r="B1" s="1383" t="s">
        <v>954</v>
      </c>
      <c r="G1" s="1383" t="s">
        <v>1129</v>
      </c>
    </row>
    <row r="2" spans="1:14" s="1380" customFormat="1" x14ac:dyDescent="0.25">
      <c r="A2" s="1404"/>
      <c r="B2" s="1404"/>
      <c r="C2" s="1404"/>
      <c r="D2" s="1404"/>
      <c r="E2" s="1404"/>
      <c r="F2" s="1404"/>
      <c r="G2" s="1404"/>
      <c r="H2" s="1404"/>
      <c r="I2" s="1404"/>
      <c r="J2" s="1404"/>
      <c r="K2" s="1404"/>
      <c r="L2" s="1404"/>
      <c r="M2" s="1404"/>
      <c r="N2" s="1404"/>
    </row>
    <row r="3" spans="1:14" s="1405" customFormat="1" x14ac:dyDescent="0.25">
      <c r="A3" s="215"/>
      <c r="B3" s="215"/>
      <c r="C3" s="215"/>
      <c r="D3" s="215"/>
      <c r="E3" s="215"/>
      <c r="F3" s="215"/>
      <c r="G3" s="215"/>
      <c r="H3" s="215"/>
      <c r="I3" s="215"/>
      <c r="J3" s="215"/>
      <c r="K3" s="215"/>
      <c r="L3" s="215"/>
      <c r="M3" s="215"/>
      <c r="N3" s="215"/>
    </row>
    <row r="4" spans="1:14" s="6" customFormat="1" ht="18.75" x14ac:dyDescent="0.3">
      <c r="A4" s="144" t="s">
        <v>2402</v>
      </c>
    </row>
    <row r="5" spans="1:14" s="6" customFormat="1" ht="18.75" x14ac:dyDescent="0.3">
      <c r="A5" s="144"/>
    </row>
    <row r="6" spans="1:14" s="6" customFormat="1" ht="15.75" x14ac:dyDescent="0.25">
      <c r="A6" s="1582" t="s">
        <v>2989</v>
      </c>
    </row>
    <row r="7" spans="1:14" s="6" customFormat="1" x14ac:dyDescent="0.25">
      <c r="A7" t="s">
        <v>3666</v>
      </c>
    </row>
    <row r="8" spans="1:14" s="6" customFormat="1" x14ac:dyDescent="0.25">
      <c r="A8" t="s">
        <v>2997</v>
      </c>
    </row>
    <row r="9" spans="1:14" s="6" customFormat="1" x14ac:dyDescent="0.25">
      <c r="A9" t="s">
        <v>2998</v>
      </c>
    </row>
    <row r="10" spans="1:14" s="6" customFormat="1" ht="15.75" thickBot="1" x14ac:dyDescent="0.3"/>
    <row r="11" spans="1:14" ht="19.5" thickBot="1" x14ac:dyDescent="0.35">
      <c r="A11" s="1571" t="s">
        <v>1263</v>
      </c>
      <c r="B11" s="1572"/>
      <c r="C11" s="1573"/>
      <c r="D11" s="1573"/>
      <c r="E11" s="1572"/>
      <c r="F11" s="1572"/>
      <c r="G11" s="1572"/>
      <c r="H11" s="1572"/>
      <c r="I11" s="1572"/>
      <c r="J11" s="1572"/>
      <c r="K11" s="1575"/>
      <c r="L11" s="1575"/>
      <c r="M11" s="1576"/>
      <c r="N11" s="215"/>
    </row>
    <row r="12" spans="1:14" ht="15.75" x14ac:dyDescent="0.25">
      <c r="A12" s="1434"/>
      <c r="B12" s="6"/>
    </row>
    <row r="13" spans="1:14" x14ac:dyDescent="0.25">
      <c r="A13" s="121" t="s">
        <v>3673</v>
      </c>
      <c r="B13" s="6"/>
    </row>
    <row r="14" spans="1:14" x14ac:dyDescent="0.25">
      <c r="A14" s="6" t="s">
        <v>3674</v>
      </c>
      <c r="B14" s="6"/>
    </row>
    <row r="15" spans="1:14" x14ac:dyDescent="0.25">
      <c r="A15" s="1421" t="s">
        <v>3667</v>
      </c>
      <c r="B15" s="6"/>
    </row>
    <row r="16" spans="1:14" x14ac:dyDescent="0.25">
      <c r="A16" t="s">
        <v>3668</v>
      </c>
      <c r="B16" s="6"/>
    </row>
    <row r="17" spans="1:13" x14ac:dyDescent="0.25">
      <c r="A17" s="785" t="s">
        <v>3669</v>
      </c>
      <c r="B17" s="6"/>
    </row>
    <row r="18" spans="1:13" x14ac:dyDescent="0.25">
      <c r="A18" s="1421" t="s">
        <v>3670</v>
      </c>
      <c r="B18" s="6"/>
    </row>
    <row r="19" spans="1:13" x14ac:dyDescent="0.25">
      <c r="A19" s="1421" t="s">
        <v>3671</v>
      </c>
      <c r="B19" s="6"/>
    </row>
    <row r="20" spans="1:13" x14ac:dyDescent="0.25">
      <c r="A20" s="1421" t="s">
        <v>3672</v>
      </c>
      <c r="B20" s="6"/>
    </row>
    <row r="21" spans="1:13" x14ac:dyDescent="0.25">
      <c r="A21" s="254"/>
      <c r="B21" s="6"/>
    </row>
    <row r="22" spans="1:13" ht="18.75" x14ac:dyDescent="0.3">
      <c r="A22" s="671" t="s">
        <v>253</v>
      </c>
      <c r="B22" s="672"/>
      <c r="C22" s="672"/>
      <c r="D22" s="672"/>
      <c r="E22" s="672"/>
      <c r="F22" s="672"/>
      <c r="G22" s="672"/>
      <c r="H22" s="672"/>
      <c r="I22" s="672"/>
      <c r="J22" s="672"/>
      <c r="K22" s="672"/>
      <c r="L22" s="672"/>
      <c r="M22" s="675"/>
    </row>
    <row r="23" spans="1:13" ht="18.75" x14ac:dyDescent="0.3">
      <c r="A23" s="2542"/>
      <c r="B23" t="s">
        <v>2091</v>
      </c>
      <c r="C23" s="6"/>
      <c r="D23" s="6"/>
      <c r="E23" s="6"/>
      <c r="F23" s="6"/>
      <c r="G23" s="6"/>
      <c r="H23" s="6"/>
      <c r="I23" s="6"/>
      <c r="J23" s="6"/>
      <c r="K23" s="6"/>
      <c r="L23" s="6"/>
      <c r="M23" s="678"/>
    </row>
    <row r="24" spans="1:13" x14ac:dyDescent="0.25">
      <c r="A24" s="765"/>
      <c r="B24" s="1296" t="s">
        <v>2092</v>
      </c>
      <c r="C24" s="6"/>
      <c r="D24" s="6"/>
      <c r="E24" s="6"/>
      <c r="F24" s="6"/>
      <c r="G24" s="6"/>
      <c r="H24" s="6"/>
      <c r="I24" s="6"/>
      <c r="J24" s="6"/>
      <c r="K24" s="6"/>
      <c r="L24" s="6"/>
      <c r="M24" s="678"/>
    </row>
    <row r="25" spans="1:13" x14ac:dyDescent="0.25">
      <c r="A25" s="765"/>
      <c r="B25" t="s">
        <v>1611</v>
      </c>
      <c r="C25" s="6"/>
      <c r="D25" s="6"/>
      <c r="E25" s="6"/>
      <c r="F25" s="6"/>
      <c r="G25" s="6"/>
      <c r="H25" s="6"/>
      <c r="I25" s="6"/>
      <c r="J25" s="6"/>
      <c r="K25" s="6"/>
      <c r="L25" s="6"/>
      <c r="M25" s="678"/>
    </row>
    <row r="26" spans="1:13" x14ac:dyDescent="0.25">
      <c r="A26" s="765"/>
      <c r="B26" t="s">
        <v>1612</v>
      </c>
      <c r="C26" s="6"/>
      <c r="D26" s="6"/>
      <c r="E26" s="6"/>
      <c r="F26" s="6"/>
      <c r="G26" s="6"/>
      <c r="H26" s="6"/>
      <c r="I26" s="6"/>
      <c r="J26" s="6"/>
      <c r="K26" s="6"/>
      <c r="L26" s="6"/>
      <c r="M26" s="678"/>
    </row>
    <row r="27" spans="1:13" x14ac:dyDescent="0.25">
      <c r="A27" s="765"/>
      <c r="B27" t="s">
        <v>1613</v>
      </c>
      <c r="C27" s="6"/>
      <c r="D27" s="6"/>
      <c r="E27" s="6"/>
      <c r="F27" s="6"/>
      <c r="G27" s="6"/>
      <c r="H27" s="6"/>
      <c r="I27" s="6"/>
      <c r="J27" s="6"/>
      <c r="K27" s="6"/>
      <c r="L27" s="6"/>
      <c r="M27" s="678"/>
    </row>
    <row r="28" spans="1:13" x14ac:dyDescent="0.25">
      <c r="A28" s="765"/>
      <c r="B28" s="64" t="s">
        <v>434</v>
      </c>
      <c r="C28" s="6"/>
      <c r="D28" s="6"/>
      <c r="E28" s="6"/>
      <c r="F28" s="6"/>
      <c r="G28" s="6"/>
      <c r="H28" s="6"/>
      <c r="I28" s="6"/>
      <c r="J28" s="6"/>
      <c r="K28" s="6"/>
      <c r="L28" s="6"/>
      <c r="M28" s="678"/>
    </row>
    <row r="29" spans="1:13" x14ac:dyDescent="0.25">
      <c r="A29" s="765"/>
      <c r="B29" t="s">
        <v>1610</v>
      </c>
      <c r="C29" s="6"/>
      <c r="D29" s="6"/>
      <c r="E29" s="6"/>
      <c r="F29" s="6"/>
      <c r="G29" s="6"/>
      <c r="H29" s="6"/>
      <c r="I29" s="6"/>
      <c r="J29" s="6"/>
      <c r="K29" s="6"/>
      <c r="L29" s="6"/>
      <c r="M29" s="678"/>
    </row>
    <row r="30" spans="1:13" x14ac:dyDescent="0.25">
      <c r="A30" s="765"/>
      <c r="B30" s="64" t="s">
        <v>609</v>
      </c>
      <c r="C30" s="6"/>
      <c r="D30" s="6"/>
      <c r="E30" s="6"/>
      <c r="F30" s="6"/>
      <c r="G30" s="6"/>
      <c r="H30" s="6"/>
      <c r="I30" s="6"/>
      <c r="J30" s="6"/>
      <c r="K30" s="6"/>
      <c r="L30" s="6"/>
      <c r="M30" s="678"/>
    </row>
    <row r="31" spans="1:13" x14ac:dyDescent="0.25">
      <c r="A31" s="765"/>
      <c r="B31" t="s">
        <v>1609</v>
      </c>
      <c r="C31" s="6"/>
      <c r="D31" s="6"/>
      <c r="E31" s="6"/>
      <c r="F31" s="6"/>
      <c r="G31" s="6"/>
      <c r="H31" s="6"/>
      <c r="I31" s="6"/>
      <c r="J31" s="6"/>
      <c r="K31" s="6"/>
      <c r="L31" s="6"/>
      <c r="M31" s="678"/>
    </row>
    <row r="32" spans="1:13" x14ac:dyDescent="0.25">
      <c r="A32" s="765"/>
      <c r="B32" s="64" t="s">
        <v>1</v>
      </c>
      <c r="C32" s="6"/>
      <c r="D32" s="6"/>
      <c r="E32" s="6"/>
      <c r="F32" s="6"/>
      <c r="G32" s="6"/>
      <c r="H32" s="6"/>
      <c r="I32" s="6"/>
      <c r="J32" s="6"/>
      <c r="K32" s="6"/>
      <c r="L32" s="6"/>
      <c r="M32" s="678"/>
    </row>
    <row r="33" spans="1:13" x14ac:dyDescent="0.25">
      <c r="A33" s="765"/>
      <c r="B33" s="1296" t="s">
        <v>1608</v>
      </c>
      <c r="C33" s="6"/>
      <c r="D33" s="6"/>
      <c r="E33" s="6"/>
      <c r="F33" s="6"/>
      <c r="G33" s="6"/>
      <c r="H33" s="6"/>
      <c r="I33" s="6"/>
      <c r="J33" s="6"/>
      <c r="K33" s="6"/>
      <c r="L33" s="6"/>
      <c r="M33" s="678"/>
    </row>
    <row r="34" spans="1:13" x14ac:dyDescent="0.25">
      <c r="A34" s="765"/>
      <c r="B34" s="1317" t="s">
        <v>1607</v>
      </c>
      <c r="C34" s="6"/>
      <c r="D34" s="6"/>
      <c r="E34" s="6"/>
      <c r="F34" s="6"/>
      <c r="G34" s="6"/>
      <c r="H34" s="6"/>
      <c r="I34" s="6"/>
      <c r="J34" s="6"/>
      <c r="K34" s="6"/>
      <c r="L34" s="6"/>
      <c r="M34" s="678"/>
    </row>
    <row r="35" spans="1:13" x14ac:dyDescent="0.25">
      <c r="A35" s="765"/>
      <c r="B35" s="1082" t="s">
        <v>2</v>
      </c>
      <c r="C35" s="6"/>
      <c r="D35" s="6"/>
      <c r="E35" s="6"/>
      <c r="F35" s="6"/>
      <c r="G35" s="6"/>
      <c r="H35" s="6"/>
      <c r="I35" s="6"/>
      <c r="J35" s="6"/>
      <c r="K35" s="6"/>
      <c r="L35" s="6"/>
      <c r="M35" s="678"/>
    </row>
    <row r="36" spans="1:13" x14ac:dyDescent="0.25">
      <c r="A36" s="765"/>
      <c r="B36" s="1317" t="s">
        <v>1604</v>
      </c>
      <c r="C36" s="6"/>
      <c r="D36" s="6"/>
      <c r="E36" s="6"/>
      <c r="F36" s="6"/>
      <c r="G36" s="6"/>
      <c r="H36" s="6"/>
      <c r="I36" s="6"/>
      <c r="J36" s="6"/>
      <c r="K36" s="6"/>
      <c r="L36" s="6"/>
      <c r="M36" s="678"/>
    </row>
    <row r="37" spans="1:13" x14ac:dyDescent="0.25">
      <c r="A37" s="765"/>
      <c r="B37" s="1317" t="s">
        <v>1605</v>
      </c>
      <c r="C37" s="6"/>
      <c r="D37" s="6"/>
      <c r="E37" s="6"/>
      <c r="F37" s="6"/>
      <c r="G37" s="6"/>
      <c r="H37" s="6"/>
      <c r="I37" s="6"/>
      <c r="J37" s="6"/>
      <c r="K37" s="6"/>
      <c r="L37" s="6"/>
      <c r="M37" s="678"/>
    </row>
    <row r="38" spans="1:13" x14ac:dyDescent="0.25">
      <c r="A38" s="765"/>
      <c r="B38" s="1317" t="s">
        <v>1606</v>
      </c>
      <c r="C38" s="6"/>
      <c r="D38" s="6"/>
      <c r="E38" s="6"/>
      <c r="F38" s="6"/>
      <c r="G38" s="6"/>
      <c r="H38" s="6"/>
      <c r="I38" s="6"/>
      <c r="J38" s="6"/>
      <c r="K38" s="6"/>
      <c r="L38" s="6"/>
      <c r="M38" s="678"/>
    </row>
    <row r="39" spans="1:13" x14ac:dyDescent="0.25">
      <c r="A39" s="765"/>
      <c r="B39" s="93" t="s">
        <v>610</v>
      </c>
      <c r="C39" s="33"/>
      <c r="D39" s="33"/>
      <c r="E39" s="33"/>
      <c r="F39" s="33"/>
      <c r="G39" s="33"/>
      <c r="H39" s="33"/>
      <c r="I39" s="33"/>
      <c r="J39" s="33"/>
      <c r="K39" s="33"/>
      <c r="L39" s="6"/>
      <c r="M39" s="678"/>
    </row>
    <row r="40" spans="1:13" x14ac:dyDescent="0.25">
      <c r="A40" s="765"/>
      <c r="B40" s="1421" t="s">
        <v>1602</v>
      </c>
      <c r="C40" s="33"/>
      <c r="D40" s="33"/>
      <c r="E40" s="33"/>
      <c r="F40" s="33"/>
      <c r="G40" s="33"/>
      <c r="H40" s="33"/>
      <c r="I40" s="33"/>
      <c r="J40" s="33"/>
      <c r="K40" s="33"/>
      <c r="L40" s="6"/>
      <c r="M40" s="678"/>
    </row>
    <row r="41" spans="1:13" x14ac:dyDescent="0.25">
      <c r="A41" s="765"/>
      <c r="B41" s="2660" t="s">
        <v>2250</v>
      </c>
      <c r="C41" s="2234"/>
      <c r="D41" s="2472"/>
      <c r="E41" s="2472"/>
      <c r="F41" s="2472"/>
      <c r="G41" s="2472"/>
      <c r="H41" s="2472"/>
      <c r="I41" s="2472"/>
      <c r="J41" s="2472"/>
      <c r="K41" s="2472"/>
      <c r="L41" s="6"/>
      <c r="M41" s="678"/>
    </row>
    <row r="42" spans="1:13" x14ac:dyDescent="0.25">
      <c r="A42" s="765"/>
      <c r="B42" s="1351" t="s">
        <v>2247</v>
      </c>
      <c r="C42" s="2472"/>
      <c r="D42" s="2472"/>
      <c r="E42" s="2472"/>
      <c r="F42" s="2472"/>
      <c r="G42" s="2472"/>
      <c r="H42" s="2472"/>
      <c r="I42" s="2472"/>
      <c r="J42" s="2472"/>
      <c r="K42" s="2472"/>
      <c r="L42" s="6"/>
      <c r="M42" s="678"/>
    </row>
    <row r="43" spans="1:13" x14ac:dyDescent="0.25">
      <c r="A43" s="765"/>
      <c r="B43" s="1421" t="s">
        <v>2248</v>
      </c>
      <c r="C43" s="2472"/>
      <c r="D43" s="2472"/>
      <c r="E43" s="2472"/>
      <c r="F43" s="2472"/>
      <c r="G43" s="2472"/>
      <c r="H43" s="2472"/>
      <c r="I43" s="2472"/>
      <c r="J43" s="2472"/>
      <c r="K43" s="2472"/>
      <c r="L43" s="6"/>
      <c r="M43" s="678"/>
    </row>
    <row r="44" spans="1:13" x14ac:dyDescent="0.25">
      <c r="A44" s="765"/>
      <c r="B44" s="1421" t="s">
        <v>2249</v>
      </c>
      <c r="C44" s="2472"/>
      <c r="D44" s="2472"/>
      <c r="E44" s="2472"/>
      <c r="F44" s="2472"/>
      <c r="G44" s="2472"/>
      <c r="H44" s="2472"/>
      <c r="I44" s="2472"/>
      <c r="J44" s="2472"/>
      <c r="K44" s="2472"/>
      <c r="L44" s="6"/>
      <c r="M44" s="678"/>
    </row>
    <row r="45" spans="1:13" x14ac:dyDescent="0.25">
      <c r="A45" s="765"/>
      <c r="B45" t="s">
        <v>1073</v>
      </c>
      <c r="C45" s="6"/>
      <c r="D45" s="6"/>
      <c r="E45" s="6"/>
      <c r="F45" s="6"/>
      <c r="G45" s="6"/>
      <c r="H45" s="6"/>
      <c r="I45" s="6"/>
      <c r="J45" s="6"/>
      <c r="K45" s="6"/>
      <c r="L45" s="6"/>
      <c r="M45" s="678"/>
    </row>
    <row r="46" spans="1:13" x14ac:dyDescent="0.25">
      <c r="A46" s="765"/>
      <c r="B46" s="64" t="s">
        <v>7</v>
      </c>
      <c r="C46" s="6"/>
      <c r="D46" s="6"/>
      <c r="E46" s="6"/>
      <c r="F46" s="6"/>
      <c r="G46" s="6"/>
      <c r="H46" s="6"/>
      <c r="I46" s="6"/>
      <c r="J46" s="6"/>
      <c r="K46" s="6"/>
      <c r="L46" s="6"/>
      <c r="M46" s="678"/>
    </row>
    <row r="47" spans="1:13" x14ac:dyDescent="0.25">
      <c r="A47" s="765"/>
      <c r="B47" t="s">
        <v>1622</v>
      </c>
      <c r="C47" s="6"/>
      <c r="D47" s="6"/>
      <c r="E47" s="6"/>
      <c r="F47" s="6"/>
      <c r="G47" s="6"/>
      <c r="H47" s="6"/>
      <c r="I47" s="6"/>
      <c r="J47" s="6"/>
      <c r="K47" s="6"/>
      <c r="L47" s="6"/>
      <c r="M47" s="678"/>
    </row>
    <row r="48" spans="1:13" x14ac:dyDescent="0.25">
      <c r="A48" s="765"/>
      <c r="B48" s="64" t="s">
        <v>127</v>
      </c>
      <c r="C48" s="6"/>
      <c r="D48" s="6"/>
      <c r="E48" s="6"/>
      <c r="F48" s="6"/>
      <c r="G48" s="6"/>
      <c r="H48" s="6"/>
      <c r="I48" s="6"/>
      <c r="J48" s="6"/>
      <c r="K48" s="6"/>
      <c r="L48" s="6"/>
      <c r="M48" s="678"/>
    </row>
    <row r="49" spans="1:13" x14ac:dyDescent="0.25">
      <c r="A49" s="765"/>
      <c r="B49" s="1317" t="s">
        <v>1626</v>
      </c>
      <c r="C49" s="6"/>
      <c r="D49" s="6"/>
      <c r="E49" s="6"/>
      <c r="F49" s="6"/>
      <c r="G49" s="6"/>
      <c r="H49" s="6"/>
      <c r="I49" s="6"/>
      <c r="J49" s="6"/>
      <c r="K49" s="6"/>
      <c r="L49" s="6"/>
      <c r="M49" s="678"/>
    </row>
    <row r="50" spans="1:13" x14ac:dyDescent="0.25">
      <c r="A50" s="765"/>
      <c r="B50" s="6" t="s">
        <v>0</v>
      </c>
      <c r="C50" s="6"/>
      <c r="D50" s="6"/>
      <c r="E50" s="6"/>
      <c r="F50" s="6"/>
      <c r="G50" s="6"/>
      <c r="H50" s="6"/>
      <c r="I50" s="6"/>
      <c r="J50" s="6"/>
      <c r="K50" s="6"/>
      <c r="L50" s="6"/>
      <c r="M50" s="678"/>
    </row>
    <row r="51" spans="1:13" x14ac:dyDescent="0.25">
      <c r="A51" s="765"/>
      <c r="B51" s="1296" t="s">
        <v>8</v>
      </c>
      <c r="C51" s="6"/>
      <c r="D51" s="6"/>
      <c r="E51" s="6"/>
      <c r="F51" s="6"/>
      <c r="G51" s="6"/>
      <c r="H51" s="6"/>
      <c r="I51" s="6"/>
      <c r="J51" s="6"/>
      <c r="K51" s="6"/>
      <c r="L51" s="6"/>
      <c r="M51" s="678"/>
    </row>
    <row r="52" spans="1:13" x14ac:dyDescent="0.25">
      <c r="A52" s="987"/>
      <c r="B52" s="1399" t="s">
        <v>128</v>
      </c>
      <c r="C52" s="680"/>
      <c r="D52" s="680"/>
      <c r="E52" s="680"/>
      <c r="F52" s="680"/>
      <c r="G52" s="680"/>
      <c r="H52" s="680"/>
      <c r="I52" s="680"/>
      <c r="J52" s="680"/>
      <c r="K52" s="680"/>
      <c r="L52" s="680"/>
      <c r="M52" s="682"/>
    </row>
    <row r="53" spans="1:13" ht="15.75" thickBot="1" x14ac:dyDescent="0.3">
      <c r="A53" s="93"/>
      <c r="B53" s="64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</row>
    <row r="54" spans="1:13" ht="18.75" x14ac:dyDescent="0.3">
      <c r="B54" s="1055" t="str">
        <f>"Note: "&amp;IF(COUNTIF($E$1009:$E$1014,"&lt;&gt;.")=0,"NO PROBLEMS with accounts running out of money in Table R.8.1","Problems with accounts running out of money in TableR.8.1")</f>
        <v>Note: NO PROBLEMS with accounts running out of money in Table R.8.1</v>
      </c>
      <c r="C54" s="1056"/>
      <c r="D54" s="1056"/>
      <c r="E54" s="1056"/>
      <c r="F54" s="1056"/>
      <c r="G54" s="1056"/>
      <c r="H54" s="1056"/>
      <c r="I54" s="1056"/>
      <c r="J54" s="1056"/>
      <c r="K54" s="1056"/>
      <c r="L54" s="1056"/>
      <c r="M54" s="1057"/>
    </row>
    <row r="55" spans="1:13" ht="18.75" x14ac:dyDescent="0.3">
      <c r="B55" s="1058" t="str">
        <f>IF(COUNTIF($E$1009:$E$1014,"&lt;&gt;.")=0,".","   You should check your expenses and withdrawals to try to keep account balances positive.")</f>
        <v>.</v>
      </c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1059"/>
    </row>
    <row r="56" spans="1:13" ht="18.75" x14ac:dyDescent="0.3">
      <c r="B56" s="1058" t="str">
        <f>"Note: "&amp;IF(COUNTIF($E$1020:$E$1065,"&lt;&gt;.")=0,"NO ERRORS","ERRORS")&amp;" were detected in age data  ranges in any data worksheets in table R.8.2"</f>
        <v>Note: NO ERRORS were detected in age data  ranges in any data worksheets in table R.8.2</v>
      </c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1059"/>
    </row>
    <row r="57" spans="1:13" ht="19.5" thickBot="1" x14ac:dyDescent="0.35">
      <c r="B57" s="1060" t="str">
        <f>IF(COUNTIF($E$1020:$E$1065,"&lt;&gt;.")=0,".","   You should check the age data ranges in the data worksheets.")</f>
        <v>.</v>
      </c>
      <c r="C57" s="1061"/>
      <c r="D57" s="1061"/>
      <c r="E57" s="1061"/>
      <c r="F57" s="1061"/>
      <c r="G57" s="1061"/>
      <c r="H57" s="1061"/>
      <c r="I57" s="1061"/>
      <c r="J57" s="1061"/>
      <c r="K57" s="1061"/>
      <c r="L57" s="1061"/>
      <c r="M57" s="1062"/>
    </row>
    <row r="58" spans="1:13" x14ac:dyDescent="0.25">
      <c r="A58" s="64"/>
      <c r="B58" s="6"/>
    </row>
    <row r="59" spans="1:13" x14ac:dyDescent="0.25">
      <c r="A59" s="63" t="s">
        <v>2299</v>
      </c>
      <c r="B59" s="6"/>
    </row>
    <row r="60" spans="1:13" x14ac:dyDescent="0.25">
      <c r="B60" s="1296" t="s">
        <v>2831</v>
      </c>
    </row>
    <row r="61" spans="1:13" x14ac:dyDescent="0.25">
      <c r="B61" s="64"/>
      <c r="C61" t="s">
        <v>1550</v>
      </c>
    </row>
    <row r="62" spans="1:13" x14ac:dyDescent="0.25">
      <c r="B62" s="64"/>
      <c r="C62" t="s">
        <v>1551</v>
      </c>
    </row>
    <row r="63" spans="1:13" x14ac:dyDescent="0.25">
      <c r="B63" s="64"/>
      <c r="C63" t="s">
        <v>1552</v>
      </c>
    </row>
    <row r="64" spans="1:13" x14ac:dyDescent="0.25">
      <c r="B64" s="64"/>
      <c r="C64" t="s">
        <v>1553</v>
      </c>
    </row>
    <row r="65" spans="1:15" x14ac:dyDescent="0.25">
      <c r="A65" s="64"/>
      <c r="B65" s="1296" t="s">
        <v>1144</v>
      </c>
    </row>
    <row r="66" spans="1:15" x14ac:dyDescent="0.25">
      <c r="A66" s="66"/>
      <c r="B66" s="1296" t="s">
        <v>1055</v>
      </c>
    </row>
    <row r="67" spans="1:15" x14ac:dyDescent="0.25">
      <c r="A67" s="66"/>
      <c r="B67" s="1296" t="s">
        <v>1479</v>
      </c>
    </row>
    <row r="68" spans="1:15" x14ac:dyDescent="0.25">
      <c r="A68" s="64"/>
      <c r="B68" s="64" t="s">
        <v>489</v>
      </c>
    </row>
    <row r="69" spans="1:15" x14ac:dyDescent="0.25">
      <c r="A69" s="64"/>
      <c r="B69" s="64"/>
      <c r="C69" t="s">
        <v>490</v>
      </c>
    </row>
    <row r="70" spans="1:15" x14ac:dyDescent="0.25">
      <c r="A70" s="67"/>
      <c r="B70" s="64" t="s">
        <v>291</v>
      </c>
    </row>
    <row r="71" spans="1:15" x14ac:dyDescent="0.25">
      <c r="A71" s="67"/>
      <c r="B71" s="1296" t="s">
        <v>2755</v>
      </c>
    </row>
    <row r="72" spans="1:15" x14ac:dyDescent="0.25">
      <c r="A72" s="67"/>
      <c r="B72" s="64"/>
      <c r="C72" t="s">
        <v>2756</v>
      </c>
    </row>
    <row r="73" spans="1:15" x14ac:dyDescent="0.25">
      <c r="A73" s="67"/>
      <c r="B73" s="64"/>
      <c r="C73" t="s">
        <v>622</v>
      </c>
    </row>
    <row r="74" spans="1:15" x14ac:dyDescent="0.25">
      <c r="A74" s="64"/>
      <c r="B74" s="1296" t="s">
        <v>1145</v>
      </c>
    </row>
    <row r="75" spans="1:15" x14ac:dyDescent="0.25">
      <c r="A75" s="102"/>
      <c r="B75" s="102"/>
      <c r="C75" t="s">
        <v>290</v>
      </c>
      <c r="O75" s="215"/>
    </row>
    <row r="76" spans="1:15" ht="15.75" thickBot="1" x14ac:dyDescent="0.3">
      <c r="B76" s="28"/>
      <c r="C76" s="6"/>
      <c r="D76" s="6"/>
      <c r="E76" s="7"/>
      <c r="F76" s="30"/>
      <c r="G76" s="29"/>
      <c r="H76" s="29"/>
      <c r="I76" s="29"/>
      <c r="J76" s="29"/>
      <c r="K76" s="29"/>
      <c r="L76" s="29"/>
      <c r="M76" s="29"/>
    </row>
    <row r="77" spans="1:15" ht="19.5" thickTop="1" x14ac:dyDescent="0.3">
      <c r="A77" s="241" t="s">
        <v>1146</v>
      </c>
      <c r="B77" s="242"/>
      <c r="C77" s="242"/>
      <c r="D77" s="242"/>
      <c r="E77" s="243"/>
      <c r="F77" s="244"/>
      <c r="G77" s="245"/>
      <c r="H77" s="245"/>
      <c r="I77" s="245"/>
      <c r="J77" s="245"/>
      <c r="K77" s="245"/>
      <c r="L77" s="245"/>
      <c r="M77" s="287"/>
    </row>
    <row r="78" spans="1:15" ht="18.75" x14ac:dyDescent="0.3">
      <c r="A78" s="822" t="s">
        <v>2300</v>
      </c>
      <c r="B78" s="591"/>
      <c r="C78" s="591"/>
      <c r="D78" s="591"/>
      <c r="E78" s="823"/>
      <c r="F78" s="824"/>
      <c r="G78" s="825"/>
      <c r="H78" s="825"/>
      <c r="I78" s="825"/>
      <c r="J78" s="825"/>
      <c r="K78" s="825"/>
      <c r="L78" s="825"/>
      <c r="M78" s="826"/>
    </row>
    <row r="79" spans="1:15" ht="18.75" x14ac:dyDescent="0.3">
      <c r="A79" s="597" t="s">
        <v>53</v>
      </c>
      <c r="B79" s="591"/>
      <c r="C79" s="592"/>
      <c r="D79" s="592"/>
      <c r="E79" s="593"/>
      <c r="F79" s="594"/>
      <c r="G79" s="577"/>
      <c r="H79" s="579"/>
      <c r="I79" s="578"/>
      <c r="J79" s="578"/>
      <c r="K79" s="595"/>
      <c r="L79" s="596"/>
      <c r="M79" s="598"/>
    </row>
    <row r="80" spans="1:15" ht="19.5" thickBot="1" x14ac:dyDescent="0.35">
      <c r="A80" s="786" t="s">
        <v>281</v>
      </c>
      <c r="B80" s="246"/>
      <c r="C80" s="247"/>
      <c r="D80" s="247"/>
      <c r="E80" s="248"/>
      <c r="F80" s="249"/>
      <c r="G80" s="250"/>
      <c r="H80" s="251"/>
      <c r="I80" s="252"/>
      <c r="J80" s="252"/>
      <c r="K80" s="253"/>
      <c r="L80" s="286"/>
      <c r="M80" s="288"/>
    </row>
    <row r="81" spans="1:22" ht="19.5" thickTop="1" x14ac:dyDescent="0.3">
      <c r="A81" s="599"/>
      <c r="B81" s="169"/>
      <c r="C81" s="170"/>
      <c r="D81" s="170"/>
      <c r="E81" s="171"/>
      <c r="F81" s="172"/>
      <c r="G81" s="173"/>
      <c r="H81" s="174"/>
      <c r="I81" s="75"/>
      <c r="J81" s="75"/>
      <c r="K81" s="130"/>
      <c r="L81" s="175"/>
      <c r="M81" s="33"/>
    </row>
    <row r="82" spans="1:22" ht="19.5" thickBot="1" x14ac:dyDescent="0.35">
      <c r="A82" s="599"/>
      <c r="B82" s="169"/>
      <c r="C82" s="170"/>
      <c r="D82" s="170"/>
      <c r="E82" s="171"/>
      <c r="F82" s="172"/>
      <c r="G82" s="173"/>
      <c r="H82" s="174"/>
      <c r="I82" s="75"/>
      <c r="J82" s="75"/>
      <c r="K82" s="130"/>
      <c r="L82" s="175"/>
      <c r="M82" s="33"/>
    </row>
    <row r="83" spans="1:22" ht="19.5" thickTop="1" x14ac:dyDescent="0.3">
      <c r="A83" s="1340" t="s">
        <v>2091</v>
      </c>
      <c r="B83" s="2528"/>
      <c r="C83" s="2529"/>
      <c r="D83" s="2530"/>
      <c r="E83" s="2530"/>
      <c r="F83" s="2529"/>
      <c r="G83" s="2530"/>
      <c r="H83" s="2530"/>
      <c r="I83" s="2529"/>
      <c r="J83" s="2531"/>
      <c r="K83" s="2529"/>
      <c r="L83" s="2532"/>
      <c r="M83" s="2533"/>
      <c r="N83" s="2018"/>
    </row>
    <row r="84" spans="1:22" x14ac:dyDescent="0.25">
      <c r="A84" s="1416" t="s">
        <v>2087</v>
      </c>
      <c r="B84" s="70"/>
      <c r="C84" s="73"/>
      <c r="D84" s="71"/>
      <c r="E84" s="71"/>
      <c r="F84" s="73"/>
      <c r="G84" s="71"/>
      <c r="H84" s="71"/>
      <c r="I84" s="73"/>
      <c r="J84" s="105"/>
      <c r="K84" s="73"/>
      <c r="L84" s="106"/>
      <c r="M84" s="107"/>
      <c r="N84" s="200"/>
      <c r="P84" s="2398"/>
      <c r="Q84" s="2398"/>
      <c r="R84" s="2398"/>
      <c r="S84" s="2398"/>
      <c r="T84" s="2398"/>
      <c r="U84" s="2398"/>
      <c r="V84" s="2398"/>
    </row>
    <row r="85" spans="1:22" x14ac:dyDescent="0.25">
      <c r="A85" s="1416" t="s">
        <v>3675</v>
      </c>
      <c r="B85" s="70"/>
      <c r="C85" s="73"/>
      <c r="D85" s="71"/>
      <c r="E85" s="71"/>
      <c r="F85" s="73"/>
      <c r="G85" s="71"/>
      <c r="H85" s="71"/>
      <c r="I85" s="73"/>
      <c r="J85" s="105"/>
      <c r="K85" s="73"/>
      <c r="L85" s="106"/>
      <c r="M85" s="107"/>
      <c r="N85" s="200"/>
      <c r="P85" s="2398"/>
      <c r="Q85" s="2398"/>
      <c r="R85" s="2398"/>
      <c r="S85" s="2398"/>
      <c r="T85" s="2398"/>
      <c r="U85" s="2398"/>
      <c r="V85" s="2398"/>
    </row>
    <row r="86" spans="1:22" x14ac:dyDescent="0.25">
      <c r="A86" s="1416" t="s">
        <v>2801</v>
      </c>
      <c r="B86" s="70"/>
      <c r="C86" s="73"/>
      <c r="D86" s="71"/>
      <c r="E86" s="71"/>
      <c r="F86" s="73"/>
      <c r="G86" s="71"/>
      <c r="H86" s="71"/>
      <c r="I86" s="73"/>
      <c r="J86" s="105"/>
      <c r="K86" s="73"/>
      <c r="L86" s="106"/>
      <c r="M86" s="107"/>
      <c r="N86" s="200"/>
      <c r="P86" s="2398"/>
      <c r="Q86" s="2398"/>
      <c r="R86" s="2398"/>
      <c r="S86" s="2398"/>
      <c r="T86" s="2398"/>
      <c r="U86" s="2398"/>
      <c r="V86" s="2398"/>
    </row>
    <row r="87" spans="1:22" x14ac:dyDescent="0.25">
      <c r="A87" s="1416"/>
      <c r="B87" s="70"/>
      <c r="C87" s="73"/>
      <c r="D87" s="71"/>
      <c r="E87" s="71"/>
      <c r="F87" s="73"/>
      <c r="G87" s="71"/>
      <c r="H87" s="71"/>
      <c r="I87" s="73"/>
      <c r="J87" s="105"/>
      <c r="K87" s="73"/>
      <c r="L87" s="106"/>
      <c r="M87" s="107"/>
      <c r="N87" s="200"/>
      <c r="P87" s="2398"/>
      <c r="Q87" s="2398"/>
      <c r="R87" s="2398"/>
      <c r="S87" s="2398"/>
      <c r="T87" s="2398"/>
      <c r="U87" s="2398"/>
      <c r="V87" s="2398"/>
    </row>
    <row r="88" spans="1:22" x14ac:dyDescent="0.25">
      <c r="A88" s="1416"/>
      <c r="B88" s="70"/>
      <c r="C88" s="73"/>
      <c r="D88" s="71"/>
      <c r="E88" s="71"/>
      <c r="F88" s="73"/>
      <c r="G88" s="71"/>
      <c r="H88" s="71"/>
      <c r="I88" s="73"/>
      <c r="J88" s="105"/>
      <c r="K88" s="73"/>
      <c r="L88" s="106"/>
      <c r="M88" s="107"/>
      <c r="N88" s="200"/>
      <c r="P88" s="2398"/>
      <c r="Q88" s="2398"/>
      <c r="R88" s="2398"/>
      <c r="S88" s="2398"/>
      <c r="T88" s="2398"/>
      <c r="U88" s="2398"/>
      <c r="V88" s="2398"/>
    </row>
    <row r="89" spans="1:22" ht="15.75" thickBot="1" x14ac:dyDescent="0.3">
      <c r="A89" s="1416"/>
      <c r="B89" s="70"/>
      <c r="C89" s="73"/>
      <c r="D89" s="71"/>
      <c r="E89" s="71"/>
      <c r="F89" s="73"/>
      <c r="G89" s="71"/>
      <c r="H89" s="71"/>
      <c r="I89" s="73"/>
      <c r="J89" s="108"/>
      <c r="K89" s="105"/>
      <c r="L89" s="73"/>
      <c r="M89" s="106"/>
      <c r="N89" s="200"/>
    </row>
    <row r="90" spans="1:22" ht="62.25" thickTop="1" thickBot="1" x14ac:dyDescent="0.3">
      <c r="A90" s="236" t="s">
        <v>142</v>
      </c>
      <c r="B90" s="237" t="s">
        <v>143</v>
      </c>
      <c r="C90" s="2516" t="s">
        <v>2089</v>
      </c>
      <c r="D90" s="2517" t="s">
        <v>2090</v>
      </c>
      <c r="E90" s="2534" t="s">
        <v>2088</v>
      </c>
      <c r="F90" s="2527"/>
      <c r="G90" s="515"/>
      <c r="H90" s="515"/>
      <c r="I90" s="75"/>
      <c r="J90" s="75"/>
      <c r="K90" s="130"/>
      <c r="L90" s="175"/>
      <c r="M90" s="33"/>
      <c r="N90" s="39"/>
    </row>
    <row r="91" spans="1:22" ht="15.75" thickTop="1" x14ac:dyDescent="0.25">
      <c r="A91" s="2535">
        <f>'1. AgeData'!$D$30</f>
        <v>60</v>
      </c>
      <c r="B91" s="272">
        <f>'1. AgeData'!$D$31</f>
        <v>55</v>
      </c>
      <c r="C91" s="2518">
        <f t="shared" ref="C91:C127" si="0">C397+G397+C499</f>
        <v>358000</v>
      </c>
      <c r="D91" s="2519">
        <f t="shared" ref="D91:D127" si="1">D397+H397+D499</f>
        <v>196000</v>
      </c>
      <c r="E91" s="2536">
        <f>C91+D91</f>
        <v>554000</v>
      </c>
      <c r="F91" s="2525"/>
      <c r="G91" s="550"/>
      <c r="H91" s="550"/>
      <c r="I91" s="75"/>
      <c r="J91" s="75"/>
      <c r="K91" s="130"/>
      <c r="L91" s="175"/>
      <c r="M91" s="33"/>
      <c r="N91" s="39"/>
    </row>
    <row r="92" spans="1:22" x14ac:dyDescent="0.25">
      <c r="A92" s="2535">
        <f>A91+1</f>
        <v>61</v>
      </c>
      <c r="B92" s="272">
        <f>B91+1</f>
        <v>56</v>
      </c>
      <c r="C92" s="2520">
        <f t="shared" si="0"/>
        <v>362334.56284580269</v>
      </c>
      <c r="D92" s="2521">
        <f t="shared" si="1"/>
        <v>199942.97068057093</v>
      </c>
      <c r="E92" s="2524">
        <f>C92+D92</f>
        <v>562277.53352637356</v>
      </c>
      <c r="F92" s="2525"/>
      <c r="G92" s="550"/>
      <c r="H92" s="550"/>
      <c r="I92" s="75"/>
      <c r="J92" s="75"/>
      <c r="K92" s="130"/>
      <c r="L92" s="175"/>
      <c r="M92" s="33"/>
      <c r="N92" s="39"/>
    </row>
    <row r="93" spans="1:22" x14ac:dyDescent="0.25">
      <c r="A93" s="2535">
        <f t="shared" ref="A93:B108" si="2">A92+1</f>
        <v>62</v>
      </c>
      <c r="B93" s="272">
        <f t="shared" si="2"/>
        <v>57</v>
      </c>
      <c r="C93" s="2520">
        <f t="shared" si="0"/>
        <v>365330.81442143355</v>
      </c>
      <c r="D93" s="2521">
        <f t="shared" si="1"/>
        <v>206466.59152301872</v>
      </c>
      <c r="E93" s="2524">
        <f t="shared" ref="E93:E127" si="3">C93+D93</f>
        <v>571797.40594445227</v>
      </c>
      <c r="F93" s="2525"/>
      <c r="G93" s="550"/>
      <c r="H93" s="550"/>
      <c r="I93" s="75"/>
      <c r="J93" s="75"/>
      <c r="K93" s="130"/>
      <c r="L93" s="175"/>
      <c r="M93" s="33"/>
      <c r="N93" s="39"/>
    </row>
    <row r="94" spans="1:22" x14ac:dyDescent="0.25">
      <c r="A94" s="2535">
        <f>A93+1</f>
        <v>63</v>
      </c>
      <c r="B94" s="272">
        <f>B93+1</f>
        <v>58</v>
      </c>
      <c r="C94" s="2520">
        <f t="shared" si="0"/>
        <v>366967.83813947527</v>
      </c>
      <c r="D94" s="2521">
        <f t="shared" si="1"/>
        <v>218589.12041703158</v>
      </c>
      <c r="E94" s="2524">
        <f t="shared" si="3"/>
        <v>585556.95855650678</v>
      </c>
      <c r="F94" s="2525"/>
      <c r="G94" s="550"/>
      <c r="H94" s="550"/>
      <c r="I94" s="75"/>
      <c r="J94" s="75"/>
      <c r="K94" s="130"/>
      <c r="L94" s="175"/>
      <c r="M94" s="33"/>
      <c r="N94" s="39"/>
    </row>
    <row r="95" spans="1:22" x14ac:dyDescent="0.25">
      <c r="A95" s="2537">
        <f t="shared" si="2"/>
        <v>64</v>
      </c>
      <c r="B95" s="173">
        <f t="shared" si="2"/>
        <v>59</v>
      </c>
      <c r="C95" s="2520">
        <f t="shared" si="0"/>
        <v>354239.47249093984</v>
      </c>
      <c r="D95" s="2521">
        <f t="shared" si="1"/>
        <v>220486.53317201108</v>
      </c>
      <c r="E95" s="2524">
        <f t="shared" si="3"/>
        <v>574726.00566295092</v>
      </c>
      <c r="F95" s="2525"/>
      <c r="G95" s="550"/>
      <c r="H95" s="550"/>
      <c r="I95" s="75"/>
      <c r="J95" s="75"/>
      <c r="K95" s="130"/>
      <c r="L95" s="175"/>
      <c r="M95" s="33"/>
      <c r="N95" s="39"/>
    </row>
    <row r="96" spans="1:22" x14ac:dyDescent="0.25">
      <c r="A96" s="2537">
        <f t="shared" si="2"/>
        <v>65</v>
      </c>
      <c r="B96" s="173">
        <f t="shared" si="2"/>
        <v>60</v>
      </c>
      <c r="C96" s="2520">
        <f t="shared" si="0"/>
        <v>344946.79717580188</v>
      </c>
      <c r="D96" s="2521">
        <f t="shared" si="1"/>
        <v>212013.11394746316</v>
      </c>
      <c r="E96" s="2524">
        <f t="shared" si="3"/>
        <v>556959.91112326505</v>
      </c>
      <c r="F96" s="2525"/>
      <c r="G96" s="550"/>
      <c r="H96" s="550"/>
      <c r="I96" s="75"/>
      <c r="J96" s="75"/>
      <c r="K96" s="130"/>
      <c r="L96" s="175"/>
      <c r="M96" s="33"/>
      <c r="N96" s="39"/>
    </row>
    <row r="97" spans="1:14" x14ac:dyDescent="0.25">
      <c r="A97" s="2537">
        <f t="shared" si="2"/>
        <v>66</v>
      </c>
      <c r="B97" s="173">
        <f t="shared" si="2"/>
        <v>61</v>
      </c>
      <c r="C97" s="2520">
        <f t="shared" si="0"/>
        <v>337913.84072304657</v>
      </c>
      <c r="D97" s="2521">
        <f t="shared" si="1"/>
        <v>211335.46917797864</v>
      </c>
      <c r="E97" s="2524">
        <f t="shared" si="3"/>
        <v>549249.30990102515</v>
      </c>
      <c r="F97" s="2525"/>
      <c r="G97" s="550"/>
      <c r="H97" s="550"/>
      <c r="I97" s="75"/>
      <c r="J97" s="75"/>
      <c r="K97" s="130"/>
      <c r="L97" s="175"/>
      <c r="M97" s="33"/>
      <c r="N97" s="39"/>
    </row>
    <row r="98" spans="1:14" x14ac:dyDescent="0.25">
      <c r="A98" s="2537">
        <f t="shared" si="2"/>
        <v>67</v>
      </c>
      <c r="B98" s="173">
        <f t="shared" si="2"/>
        <v>62</v>
      </c>
      <c r="C98" s="2520">
        <f t="shared" si="0"/>
        <v>373176.21068626817</v>
      </c>
      <c r="D98" s="2521">
        <f t="shared" si="1"/>
        <v>225051.82719447551</v>
      </c>
      <c r="E98" s="2524">
        <f t="shared" si="3"/>
        <v>598228.03788074362</v>
      </c>
      <c r="F98" s="2525"/>
      <c r="G98" s="550"/>
      <c r="H98" s="550"/>
      <c r="I98" s="75"/>
      <c r="J98" s="75"/>
      <c r="K98" s="130"/>
      <c r="L98" s="175"/>
      <c r="M98" s="33"/>
      <c r="N98" s="39"/>
    </row>
    <row r="99" spans="1:14" x14ac:dyDescent="0.25">
      <c r="A99" s="2537">
        <f t="shared" si="2"/>
        <v>68</v>
      </c>
      <c r="B99" s="173">
        <f t="shared" si="2"/>
        <v>63</v>
      </c>
      <c r="C99" s="2520">
        <f t="shared" si="0"/>
        <v>413626.81183868792</v>
      </c>
      <c r="D99" s="2521">
        <f t="shared" si="1"/>
        <v>233794.24519154039</v>
      </c>
      <c r="E99" s="2524">
        <f t="shared" si="3"/>
        <v>647421.05703022832</v>
      </c>
      <c r="F99" s="2525"/>
      <c r="G99" s="550"/>
      <c r="H99" s="550"/>
      <c r="I99" s="75"/>
      <c r="J99" s="75"/>
      <c r="K99" s="130"/>
      <c r="L99" s="175"/>
      <c r="M99" s="33"/>
      <c r="N99" s="39"/>
    </row>
    <row r="100" spans="1:14" x14ac:dyDescent="0.25">
      <c r="A100" s="2537">
        <f t="shared" si="2"/>
        <v>69</v>
      </c>
      <c r="B100" s="173">
        <f t="shared" si="2"/>
        <v>64</v>
      </c>
      <c r="C100" s="2520">
        <f t="shared" si="0"/>
        <v>433322.86713514052</v>
      </c>
      <c r="D100" s="2521">
        <f t="shared" si="1"/>
        <v>256898.69798077442</v>
      </c>
      <c r="E100" s="2524">
        <f t="shared" si="3"/>
        <v>690221.56511591491</v>
      </c>
      <c r="F100" s="2525"/>
      <c r="G100" s="550"/>
      <c r="H100" s="550"/>
      <c r="I100" s="75"/>
      <c r="J100" s="75"/>
      <c r="K100" s="130"/>
      <c r="L100" s="175"/>
      <c r="M100" s="33"/>
      <c r="N100" s="39"/>
    </row>
    <row r="101" spans="1:14" x14ac:dyDescent="0.25">
      <c r="A101" s="2537">
        <f t="shared" si="2"/>
        <v>70</v>
      </c>
      <c r="B101" s="173">
        <f t="shared" si="2"/>
        <v>65</v>
      </c>
      <c r="C101" s="2520">
        <f t="shared" si="0"/>
        <v>474567.25451056944</v>
      </c>
      <c r="D101" s="2521">
        <f t="shared" si="1"/>
        <v>269138.09445502621</v>
      </c>
      <c r="E101" s="2524">
        <f t="shared" si="3"/>
        <v>743705.34896559571</v>
      </c>
      <c r="F101" s="2525"/>
      <c r="G101" s="550"/>
      <c r="H101" s="550"/>
      <c r="I101" s="75"/>
      <c r="J101" s="75"/>
      <c r="K101" s="130"/>
      <c r="L101" s="175"/>
      <c r="M101" s="33"/>
      <c r="N101" s="39"/>
    </row>
    <row r="102" spans="1:14" x14ac:dyDescent="0.25">
      <c r="A102" s="2537">
        <f t="shared" si="2"/>
        <v>71</v>
      </c>
      <c r="B102" s="173">
        <f t="shared" si="2"/>
        <v>66</v>
      </c>
      <c r="C102" s="2520">
        <f t="shared" si="0"/>
        <v>537109.84714379127</v>
      </c>
      <c r="D102" s="2521">
        <f t="shared" si="1"/>
        <v>279822.91170365282</v>
      </c>
      <c r="E102" s="2524">
        <f t="shared" si="3"/>
        <v>816932.75884744409</v>
      </c>
      <c r="F102" s="2525"/>
      <c r="G102" s="550"/>
      <c r="H102" s="550"/>
      <c r="I102" s="75"/>
      <c r="J102" s="75"/>
      <c r="K102" s="130"/>
      <c r="L102" s="175"/>
      <c r="M102" s="33"/>
      <c r="N102" s="39"/>
    </row>
    <row r="103" spans="1:14" x14ac:dyDescent="0.25">
      <c r="A103" s="2537">
        <f t="shared" si="2"/>
        <v>72</v>
      </c>
      <c r="B103" s="173">
        <f t="shared" si="2"/>
        <v>67</v>
      </c>
      <c r="C103" s="2520">
        <f t="shared" si="0"/>
        <v>600683.52003984246</v>
      </c>
      <c r="D103" s="2521">
        <f t="shared" si="1"/>
        <v>299663.07215264149</v>
      </c>
      <c r="E103" s="2524">
        <f t="shared" si="3"/>
        <v>900346.59219248395</v>
      </c>
      <c r="F103" s="2525"/>
      <c r="G103" s="550"/>
      <c r="H103" s="550"/>
      <c r="I103" s="75"/>
      <c r="J103" s="75"/>
      <c r="K103" s="130"/>
      <c r="L103" s="175"/>
      <c r="M103" s="33"/>
      <c r="N103" s="39"/>
    </row>
    <row r="104" spans="1:14" x14ac:dyDescent="0.25">
      <c r="A104" s="2537">
        <f t="shared" si="2"/>
        <v>73</v>
      </c>
      <c r="B104" s="173">
        <f t="shared" si="2"/>
        <v>68</v>
      </c>
      <c r="C104" s="2520">
        <f t="shared" si="0"/>
        <v>624860.894572458</v>
      </c>
      <c r="D104" s="2521">
        <f t="shared" si="1"/>
        <v>333923.78909597057</v>
      </c>
      <c r="E104" s="2524">
        <f t="shared" si="3"/>
        <v>958784.68366842857</v>
      </c>
      <c r="F104" s="2525"/>
      <c r="G104" s="550"/>
      <c r="H104" s="550"/>
      <c r="I104" s="75"/>
      <c r="J104" s="75"/>
      <c r="K104" s="130"/>
      <c r="L104" s="175"/>
      <c r="M104" s="33"/>
      <c r="N104" s="39"/>
    </row>
    <row r="105" spans="1:14" x14ac:dyDescent="0.25">
      <c r="A105" s="2537">
        <f t="shared" si="2"/>
        <v>74</v>
      </c>
      <c r="B105" s="173">
        <f t="shared" si="2"/>
        <v>69</v>
      </c>
      <c r="C105" s="2520">
        <f t="shared" si="0"/>
        <v>650090.96513297432</v>
      </c>
      <c r="D105" s="2521">
        <f t="shared" si="1"/>
        <v>369692.96067066735</v>
      </c>
      <c r="E105" s="2524">
        <f t="shared" si="3"/>
        <v>1019783.9258036417</v>
      </c>
      <c r="F105" s="2525"/>
      <c r="G105" s="550"/>
      <c r="H105" s="550"/>
      <c r="I105" s="75"/>
      <c r="J105" s="75"/>
      <c r="K105" s="130"/>
      <c r="L105" s="175"/>
      <c r="M105" s="33"/>
      <c r="N105" s="39"/>
    </row>
    <row r="106" spans="1:14" x14ac:dyDescent="0.25">
      <c r="A106" s="2537">
        <f t="shared" si="2"/>
        <v>75</v>
      </c>
      <c r="B106" s="173">
        <f t="shared" si="2"/>
        <v>70</v>
      </c>
      <c r="C106" s="2520">
        <f t="shared" si="0"/>
        <v>675838.57488531584</v>
      </c>
      <c r="D106" s="2521">
        <f t="shared" si="1"/>
        <v>404040.31570143683</v>
      </c>
      <c r="E106" s="2524">
        <f t="shared" si="3"/>
        <v>1079878.8905867527</v>
      </c>
      <c r="F106" s="2525"/>
      <c r="G106" s="550"/>
      <c r="H106" s="550"/>
      <c r="I106" s="75"/>
      <c r="J106" s="75"/>
      <c r="K106" s="130"/>
      <c r="L106" s="175"/>
      <c r="M106" s="33"/>
      <c r="N106" s="39"/>
    </row>
    <row r="107" spans="1:14" x14ac:dyDescent="0.25">
      <c r="A107" s="2535">
        <f t="shared" si="2"/>
        <v>76</v>
      </c>
      <c r="B107" s="272">
        <f t="shared" si="2"/>
        <v>71</v>
      </c>
      <c r="C107" s="2520">
        <f t="shared" si="0"/>
        <v>607913.38112914702</v>
      </c>
      <c r="D107" s="2521">
        <f>D413+H413+D515</f>
        <v>338215.25251450436</v>
      </c>
      <c r="E107" s="2524">
        <f t="shared" si="3"/>
        <v>946128.63364365138</v>
      </c>
      <c r="F107" s="2525"/>
      <c r="G107" s="550"/>
      <c r="H107" s="550"/>
      <c r="I107" s="75"/>
      <c r="J107" s="75"/>
      <c r="K107" s="130"/>
      <c r="L107" s="175"/>
      <c r="M107" s="33"/>
      <c r="N107" s="39"/>
    </row>
    <row r="108" spans="1:14" x14ac:dyDescent="0.25">
      <c r="A108" s="2535">
        <f t="shared" si="2"/>
        <v>77</v>
      </c>
      <c r="B108" s="272">
        <f t="shared" si="2"/>
        <v>72</v>
      </c>
      <c r="C108" s="2520">
        <f t="shared" si="0"/>
        <v>632693.39213747368</v>
      </c>
      <c r="D108" s="2521">
        <f t="shared" si="1"/>
        <v>354744.7485151029</v>
      </c>
      <c r="E108" s="2524">
        <f t="shared" si="3"/>
        <v>987438.14065257658</v>
      </c>
      <c r="F108" s="2525"/>
      <c r="G108" s="550"/>
      <c r="H108" s="550"/>
      <c r="I108" s="75"/>
      <c r="J108" s="75"/>
      <c r="K108" s="130"/>
      <c r="L108" s="175"/>
      <c r="M108" s="33"/>
      <c r="N108" s="39"/>
    </row>
    <row r="109" spans="1:14" x14ac:dyDescent="0.25">
      <c r="A109" s="2535">
        <f t="shared" ref="A109:B124" si="4">A108+1</f>
        <v>78</v>
      </c>
      <c r="B109" s="272">
        <f t="shared" si="4"/>
        <v>73</v>
      </c>
      <c r="C109" s="2520">
        <f t="shared" si="0"/>
        <v>660677.77332867589</v>
      </c>
      <c r="D109" s="2521">
        <f t="shared" si="1"/>
        <v>373259.81156462175</v>
      </c>
      <c r="E109" s="2524">
        <f t="shared" si="3"/>
        <v>1033937.5848932976</v>
      </c>
      <c r="F109" s="2525"/>
      <c r="G109" s="550"/>
      <c r="H109" s="550"/>
      <c r="I109" s="75"/>
      <c r="J109" s="75"/>
      <c r="K109" s="130"/>
      <c r="L109" s="175"/>
      <c r="M109" s="33"/>
      <c r="N109" s="39"/>
    </row>
    <row r="110" spans="1:14" x14ac:dyDescent="0.25">
      <c r="A110" s="2535">
        <f t="shared" si="4"/>
        <v>79</v>
      </c>
      <c r="B110" s="272">
        <f t="shared" si="4"/>
        <v>74</v>
      </c>
      <c r="C110" s="2520">
        <f t="shared" si="0"/>
        <v>689894.15841429634</v>
      </c>
      <c r="D110" s="2521">
        <f t="shared" si="1"/>
        <v>392669.95460486109</v>
      </c>
      <c r="E110" s="2524">
        <f t="shared" si="3"/>
        <v>1082564.1130191574</v>
      </c>
      <c r="F110" s="2525"/>
      <c r="G110" s="550"/>
      <c r="H110" s="550"/>
      <c r="I110" s="75"/>
      <c r="J110" s="75"/>
      <c r="K110" s="130"/>
      <c r="L110" s="175"/>
      <c r="M110" s="33"/>
      <c r="N110" s="39"/>
    </row>
    <row r="111" spans="1:14" x14ac:dyDescent="0.25">
      <c r="A111" s="2535">
        <f t="shared" si="4"/>
        <v>80</v>
      </c>
      <c r="B111" s="272">
        <f t="shared" si="4"/>
        <v>75</v>
      </c>
      <c r="C111" s="2520">
        <f t="shared" si="0"/>
        <v>714593.26028649719</v>
      </c>
      <c r="D111" s="2521">
        <f t="shared" si="1"/>
        <v>405336.00412491499</v>
      </c>
      <c r="E111" s="2524">
        <f t="shared" si="3"/>
        <v>1119929.2644114122</v>
      </c>
      <c r="F111" s="2525"/>
      <c r="G111" s="550"/>
      <c r="H111" s="550"/>
      <c r="I111" s="75"/>
      <c r="J111" s="75"/>
      <c r="K111" s="130"/>
      <c r="L111" s="175"/>
      <c r="M111" s="33"/>
      <c r="N111" s="39"/>
    </row>
    <row r="112" spans="1:14" x14ac:dyDescent="0.25">
      <c r="A112" s="2535">
        <f t="shared" si="4"/>
        <v>81</v>
      </c>
      <c r="B112" s="272">
        <f t="shared" si="4"/>
        <v>76</v>
      </c>
      <c r="C112" s="2520">
        <f t="shared" si="0"/>
        <v>740365.02780975867</v>
      </c>
      <c r="D112" s="2521">
        <f t="shared" si="1"/>
        <v>420543.55726971646</v>
      </c>
      <c r="E112" s="2524">
        <f t="shared" si="3"/>
        <v>1160908.5850794751</v>
      </c>
      <c r="F112" s="2525"/>
      <c r="G112" s="550"/>
      <c r="H112" s="550"/>
      <c r="I112" s="75"/>
      <c r="J112" s="75"/>
      <c r="K112" s="130"/>
      <c r="L112" s="175"/>
      <c r="M112" s="33"/>
      <c r="N112" s="39"/>
    </row>
    <row r="113" spans="1:14" x14ac:dyDescent="0.25">
      <c r="A113" s="2535">
        <f t="shared" si="4"/>
        <v>82</v>
      </c>
      <c r="B113" s="272">
        <f t="shared" si="4"/>
        <v>77</v>
      </c>
      <c r="C113" s="2520">
        <f t="shared" si="0"/>
        <v>767236.61793572269</v>
      </c>
      <c r="D113" s="2521">
        <f t="shared" si="1"/>
        <v>435111.67743007548</v>
      </c>
      <c r="E113" s="2524">
        <f t="shared" si="3"/>
        <v>1202348.2953657983</v>
      </c>
      <c r="F113" s="2525"/>
      <c r="G113" s="550"/>
      <c r="H113" s="550"/>
      <c r="I113" s="75"/>
      <c r="J113" s="75"/>
      <c r="K113" s="130"/>
      <c r="L113" s="175"/>
      <c r="M113" s="33"/>
      <c r="N113" s="39"/>
    </row>
    <row r="114" spans="1:14" x14ac:dyDescent="0.25">
      <c r="A114" s="2535">
        <f t="shared" si="4"/>
        <v>83</v>
      </c>
      <c r="B114" s="272">
        <f t="shared" si="4"/>
        <v>78</v>
      </c>
      <c r="C114" s="2520">
        <f t="shared" si="0"/>
        <v>795244.56285988656</v>
      </c>
      <c r="D114" s="2521">
        <f t="shared" si="1"/>
        <v>450329.69282673491</v>
      </c>
      <c r="E114" s="2524">
        <f t="shared" si="3"/>
        <v>1245574.2556866214</v>
      </c>
      <c r="F114" s="2525"/>
      <c r="G114" s="550"/>
      <c r="H114" s="550"/>
      <c r="I114" s="75"/>
      <c r="J114" s="75"/>
      <c r="K114" s="130"/>
      <c r="L114" s="175"/>
      <c r="M114" s="33"/>
      <c r="N114" s="39"/>
    </row>
    <row r="115" spans="1:14" x14ac:dyDescent="0.25">
      <c r="A115" s="2535">
        <f t="shared" si="4"/>
        <v>84</v>
      </c>
      <c r="B115" s="272">
        <f t="shared" si="4"/>
        <v>79</v>
      </c>
      <c r="C115" s="2520">
        <f t="shared" si="0"/>
        <v>824423.38719101658</v>
      </c>
      <c r="D115" s="2521">
        <f t="shared" si="1"/>
        <v>466238.74960698327</v>
      </c>
      <c r="E115" s="2524">
        <f t="shared" si="3"/>
        <v>1290662.136798</v>
      </c>
      <c r="F115" s="2525"/>
      <c r="G115" s="550"/>
      <c r="H115" s="550"/>
      <c r="I115" s="75"/>
      <c r="J115" s="75"/>
      <c r="K115" s="130"/>
      <c r="L115" s="175"/>
      <c r="M115" s="33"/>
      <c r="N115" s="39"/>
    </row>
    <row r="116" spans="1:14" x14ac:dyDescent="0.25">
      <c r="A116" s="2535">
        <f t="shared" si="4"/>
        <v>85</v>
      </c>
      <c r="B116" s="272">
        <f t="shared" si="4"/>
        <v>80</v>
      </c>
      <c r="C116" s="2520">
        <f t="shared" si="0"/>
        <v>854819.10663227935</v>
      </c>
      <c r="D116" s="2521">
        <f t="shared" si="1"/>
        <v>482850.58970117604</v>
      </c>
      <c r="E116" s="2524">
        <f t="shared" si="3"/>
        <v>1337669.6963334554</v>
      </c>
      <c r="F116" s="2525"/>
      <c r="G116" s="550"/>
      <c r="H116" s="550"/>
      <c r="I116" s="75"/>
      <c r="J116" s="75"/>
      <c r="K116" s="130"/>
      <c r="L116" s="175"/>
      <c r="M116" s="33"/>
      <c r="N116" s="39"/>
    </row>
    <row r="117" spans="1:14" x14ac:dyDescent="0.25">
      <c r="A117" s="2535">
        <f t="shared" si="4"/>
        <v>86</v>
      </c>
      <c r="B117" s="272">
        <f t="shared" si="4"/>
        <v>81</v>
      </c>
      <c r="C117" s="2520">
        <f t="shared" si="0"/>
        <v>159765.13558980622</v>
      </c>
      <c r="D117" s="2521">
        <f t="shared" si="1"/>
        <v>658990.32144247298</v>
      </c>
      <c r="E117" s="2524">
        <f t="shared" si="3"/>
        <v>818755.45703227923</v>
      </c>
      <c r="F117" s="2525"/>
      <c r="G117" s="550"/>
      <c r="H117" s="550"/>
      <c r="I117" s="75"/>
      <c r="J117" s="75"/>
      <c r="K117" s="130"/>
      <c r="L117" s="175"/>
      <c r="M117" s="33"/>
      <c r="N117" s="39"/>
    </row>
    <row r="118" spans="1:14" x14ac:dyDescent="0.25">
      <c r="A118" s="2535">
        <f t="shared" si="4"/>
        <v>87</v>
      </c>
      <c r="B118" s="272">
        <f t="shared" si="4"/>
        <v>82</v>
      </c>
      <c r="C118" s="2520">
        <f t="shared" si="0"/>
        <v>154703.47266604303</v>
      </c>
      <c r="D118" s="2521">
        <f t="shared" si="1"/>
        <v>665767.22177955182</v>
      </c>
      <c r="E118" s="2524">
        <f t="shared" si="3"/>
        <v>820470.69444559491</v>
      </c>
      <c r="F118" s="2525"/>
      <c r="G118" s="550"/>
      <c r="H118" s="550"/>
      <c r="I118" s="75"/>
      <c r="J118" s="75"/>
      <c r="K118" s="130"/>
      <c r="L118" s="175"/>
      <c r="M118" s="33"/>
      <c r="N118" s="39"/>
    </row>
    <row r="119" spans="1:14" x14ac:dyDescent="0.25">
      <c r="A119" s="2535">
        <f t="shared" si="4"/>
        <v>88</v>
      </c>
      <c r="B119" s="272">
        <f t="shared" si="4"/>
        <v>83</v>
      </c>
      <c r="C119" s="2520">
        <f t="shared" si="0"/>
        <v>149829.0952575547</v>
      </c>
      <c r="D119" s="2521">
        <f t="shared" si="1"/>
        <v>672626.43813208851</v>
      </c>
      <c r="E119" s="2524">
        <f t="shared" si="3"/>
        <v>822455.53338964318</v>
      </c>
      <c r="F119" s="2525"/>
      <c r="G119" s="550"/>
      <c r="H119" s="550"/>
      <c r="I119" s="75"/>
      <c r="J119" s="75"/>
      <c r="K119" s="130"/>
      <c r="L119" s="175"/>
      <c r="M119" s="33"/>
      <c r="N119" s="39"/>
    </row>
    <row r="120" spans="1:14" x14ac:dyDescent="0.25">
      <c r="A120" s="2535">
        <f t="shared" si="4"/>
        <v>89</v>
      </c>
      <c r="B120" s="272">
        <f t="shared" si="4"/>
        <v>84</v>
      </c>
      <c r="C120" s="2520">
        <f t="shared" si="0"/>
        <v>145147.93998113007</v>
      </c>
      <c r="D120" s="2521">
        <f t="shared" si="1"/>
        <v>679568.66157182527</v>
      </c>
      <c r="E120" s="2524">
        <f t="shared" si="3"/>
        <v>824716.60155295534</v>
      </c>
      <c r="F120" s="2525"/>
      <c r="G120" s="550"/>
      <c r="H120" s="550"/>
      <c r="I120" s="75"/>
      <c r="J120" s="75"/>
      <c r="K120" s="130"/>
      <c r="L120" s="175"/>
      <c r="M120" s="33"/>
      <c r="N120" s="39"/>
    </row>
    <row r="121" spans="1:14" x14ac:dyDescent="0.25">
      <c r="A121" s="2535">
        <f t="shared" si="4"/>
        <v>90</v>
      </c>
      <c r="B121" s="272">
        <f t="shared" si="4"/>
        <v>85</v>
      </c>
      <c r="C121" s="2520">
        <f t="shared" si="0"/>
        <v>140682.43612532126</v>
      </c>
      <c r="D121" s="2521">
        <f t="shared" si="1"/>
        <v>686608.89379911555</v>
      </c>
      <c r="E121" s="2524">
        <f t="shared" si="3"/>
        <v>827291.32992443675</v>
      </c>
      <c r="F121" s="2525"/>
      <c r="G121" s="550"/>
      <c r="H121" s="550"/>
      <c r="I121" s="75"/>
      <c r="J121" s="75"/>
      <c r="K121" s="130"/>
      <c r="L121" s="175"/>
      <c r="M121" s="33"/>
      <c r="N121" s="39"/>
    </row>
    <row r="122" spans="1:14" x14ac:dyDescent="0.25">
      <c r="A122" s="2535">
        <f t="shared" si="4"/>
        <v>91</v>
      </c>
      <c r="B122" s="272">
        <f t="shared" si="4"/>
        <v>86</v>
      </c>
      <c r="C122" s="2520">
        <f t="shared" si="0"/>
        <v>136480.39542733747</v>
      </c>
      <c r="D122" s="2521">
        <f t="shared" si="1"/>
        <v>693715.65023730334</v>
      </c>
      <c r="E122" s="2524">
        <f t="shared" si="3"/>
        <v>830196.04566464084</v>
      </c>
      <c r="F122" s="2525"/>
      <c r="G122" s="550"/>
      <c r="H122" s="550"/>
      <c r="I122" s="75"/>
      <c r="J122" s="75"/>
      <c r="K122" s="130"/>
      <c r="L122" s="175"/>
      <c r="M122" s="33"/>
      <c r="N122" s="39"/>
    </row>
    <row r="123" spans="1:14" x14ac:dyDescent="0.25">
      <c r="A123" s="2535">
        <f t="shared" si="4"/>
        <v>92</v>
      </c>
      <c r="B123" s="272">
        <f t="shared" si="4"/>
        <v>87</v>
      </c>
      <c r="C123" s="2520">
        <f t="shared" si="0"/>
        <v>132548.68437582176</v>
      </c>
      <c r="D123" s="2521">
        <f t="shared" si="1"/>
        <v>701523.27046108129</v>
      </c>
      <c r="E123" s="2524">
        <f t="shared" si="3"/>
        <v>834071.95483690302</v>
      </c>
      <c r="F123" s="2525"/>
      <c r="G123" s="550"/>
      <c r="H123" s="550"/>
      <c r="I123" s="75"/>
      <c r="J123" s="75"/>
      <c r="K123" s="130"/>
      <c r="L123" s="175"/>
      <c r="M123" s="33"/>
      <c r="N123" s="39"/>
    </row>
    <row r="124" spans="1:14" x14ac:dyDescent="0.25">
      <c r="A124" s="2535">
        <f t="shared" si="4"/>
        <v>93</v>
      </c>
      <c r="B124" s="272">
        <f t="shared" si="4"/>
        <v>88</v>
      </c>
      <c r="C124" s="2520">
        <f t="shared" si="0"/>
        <v>128893.43316241658</v>
      </c>
      <c r="D124" s="2521">
        <f t="shared" si="1"/>
        <v>122652.47278151265</v>
      </c>
      <c r="E124" s="2524">
        <f t="shared" si="3"/>
        <v>251545.90594392922</v>
      </c>
      <c r="F124" s="2525"/>
      <c r="G124" s="550"/>
      <c r="H124" s="550"/>
      <c r="I124" s="75"/>
      <c r="J124" s="75"/>
      <c r="K124" s="130"/>
      <c r="L124" s="175"/>
      <c r="M124" s="33"/>
      <c r="N124" s="39"/>
    </row>
    <row r="125" spans="1:14" x14ac:dyDescent="0.25">
      <c r="A125" s="2535">
        <f t="shared" ref="A125:B127" si="5">A124+1</f>
        <v>94</v>
      </c>
      <c r="B125" s="272">
        <f t="shared" si="5"/>
        <v>89</v>
      </c>
      <c r="C125" s="2520">
        <f t="shared" si="0"/>
        <v>125544.67962726331</v>
      </c>
      <c r="D125" s="2521">
        <f t="shared" si="1"/>
        <v>120436.74709033642</v>
      </c>
      <c r="E125" s="2524">
        <f t="shared" si="3"/>
        <v>245981.42671759974</v>
      </c>
      <c r="F125" s="2525"/>
      <c r="G125" s="550"/>
      <c r="H125" s="550"/>
      <c r="I125" s="75"/>
      <c r="J125" s="75"/>
      <c r="K125" s="130"/>
      <c r="L125" s="175"/>
      <c r="M125" s="33"/>
      <c r="N125" s="39"/>
    </row>
    <row r="126" spans="1:14" x14ac:dyDescent="0.25">
      <c r="A126" s="2535">
        <f t="shared" si="5"/>
        <v>95</v>
      </c>
      <c r="B126" s="272">
        <f t="shared" si="5"/>
        <v>90</v>
      </c>
      <c r="C126" s="2520">
        <f t="shared" si="0"/>
        <v>122546.84569490698</v>
      </c>
      <c r="D126" s="2521">
        <f t="shared" si="1"/>
        <v>118354.45584170551</v>
      </c>
      <c r="E126" s="2524">
        <f t="shared" si="3"/>
        <v>240901.3015366125</v>
      </c>
      <c r="F126" s="2525"/>
      <c r="G126" s="550"/>
      <c r="H126" s="550"/>
      <c r="I126" s="75"/>
      <c r="J126" s="75"/>
      <c r="K126" s="130"/>
      <c r="L126" s="175"/>
      <c r="M126" s="33"/>
      <c r="N126" s="39"/>
    </row>
    <row r="127" spans="1:14" ht="15.75" thickBot="1" x14ac:dyDescent="0.3">
      <c r="A127" s="2538">
        <f t="shared" si="5"/>
        <v>96</v>
      </c>
      <c r="B127" s="2539">
        <f t="shared" si="5"/>
        <v>91</v>
      </c>
      <c r="C127" s="2522">
        <f t="shared" si="0"/>
        <v>119904.35138700361</v>
      </c>
      <c r="D127" s="2523">
        <f t="shared" si="1"/>
        <v>116429.99083098711</v>
      </c>
      <c r="E127" s="2540">
        <f t="shared" si="3"/>
        <v>236334.34221799072</v>
      </c>
      <c r="F127" s="2526"/>
      <c r="G127" s="2541"/>
      <c r="H127" s="2541"/>
      <c r="I127" s="1337"/>
      <c r="J127" s="1337"/>
      <c r="K127" s="1992"/>
      <c r="L127" s="1993"/>
      <c r="M127" s="1757"/>
      <c r="N127" s="1315"/>
    </row>
    <row r="128" spans="1:14" ht="19.5" thickTop="1" x14ac:dyDescent="0.3">
      <c r="A128" s="599"/>
      <c r="B128" s="169"/>
      <c r="C128" s="170"/>
      <c r="D128" s="170"/>
      <c r="E128" s="171"/>
      <c r="F128" s="172"/>
      <c r="G128" s="173"/>
      <c r="H128" s="174"/>
      <c r="I128" s="75"/>
      <c r="J128" s="75"/>
      <c r="K128" s="130"/>
      <c r="L128" s="175"/>
      <c r="M128" s="33"/>
    </row>
    <row r="129" spans="1:14" ht="19.5" thickBot="1" x14ac:dyDescent="0.35">
      <c r="A129" s="599"/>
      <c r="B129" s="169"/>
      <c r="C129" s="170"/>
      <c r="D129" s="170"/>
      <c r="E129" s="171"/>
      <c r="F129" s="172"/>
      <c r="G129" s="173"/>
      <c r="H129" s="174"/>
      <c r="I129" s="75"/>
      <c r="J129" s="75"/>
      <c r="K129" s="130"/>
      <c r="L129" s="175"/>
      <c r="M129" s="33"/>
    </row>
    <row r="130" spans="1:14" ht="19.5" thickTop="1" x14ac:dyDescent="0.3">
      <c r="A130" s="265" t="s">
        <v>2086</v>
      </c>
      <c r="B130" s="457"/>
      <c r="C130" s="198"/>
      <c r="D130" s="201"/>
      <c r="E130" s="201"/>
      <c r="F130" s="198"/>
      <c r="G130" s="201"/>
      <c r="H130" s="201"/>
      <c r="I130" s="198"/>
      <c r="J130" s="203"/>
      <c r="K130" s="198"/>
      <c r="L130" s="220"/>
      <c r="M130" s="255"/>
      <c r="N130" s="256"/>
    </row>
    <row r="131" spans="1:14" x14ac:dyDescent="0.25">
      <c r="A131" s="1267" t="s">
        <v>1053</v>
      </c>
      <c r="B131" s="70"/>
      <c r="C131" s="73"/>
      <c r="D131" s="71"/>
      <c r="E131" s="71"/>
      <c r="F131" s="73"/>
      <c r="G131" s="71"/>
      <c r="H131" s="71"/>
      <c r="I131" s="73"/>
      <c r="J131" s="105"/>
      <c r="K131" s="73"/>
      <c r="L131" s="106"/>
      <c r="M131" s="107"/>
      <c r="N131" s="200"/>
    </row>
    <row r="132" spans="1:14" x14ac:dyDescent="0.25">
      <c r="A132" s="1416" t="s">
        <v>1054</v>
      </c>
      <c r="B132" s="70"/>
      <c r="C132" s="73"/>
      <c r="D132" s="71"/>
      <c r="E132" s="71"/>
      <c r="F132" s="73"/>
      <c r="G132" s="71"/>
      <c r="H132" s="71"/>
      <c r="I132" s="73"/>
      <c r="J132" s="105"/>
      <c r="K132" s="73"/>
      <c r="L132" s="106"/>
      <c r="M132" s="107"/>
      <c r="N132" s="1423"/>
    </row>
    <row r="133" spans="1:14" x14ac:dyDescent="0.25">
      <c r="A133" s="1416" t="s">
        <v>2802</v>
      </c>
      <c r="B133" s="70"/>
      <c r="C133" s="73"/>
      <c r="D133" s="71"/>
      <c r="E133" s="71"/>
      <c r="F133" s="73"/>
      <c r="G133" s="71"/>
      <c r="H133" s="71"/>
      <c r="I133" s="73"/>
      <c r="J133" s="105"/>
      <c r="K133" s="73"/>
      <c r="L133" s="106"/>
      <c r="M133" s="107"/>
      <c r="N133" s="1423"/>
    </row>
    <row r="134" spans="1:14" ht="15.75" thickBot="1" x14ac:dyDescent="0.3">
      <c r="A134" s="1267"/>
      <c r="B134" s="70"/>
      <c r="C134" s="73"/>
      <c r="D134" s="71"/>
      <c r="E134" s="71"/>
      <c r="F134" s="73"/>
      <c r="G134" s="71"/>
      <c r="H134" s="71"/>
      <c r="I134" s="73"/>
      <c r="J134" s="108"/>
      <c r="K134" s="105"/>
      <c r="L134" s="73"/>
      <c r="M134" s="106"/>
      <c r="N134" s="200"/>
    </row>
    <row r="135" spans="1:14" ht="110.25" thickTop="1" thickBot="1" x14ac:dyDescent="0.3">
      <c r="A135" s="236" t="s">
        <v>142</v>
      </c>
      <c r="B135" s="237" t="s">
        <v>143</v>
      </c>
      <c r="C135" s="456" t="s">
        <v>513</v>
      </c>
      <c r="D135" s="656" t="s">
        <v>514</v>
      </c>
      <c r="E135" s="455" t="s">
        <v>515</v>
      </c>
      <c r="F135" s="1297" t="str">
        <f>CONCATENATE("Estimated (Fed",(IF('S. Setup'!$J$86="yes","+State","")),")  tax rate (includes LTCG+Fed surtaxes) PV")</f>
        <v>Estimated (Fed+State)  tax rate (includes LTCG+Fed surtaxes) PV</v>
      </c>
      <c r="G135" s="1297" t="str">
        <f>CONCATENATE("Estimated (Fed",(IF('S. Setup'!$J$86="yes","+State","")),") Marginal tax rate")</f>
        <v>Estimated (Fed+State) Marginal tax rate</v>
      </c>
      <c r="H135" s="1297" t="str">
        <f>CONCATENATE("Average Est. Fed",(IF('S. Setup'!$J$86="yes","+State","")),"  tax rate")</f>
        <v>Average Est. Fed+State  tax rate</v>
      </c>
      <c r="I135" s="456" t="s">
        <v>1801</v>
      </c>
      <c r="J135" s="239" t="s">
        <v>456</v>
      </c>
      <c r="K135" s="239" t="s">
        <v>455</v>
      </c>
      <c r="L135" s="239" t="s">
        <v>454</v>
      </c>
      <c r="M135" s="580" t="s">
        <v>453</v>
      </c>
      <c r="N135" s="240" t="s">
        <v>1754</v>
      </c>
    </row>
    <row r="136" spans="1:14" ht="15.75" thickTop="1" x14ac:dyDescent="0.25">
      <c r="A136" s="395">
        <f>'1. AgeData'!$D$30</f>
        <v>60</v>
      </c>
      <c r="B136" s="272">
        <f>'1. AgeData'!$D$31</f>
        <v>55</v>
      </c>
      <c r="C136" s="396">
        <f t="shared" ref="C136:C172" si="6">K848</f>
        <v>101000</v>
      </c>
      <c r="D136" s="661">
        <f t="shared" ref="D136:D172" si="7">K627</f>
        <v>6123</v>
      </c>
      <c r="E136" s="396">
        <f>G930+H930</f>
        <v>86000</v>
      </c>
      <c r="F136" s="345">
        <f>'2. TaxData'!$K226</f>
        <v>19446.5</v>
      </c>
      <c r="G136" s="106">
        <f>'2. TaxData'!$L226</f>
        <v>0.3</v>
      </c>
      <c r="H136" s="458">
        <f>'2. TaxData'!$M226</f>
        <v>0.18421351773788661</v>
      </c>
      <c r="I136" s="724">
        <f>'11. CashData'!$M52+'11. CashData'!$N52</f>
        <v>2030.5</v>
      </c>
      <c r="J136" s="217">
        <f t="shared" ref="J136:J172" si="8">C397+D397</f>
        <v>305000</v>
      </c>
      <c r="K136" s="217">
        <f t="shared" ref="K136:K172" si="9">G397+H397</f>
        <v>59000</v>
      </c>
      <c r="L136" s="727">
        <f t="shared" ref="L136" si="10">C499+D499</f>
        <v>190000</v>
      </c>
      <c r="M136" s="404">
        <f t="shared" ref="M136" si="11">J136+K136+L136</f>
        <v>554000</v>
      </c>
      <c r="N136" s="1001">
        <f>-PV('2. TaxData'!$I$65,($A136-$A$136),0,M136)</f>
        <v>554000</v>
      </c>
    </row>
    <row r="137" spans="1:14" x14ac:dyDescent="0.25">
      <c r="A137" s="395">
        <f>A136+1</f>
        <v>61</v>
      </c>
      <c r="B137" s="272">
        <f>B136+1</f>
        <v>56</v>
      </c>
      <c r="C137" s="396">
        <f t="shared" si="6"/>
        <v>102820</v>
      </c>
      <c r="D137" s="661">
        <f t="shared" si="7"/>
        <v>9734.6940099009898</v>
      </c>
      <c r="E137" s="396">
        <f t="shared" ref="E137:E172" si="12">G931+H931</f>
        <v>113178.68</v>
      </c>
      <c r="F137" s="345">
        <f>'2. TaxData'!$K227</f>
        <v>19344.921117647056</v>
      </c>
      <c r="G137" s="106">
        <f>'2. TaxData'!$L227</f>
        <v>0.3</v>
      </c>
      <c r="H137" s="458">
        <f>'2. TaxData'!$M227</f>
        <v>0.17983967348723356</v>
      </c>
      <c r="I137" s="725">
        <f>'11. CashData'!$M53+'11. CashData'!$N53</f>
        <v>500.48388235292805</v>
      </c>
      <c r="J137" s="217">
        <f t="shared" si="8"/>
        <v>305826.8704039288</v>
      </c>
      <c r="K137" s="217">
        <f t="shared" si="9"/>
        <v>58855.163122444821</v>
      </c>
      <c r="L137" s="729">
        <f t="shared" ref="L137:L172" si="13">C500+D500</f>
        <v>197595.5</v>
      </c>
      <c r="M137" s="217">
        <f t="shared" ref="M137:M172" si="14">J137+K137+L137</f>
        <v>562277.53352637356</v>
      </c>
      <c r="N137" s="1002">
        <f>-PV('2. TaxData'!$I$65,($A137-$A$136),0,M137)</f>
        <v>551252.48384938587</v>
      </c>
    </row>
    <row r="138" spans="1:14" x14ac:dyDescent="0.25">
      <c r="A138" s="395">
        <f t="shared" ref="A138:A172" si="15">A137+1</f>
        <v>62</v>
      </c>
      <c r="B138" s="272">
        <f t="shared" ref="B138:B172" si="16">B137+1</f>
        <v>57</v>
      </c>
      <c r="C138" s="396">
        <f t="shared" si="6"/>
        <v>104673.39999999998</v>
      </c>
      <c r="D138" s="661">
        <f t="shared" si="7"/>
        <v>10370.285749406921</v>
      </c>
      <c r="E138" s="396">
        <f t="shared" si="12"/>
        <v>113254.16</v>
      </c>
      <c r="F138" s="345">
        <f>'2. TaxData'!$K228</f>
        <v>19228.962965553095</v>
      </c>
      <c r="G138" s="106">
        <f>'2. TaxData'!$L228</f>
        <v>0.3</v>
      </c>
      <c r="H138" s="458">
        <f>'2. TaxData'!$M228</f>
        <v>0.17549353734027417</v>
      </c>
      <c r="I138" s="725">
        <f>'11. CashData'!$M54+'11. CashData'!$N54</f>
        <v>-1886.6126655531116</v>
      </c>
      <c r="J138" s="217">
        <f t="shared" si="8"/>
        <v>306916.6204039288</v>
      </c>
      <c r="K138" s="217">
        <f t="shared" si="9"/>
        <v>61027.206908170585</v>
      </c>
      <c r="L138" s="729">
        <f t="shared" si="13"/>
        <v>203853.57863235293</v>
      </c>
      <c r="M138" s="217">
        <f t="shared" si="14"/>
        <v>571797.40594445239</v>
      </c>
      <c r="N138" s="1002">
        <f>-PV('2. TaxData'!$I$65,($A138-$A$136),0,M138)</f>
        <v>549593.81578667089</v>
      </c>
    </row>
    <row r="139" spans="1:14" x14ac:dyDescent="0.25">
      <c r="A139" s="395">
        <f>A138+1</f>
        <v>63</v>
      </c>
      <c r="B139" s="272">
        <f>B138+1</f>
        <v>58</v>
      </c>
      <c r="C139" s="396">
        <f t="shared" si="6"/>
        <v>67961.46862499998</v>
      </c>
      <c r="D139" s="661">
        <f t="shared" si="7"/>
        <v>13079.469983750143</v>
      </c>
      <c r="E139" s="396">
        <f t="shared" si="12"/>
        <v>149834.62399999998</v>
      </c>
      <c r="F139" s="345">
        <f>'2. TaxData'!$K229</f>
        <v>10268.001241932736</v>
      </c>
      <c r="G139" s="106">
        <f>'2. TaxData'!$L229</f>
        <v>0.2</v>
      </c>
      <c r="H139" s="458">
        <f>'2. TaxData'!$M229</f>
        <v>0.14074624618924303</v>
      </c>
      <c r="I139" s="725">
        <f>'11. CashData'!$M55+'11. CashData'!$N55</f>
        <v>-28518.193452755251</v>
      </c>
      <c r="J139" s="217">
        <f t="shared" si="8"/>
        <v>311771.86978038697</v>
      </c>
      <c r="K139" s="217">
        <f t="shared" si="9"/>
        <v>65900.647400827409</v>
      </c>
      <c r="L139" s="729">
        <f t="shared" si="13"/>
        <v>207884.44137529249</v>
      </c>
      <c r="M139" s="217">
        <f t="shared" si="14"/>
        <v>585556.9585565069</v>
      </c>
      <c r="N139" s="1002">
        <f>-PV('2. TaxData'!$I$65,($A139-$A$136),0,M139)</f>
        <v>551783.40019723459</v>
      </c>
    </row>
    <row r="140" spans="1:14" x14ac:dyDescent="0.25">
      <c r="A140" s="548">
        <f t="shared" si="15"/>
        <v>64</v>
      </c>
      <c r="B140" s="173">
        <f t="shared" si="16"/>
        <v>59</v>
      </c>
      <c r="C140" s="544">
        <f t="shared" si="6"/>
        <v>68633.227044374973</v>
      </c>
      <c r="D140" s="661">
        <f t="shared" si="7"/>
        <v>8778.2612640949155</v>
      </c>
      <c r="E140" s="544">
        <f t="shared" si="12"/>
        <v>154174.96471999999</v>
      </c>
      <c r="F140" s="545">
        <f>'2. TaxData'!$K230</f>
        <v>9936.8637041482871</v>
      </c>
      <c r="G140" s="546">
        <f>'2. TaxData'!$L230</f>
        <v>0.2</v>
      </c>
      <c r="H140" s="547">
        <f>'2. TaxData'!$M230</f>
        <v>0.13592789370855315</v>
      </c>
      <c r="I140" s="725">
        <f>'11. CashData'!$M56+'11. CashData'!$N56</f>
        <v>-25933.075763868241</v>
      </c>
      <c r="J140" s="1003">
        <f t="shared" si="8"/>
        <v>318355.95983446378</v>
      </c>
      <c r="K140" s="1003">
        <f t="shared" si="9"/>
        <v>69780.968391113507</v>
      </c>
      <c r="L140" s="814">
        <f t="shared" si="13"/>
        <v>186589.07743737358</v>
      </c>
      <c r="M140" s="1003">
        <f t="shared" si="14"/>
        <v>574726.00566295092</v>
      </c>
      <c r="N140" s="1002">
        <f>-PV('2. TaxData'!$I$65,($A140-$A$136),0,M140)</f>
        <v>530957.99155020574</v>
      </c>
    </row>
    <row r="141" spans="1:14" x14ac:dyDescent="0.25">
      <c r="A141" s="548">
        <f t="shared" si="15"/>
        <v>65</v>
      </c>
      <c r="B141" s="173">
        <f t="shared" si="16"/>
        <v>60</v>
      </c>
      <c r="C141" s="544">
        <f t="shared" si="6"/>
        <v>69314.199018590574</v>
      </c>
      <c r="D141" s="661">
        <f t="shared" si="7"/>
        <v>4182.1478689427531</v>
      </c>
      <c r="E141" s="544">
        <f t="shared" si="12"/>
        <v>117783.5955008</v>
      </c>
      <c r="F141" s="545">
        <f>'2. TaxData'!$K231</f>
        <v>9617.107593361281</v>
      </c>
      <c r="G141" s="546">
        <f>'2. TaxData'!$L231</f>
        <v>0.2</v>
      </c>
      <c r="H141" s="547">
        <f>'2. TaxData'!$M231</f>
        <v>0.13121760758265827</v>
      </c>
      <c r="I141" s="725">
        <f>'11. CashData'!$M57+'11. CashData'!$N57</f>
        <v>-17441.60079352012</v>
      </c>
      <c r="J141" s="1003">
        <f t="shared" si="8"/>
        <v>317407.38666209503</v>
      </c>
      <c r="K141" s="1003">
        <f t="shared" si="9"/>
        <v>73225.816319656937</v>
      </c>
      <c r="L141" s="814">
        <f t="shared" si="13"/>
        <v>166326.70814151305</v>
      </c>
      <c r="M141" s="1003">
        <f t="shared" si="14"/>
        <v>556959.91112326505</v>
      </c>
      <c r="N141" s="1002">
        <f>-PV('2. TaxData'!$I$65,($A141-$A$136),0,M141)</f>
        <v>504455.75134447281</v>
      </c>
    </row>
    <row r="142" spans="1:14" x14ac:dyDescent="0.25">
      <c r="A142" s="548">
        <f t="shared" si="15"/>
        <v>66</v>
      </c>
      <c r="B142" s="173">
        <f t="shared" si="16"/>
        <v>61</v>
      </c>
      <c r="C142" s="544">
        <f t="shared" si="6"/>
        <v>128584.93075466579</v>
      </c>
      <c r="D142" s="661">
        <f t="shared" si="7"/>
        <v>4289.2069774377978</v>
      </c>
      <c r="E142" s="544">
        <f t="shared" si="12"/>
        <v>119859.26741081601</v>
      </c>
      <c r="F142" s="545">
        <f>'2. TaxData'!$K232</f>
        <v>22440.293504947102</v>
      </c>
      <c r="G142" s="546">
        <f>'2. TaxData'!$L232</f>
        <v>0.3</v>
      </c>
      <c r="H142" s="547">
        <f>'2. TaxData'!$M232</f>
        <v>0.16968617526395918</v>
      </c>
      <c r="I142" s="725">
        <f>'11. CashData'!$M58+'11. CashData'!$N58</f>
        <v>38117.600181043381</v>
      </c>
      <c r="J142" s="1003">
        <f t="shared" si="8"/>
        <v>318231.74571361643</v>
      </c>
      <c r="K142" s="1003">
        <f t="shared" si="9"/>
        <v>77623.809755471928</v>
      </c>
      <c r="L142" s="814">
        <f t="shared" si="13"/>
        <v>153393.75443193683</v>
      </c>
      <c r="M142" s="1003">
        <f t="shared" si="14"/>
        <v>549249.30990102515</v>
      </c>
      <c r="N142" s="1002">
        <f>-PV('2. TaxData'!$I$65,($A142-$A$136),0,M142)</f>
        <v>487717.66887762543</v>
      </c>
    </row>
    <row r="143" spans="1:14" x14ac:dyDescent="0.25">
      <c r="A143" s="548">
        <f t="shared" si="15"/>
        <v>67</v>
      </c>
      <c r="B143" s="173">
        <f t="shared" si="16"/>
        <v>62</v>
      </c>
      <c r="C143" s="544">
        <f t="shared" si="6"/>
        <v>130456.39461932714</v>
      </c>
      <c r="D143" s="829">
        <f t="shared" si="7"/>
        <v>4400.1095079278148</v>
      </c>
      <c r="E143" s="544">
        <f t="shared" si="12"/>
        <v>82921.140058956778</v>
      </c>
      <c r="F143" s="545">
        <f>'2. TaxData'!$K233</f>
        <v>22460.234817640201</v>
      </c>
      <c r="G143" s="546">
        <f>'2. TaxData'!$L233</f>
        <v>0.3</v>
      </c>
      <c r="H143" s="547">
        <f>'2. TaxData'!$M233</f>
        <v>0.16628215532101165</v>
      </c>
      <c r="I143" s="725">
        <f>'11. CashData'!$M59+'11. CashData'!$N59</f>
        <v>39714.649824285225</v>
      </c>
      <c r="J143" s="1003">
        <f t="shared" si="8"/>
        <v>319282.0197534326</v>
      </c>
      <c r="K143" s="1003">
        <f t="shared" si="9"/>
        <v>83178.670833524971</v>
      </c>
      <c r="L143" s="814">
        <f t="shared" si="13"/>
        <v>195767.34729378606</v>
      </c>
      <c r="M143" s="1003">
        <f t="shared" si="14"/>
        <v>598228.03788074362</v>
      </c>
      <c r="N143" s="1004">
        <f>-PV('2. TaxData'!$I$65,($A143-$A$136),0,M143)</f>
        <v>520793.50750931143</v>
      </c>
    </row>
    <row r="144" spans="1:14" x14ac:dyDescent="0.25">
      <c r="A144" s="548">
        <f t="shared" si="15"/>
        <v>68</v>
      </c>
      <c r="B144" s="173">
        <f t="shared" si="16"/>
        <v>63</v>
      </c>
      <c r="C144" s="544">
        <f t="shared" si="6"/>
        <v>132360.96650508163</v>
      </c>
      <c r="D144" s="829">
        <f t="shared" si="7"/>
        <v>4514.9934392624236</v>
      </c>
      <c r="E144" s="544">
        <f t="shared" si="12"/>
        <v>86057.051931639318</v>
      </c>
      <c r="F144" s="545">
        <f>'2. TaxData'!$K234</f>
        <v>22476.304650928778</v>
      </c>
      <c r="G144" s="546">
        <f>'2. TaxData'!$L234</f>
        <v>0.3</v>
      </c>
      <c r="H144" s="547">
        <f>'2. TaxData'!$M234</f>
        <v>0.16293627347074482</v>
      </c>
      <c r="I144" s="725">
        <f>'11. CashData'!$M60+'11. CashData'!$N60</f>
        <v>33775.310921474826</v>
      </c>
      <c r="J144" s="1003">
        <f t="shared" si="8"/>
        <v>323807.11656722275</v>
      </c>
      <c r="K144" s="1003">
        <f t="shared" si="9"/>
        <v>84272.979852540127</v>
      </c>
      <c r="L144" s="814">
        <f t="shared" si="13"/>
        <v>239340.96061046544</v>
      </c>
      <c r="M144" s="1003">
        <f t="shared" si="14"/>
        <v>647421.05703022832</v>
      </c>
      <c r="N144" s="1004">
        <f>-PV('2. TaxData'!$I$65,($A144-$A$136),0,M144)</f>
        <v>552567.63828102394</v>
      </c>
    </row>
    <row r="145" spans="1:14" x14ac:dyDescent="0.25">
      <c r="A145" s="548">
        <f t="shared" si="15"/>
        <v>69</v>
      </c>
      <c r="B145" s="173">
        <f t="shared" si="16"/>
        <v>64</v>
      </c>
      <c r="C145" s="544">
        <f t="shared" si="6"/>
        <v>155122.56758050848</v>
      </c>
      <c r="D145" s="829">
        <f t="shared" si="7"/>
        <v>4634.0017037319449</v>
      </c>
      <c r="E145" s="544">
        <f t="shared" si="12"/>
        <v>92876.109529072506</v>
      </c>
      <c r="F145" s="545">
        <f>'2. TaxData'!$K235</f>
        <v>27695.013285824993</v>
      </c>
      <c r="G145" s="546">
        <f>'2. TaxData'!$L235</f>
        <v>0.3</v>
      </c>
      <c r="H145" s="547">
        <f>'2. TaxData'!$M235</f>
        <v>0.17133364926030151</v>
      </c>
      <c r="I145" s="725">
        <f>'11. CashData'!$M61+'11. CashData'!$N61</f>
        <v>44380.763554987992</v>
      </c>
      <c r="J145" s="1003">
        <f t="shared" si="8"/>
        <v>327319.91290678416</v>
      </c>
      <c r="K145" s="1003">
        <f t="shared" si="9"/>
        <v>85394.386048297893</v>
      </c>
      <c r="L145" s="814">
        <f t="shared" si="13"/>
        <v>277507.26616083289</v>
      </c>
      <c r="M145" s="1003">
        <f t="shared" si="14"/>
        <v>690221.56511591491</v>
      </c>
      <c r="N145" s="1004">
        <f>-PV('2. TaxData'!$I$65,($A145-$A$136),0,M145)</f>
        <v>577546.52922960976</v>
      </c>
    </row>
    <row r="146" spans="1:14" x14ac:dyDescent="0.25">
      <c r="A146" s="548">
        <f t="shared" si="15"/>
        <v>70</v>
      </c>
      <c r="B146" s="173">
        <f t="shared" si="16"/>
        <v>65</v>
      </c>
      <c r="C146" s="544">
        <f t="shared" si="6"/>
        <v>161011.71833647703</v>
      </c>
      <c r="D146" s="661">
        <f t="shared" si="7"/>
        <v>1200</v>
      </c>
      <c r="E146" s="544">
        <f t="shared" si="12"/>
        <v>103961.78819561307</v>
      </c>
      <c r="F146" s="545">
        <f>'2. TaxData'!$K236</f>
        <v>28599.313363158064</v>
      </c>
      <c r="G146" s="546">
        <f>'2. TaxData'!$L236</f>
        <v>0.3</v>
      </c>
      <c r="H146" s="547">
        <f>'2. TaxData'!$M236</f>
        <v>0.16958416536767038</v>
      </c>
      <c r="I146" s="725">
        <f>'11. CashData'!$M62+'11. CashData'!$N62</f>
        <v>61663.065971106189</v>
      </c>
      <c r="J146" s="1003">
        <f t="shared" si="8"/>
        <v>330954.78345576965</v>
      </c>
      <c r="K146" s="1003">
        <f t="shared" si="9"/>
        <v>85916.427680836088</v>
      </c>
      <c r="L146" s="814">
        <f t="shared" si="13"/>
        <v>326834.13782898994</v>
      </c>
      <c r="M146" s="1003">
        <f t="shared" si="14"/>
        <v>743705.34896559571</v>
      </c>
      <c r="N146" s="1002">
        <f>-PV('2. TaxData'!$I$65,($A146-$A$136),0,M146)</f>
        <v>610097.41863198555</v>
      </c>
    </row>
    <row r="147" spans="1:14" x14ac:dyDescent="0.25">
      <c r="A147" s="548">
        <f t="shared" si="15"/>
        <v>71</v>
      </c>
      <c r="B147" s="173">
        <f t="shared" si="16"/>
        <v>66</v>
      </c>
      <c r="C147" s="544">
        <f t="shared" si="6"/>
        <v>163444.22806210519</v>
      </c>
      <c r="D147" s="661">
        <f t="shared" si="7"/>
        <v>1200</v>
      </c>
      <c r="E147" s="544">
        <f t="shared" si="12"/>
        <v>127520.07435643172</v>
      </c>
      <c r="F147" s="545">
        <f>'2. TaxData'!$K237</f>
        <v>28736.79853224328</v>
      </c>
      <c r="G147" s="546">
        <f>'2. TaxData'!$L237</f>
        <v>0.3</v>
      </c>
      <c r="H147" s="547">
        <f>'2. TaxData'!$M237</f>
        <v>0.16651507837629934</v>
      </c>
      <c r="I147" s="725">
        <f>'11. CashData'!$M63+'11. CashData'!$N63</f>
        <v>76496.463112016732</v>
      </c>
      <c r="J147" s="1003">
        <f t="shared" si="8"/>
        <v>331896.50613642903</v>
      </c>
      <c r="K147" s="1003">
        <f t="shared" si="9"/>
        <v>90975.336365741881</v>
      </c>
      <c r="L147" s="814">
        <f t="shared" si="13"/>
        <v>394060.91634527314</v>
      </c>
      <c r="M147" s="1003">
        <f t="shared" si="14"/>
        <v>816932.75884744409</v>
      </c>
      <c r="N147" s="1002">
        <f>-PV('2. TaxData'!$I$65,($A147-$A$136),0,M147)</f>
        <v>657028.82336551091</v>
      </c>
    </row>
    <row r="148" spans="1:14" x14ac:dyDescent="0.25">
      <c r="A148" s="548">
        <f t="shared" si="15"/>
        <v>72</v>
      </c>
      <c r="B148" s="173">
        <f t="shared" si="16"/>
        <v>67</v>
      </c>
      <c r="C148" s="544">
        <f t="shared" si="6"/>
        <v>147986.65638149867</v>
      </c>
      <c r="D148" s="661">
        <f t="shared" si="7"/>
        <v>1200</v>
      </c>
      <c r="E148" s="544">
        <f t="shared" si="12"/>
        <v>101255.03546590311</v>
      </c>
      <c r="F148" s="545">
        <f>'2. TaxData'!$K238</f>
        <v>24735.239518841794</v>
      </c>
      <c r="G148" s="546">
        <f>'2. TaxData'!$L238</f>
        <v>0.3</v>
      </c>
      <c r="H148" s="547">
        <f>'2. TaxData'!$M238</f>
        <v>0.15555485170826217</v>
      </c>
      <c r="I148" s="725">
        <f>'11. CashData'!$M64+'11. CashData'!$N64</f>
        <v>58557.230050259415</v>
      </c>
      <c r="J148" s="1003">
        <f t="shared" si="8"/>
        <v>329185.29644476331</v>
      </c>
      <c r="K148" s="1003">
        <f t="shared" si="9"/>
        <v>94210.99772079059</v>
      </c>
      <c r="L148" s="814">
        <f t="shared" si="13"/>
        <v>476950.29802693013</v>
      </c>
      <c r="M148" s="1003">
        <f t="shared" si="14"/>
        <v>900346.59219248407</v>
      </c>
      <c r="N148" s="1002">
        <f>-PV('2. TaxData'!$I$65,($A148-$A$136),0,M148)</f>
        <v>709917.14360197436</v>
      </c>
    </row>
    <row r="149" spans="1:14" x14ac:dyDescent="0.25">
      <c r="A149" s="548">
        <f t="shared" si="15"/>
        <v>73</v>
      </c>
      <c r="B149" s="173">
        <f t="shared" si="16"/>
        <v>68</v>
      </c>
      <c r="C149" s="544">
        <f t="shared" si="6"/>
        <v>150239.38282200991</v>
      </c>
      <c r="D149" s="661">
        <f t="shared" si="7"/>
        <v>1200</v>
      </c>
      <c r="E149" s="544">
        <f t="shared" si="12"/>
        <v>83596.036718414223</v>
      </c>
      <c r="F149" s="545">
        <f>'2. TaxData'!$K239</f>
        <v>24891.121377444098</v>
      </c>
      <c r="G149" s="546">
        <f>'2. TaxData'!$L239</f>
        <v>0.3</v>
      </c>
      <c r="H149" s="547">
        <f>'2. TaxData'!$M239</f>
        <v>0.15281747446762214</v>
      </c>
      <c r="I149" s="725">
        <f>'11. CashData'!$M65+'11. CashData'!$N65</f>
        <v>60321.185451828547</v>
      </c>
      <c r="J149" s="1003">
        <f t="shared" si="8"/>
        <v>320301.83716124599</v>
      </c>
      <c r="K149" s="1003">
        <f t="shared" si="9"/>
        <v>95518.504250878497</v>
      </c>
      <c r="L149" s="814">
        <f t="shared" si="13"/>
        <v>542964.34225630411</v>
      </c>
      <c r="M149" s="1003">
        <f t="shared" si="14"/>
        <v>958784.68366842857</v>
      </c>
      <c r="N149" s="1002">
        <f>-PV('2. TaxData'!$I$65,($A149-$A$136),0,M149)</f>
        <v>741171.74502428737</v>
      </c>
    </row>
    <row r="150" spans="1:14" x14ac:dyDescent="0.25">
      <c r="A150" s="548">
        <f t="shared" si="15"/>
        <v>74</v>
      </c>
      <c r="B150" s="173">
        <f t="shared" si="16"/>
        <v>69</v>
      </c>
      <c r="C150" s="544">
        <f t="shared" si="6"/>
        <v>152533.97875789582</v>
      </c>
      <c r="D150" s="661">
        <f t="shared" si="7"/>
        <v>0</v>
      </c>
      <c r="E150" s="544">
        <f t="shared" si="12"/>
        <v>86967.17559737683</v>
      </c>
      <c r="F150" s="545">
        <f>'2. TaxData'!$K240</f>
        <v>25053.105914363034</v>
      </c>
      <c r="G150" s="546">
        <f>'2. TaxData'!$L240</f>
        <v>0.3</v>
      </c>
      <c r="H150" s="547">
        <f>'2. TaxData'!$M240</f>
        <v>0.15014549650851494</v>
      </c>
      <c r="I150" s="725">
        <f>'11. CashData'!$M66+'11. CashData'!$N66</f>
        <v>61139.617101059383</v>
      </c>
      <c r="J150" s="1003">
        <f t="shared" si="8"/>
        <v>311265.08158629423</v>
      </c>
      <c r="K150" s="1003">
        <f t="shared" si="9"/>
        <v>96820.96113065508</v>
      </c>
      <c r="L150" s="814">
        <f t="shared" si="13"/>
        <v>611697.88308669231</v>
      </c>
      <c r="M150" s="1003">
        <f t="shared" si="14"/>
        <v>1019783.9258036416</v>
      </c>
      <c r="N150" s="1002">
        <f>-PV('2. TaxData'!$I$65,($A150-$A$136),0,M150)</f>
        <v>772868.76784317719</v>
      </c>
    </row>
    <row r="151" spans="1:14" x14ac:dyDescent="0.25">
      <c r="A151" s="548">
        <f t="shared" si="15"/>
        <v>75</v>
      </c>
      <c r="B151" s="173">
        <f t="shared" si="16"/>
        <v>70</v>
      </c>
      <c r="C151" s="544">
        <f t="shared" si="6"/>
        <v>111763.95615037341</v>
      </c>
      <c r="D151" s="661">
        <f t="shared" si="7"/>
        <v>0</v>
      </c>
      <c r="E151" s="544">
        <f t="shared" si="12"/>
        <v>288287.96735045756</v>
      </c>
      <c r="F151" s="545">
        <f>'2. TaxData'!$K241</f>
        <v>15596.365835653665</v>
      </c>
      <c r="G151" s="546">
        <f>'2. TaxData'!$L241</f>
        <v>0.3</v>
      </c>
      <c r="H151" s="547">
        <f>'2. TaxData'!$M241</f>
        <v>0.12205280221315938</v>
      </c>
      <c r="I151" s="725">
        <f>'11. CashData'!$M67+'11. CashData'!$N67</f>
        <v>-133315.72262339678</v>
      </c>
      <c r="J151" s="1003">
        <f t="shared" si="8"/>
        <v>301471.88585431792</v>
      </c>
      <c r="K151" s="1003">
        <f t="shared" si="9"/>
        <v>97361.605244972598</v>
      </c>
      <c r="L151" s="814">
        <f t="shared" si="13"/>
        <v>681045.39948746213</v>
      </c>
      <c r="M151" s="1003">
        <f t="shared" si="14"/>
        <v>1079878.8905867527</v>
      </c>
      <c r="N151" s="1002">
        <f>-PV('2. TaxData'!$I$65,($A151-$A$136),0,M151)</f>
        <v>802365.92230961786</v>
      </c>
    </row>
    <row r="152" spans="1:14" x14ac:dyDescent="0.25">
      <c r="A152" s="395">
        <f t="shared" si="15"/>
        <v>76</v>
      </c>
      <c r="B152" s="272">
        <f t="shared" si="16"/>
        <v>71</v>
      </c>
      <c r="C152" s="396">
        <f t="shared" si="6"/>
        <v>113929.23527338088</v>
      </c>
      <c r="D152" s="661">
        <f t="shared" si="7"/>
        <v>0</v>
      </c>
      <c r="E152" s="396">
        <f t="shared" si="12"/>
        <v>75915.049491510843</v>
      </c>
      <c r="F152" s="345">
        <f>'2. TaxData'!$K242</f>
        <v>14689.756769040181</v>
      </c>
      <c r="G152" s="106">
        <f>'2. TaxData'!$L242</f>
        <v>0.2</v>
      </c>
      <c r="H152" s="458">
        <f>'2. TaxData'!$M242</f>
        <v>0.11575404866225077</v>
      </c>
      <c r="I152" s="725">
        <f>'11. CashData'!$M68+'11. CashData'!$N68</f>
        <v>43351.891047956567</v>
      </c>
      <c r="J152" s="217">
        <f t="shared" si="8"/>
        <v>289791.9810289265</v>
      </c>
      <c r="K152" s="217">
        <f t="shared" si="9"/>
        <v>99397.627122263424</v>
      </c>
      <c r="L152" s="729">
        <f t="shared" si="13"/>
        <v>556939.02549246151</v>
      </c>
      <c r="M152" s="217">
        <f t="shared" si="14"/>
        <v>946128.63364365138</v>
      </c>
      <c r="N152" s="1002">
        <f>-PV('2. TaxData'!$I$65,($A152-$A$136),0,M152)</f>
        <v>689203.44241288642</v>
      </c>
    </row>
    <row r="153" spans="1:14" x14ac:dyDescent="0.25">
      <c r="A153" s="395">
        <f t="shared" si="15"/>
        <v>77</v>
      </c>
      <c r="B153" s="272">
        <f t="shared" si="16"/>
        <v>72</v>
      </c>
      <c r="C153" s="396">
        <f t="shared" si="6"/>
        <v>116137.81997884852</v>
      </c>
      <c r="D153" s="661">
        <f t="shared" si="7"/>
        <v>0</v>
      </c>
      <c r="E153" s="396">
        <f t="shared" si="12"/>
        <v>75332.988352552435</v>
      </c>
      <c r="F153" s="345">
        <f>'2. TaxData'!$K243</f>
        <v>14817.462853087049</v>
      </c>
      <c r="G153" s="106">
        <f>'2. TaxData'!$L243</f>
        <v>0.2</v>
      </c>
      <c r="H153" s="458">
        <f>'2. TaxData'!$M243</f>
        <v>0.11369794274563437</v>
      </c>
      <c r="I153" s="725">
        <f>'11. CashData'!$M69+'11. CashData'!$N69</f>
        <v>47722.990103866592</v>
      </c>
      <c r="J153" s="217">
        <f t="shared" si="8"/>
        <v>278223.45996908762</v>
      </c>
      <c r="K153" s="217">
        <f t="shared" si="9"/>
        <v>101517.48276913741</v>
      </c>
      <c r="L153" s="729">
        <f t="shared" si="13"/>
        <v>607697.19791435159</v>
      </c>
      <c r="M153" s="217">
        <f t="shared" si="14"/>
        <v>987438.14065257669</v>
      </c>
      <c r="N153" s="1002">
        <f>-PV('2. TaxData'!$I$65,($A153-$A$136),0,M153)</f>
        <v>705191.35280405579</v>
      </c>
    </row>
    <row r="154" spans="1:14" x14ac:dyDescent="0.25">
      <c r="A154" s="395">
        <f t="shared" si="15"/>
        <v>78</v>
      </c>
      <c r="B154" s="272">
        <f t="shared" si="16"/>
        <v>73</v>
      </c>
      <c r="C154" s="396">
        <f t="shared" si="6"/>
        <v>118390.57637842548</v>
      </c>
      <c r="D154" s="661">
        <f t="shared" si="7"/>
        <v>0</v>
      </c>
      <c r="E154" s="396">
        <f t="shared" si="12"/>
        <v>76839.648119603473</v>
      </c>
      <c r="F154" s="345">
        <f>'2. TaxData'!$K244</f>
        <v>14962.36433885419</v>
      </c>
      <c r="G154" s="106">
        <f>'2. TaxData'!$L244</f>
        <v>0.2</v>
      </c>
      <c r="H154" s="458">
        <f>'2. TaxData'!$M244</f>
        <v>0.11173765007195739</v>
      </c>
      <c r="I154" s="725">
        <f>'11. CashData'!$M70+'11. CashData'!$N70</f>
        <v>48984.631697891753</v>
      </c>
      <c r="J154" s="217">
        <f t="shared" si="8"/>
        <v>266708.75609936297</v>
      </c>
      <c r="K154" s="217">
        <f t="shared" si="9"/>
        <v>103700.38118794074</v>
      </c>
      <c r="L154" s="729">
        <f t="shared" si="13"/>
        <v>663528.44760599383</v>
      </c>
      <c r="M154" s="217">
        <f t="shared" si="14"/>
        <v>1033937.5848932975</v>
      </c>
      <c r="N154" s="1002">
        <f>-PV('2. TaxData'!$I$65,($A154-$A$136),0,M154)</f>
        <v>723921.09319235734</v>
      </c>
    </row>
    <row r="155" spans="1:14" x14ac:dyDescent="0.25">
      <c r="A155" s="395">
        <f t="shared" si="15"/>
        <v>79</v>
      </c>
      <c r="B155" s="272">
        <f t="shared" si="16"/>
        <v>74</v>
      </c>
      <c r="C155" s="396">
        <f t="shared" si="6"/>
        <v>107295.43039476963</v>
      </c>
      <c r="D155" s="661">
        <f t="shared" si="7"/>
        <v>0</v>
      </c>
      <c r="E155" s="396">
        <f t="shared" si="12"/>
        <v>123974.63078211562</v>
      </c>
      <c r="F155" s="345">
        <f>'2. TaxData'!$K245</f>
        <v>13270.521945003076</v>
      </c>
      <c r="G155" s="106">
        <f>'2. TaxData'!$L245</f>
        <v>0.2</v>
      </c>
      <c r="H155" s="458">
        <f>'2. TaxData'!$M245</f>
        <v>0.10685626311058259</v>
      </c>
      <c r="I155" s="725">
        <f>'11. CashData'!$M71+'11. CashData'!$N71</f>
        <v>36793.929986987139</v>
      </c>
      <c r="J155" s="217">
        <f t="shared" si="8"/>
        <v>255214.85573260058</v>
      </c>
      <c r="K155" s="217">
        <f t="shared" si="9"/>
        <v>105955.83686120098</v>
      </c>
      <c r="L155" s="729">
        <f t="shared" si="13"/>
        <v>721393.4204253559</v>
      </c>
      <c r="M155" s="217">
        <f t="shared" si="14"/>
        <v>1082564.1130191574</v>
      </c>
      <c r="N155" s="1002">
        <f>-PV('2. TaxData'!$I$65,($A155-$A$136),0,M155)</f>
        <v>743105.3065997134</v>
      </c>
    </row>
    <row r="156" spans="1:14" x14ac:dyDescent="0.25">
      <c r="A156" s="395">
        <f t="shared" si="15"/>
        <v>80</v>
      </c>
      <c r="B156" s="272">
        <f t="shared" si="16"/>
        <v>75</v>
      </c>
      <c r="C156" s="396">
        <f t="shared" si="6"/>
        <v>109371.33900266502</v>
      </c>
      <c r="D156" s="661">
        <f t="shared" si="7"/>
        <v>0</v>
      </c>
      <c r="E156" s="396">
        <f t="shared" si="12"/>
        <v>79943.969903635458</v>
      </c>
      <c r="F156" s="345">
        <f>'2. TaxData'!$K246</f>
        <v>13353.891003922465</v>
      </c>
      <c r="G156" s="106">
        <f>'2. TaxData'!$L246</f>
        <v>0.2</v>
      </c>
      <c r="H156" s="458">
        <f>'2. TaxData'!$M246</f>
        <v>0.10485140512656678</v>
      </c>
      <c r="I156" s="725">
        <f>'11. CashData'!$M72+'11. CashData'!$N72</f>
        <v>39646.768062872521</v>
      </c>
      <c r="J156" s="217">
        <f t="shared" si="8"/>
        <v>243779.00386397436</v>
      </c>
      <c r="K156" s="217">
        <f t="shared" si="9"/>
        <v>108281.87579353573</v>
      </c>
      <c r="L156" s="729">
        <f t="shared" si="13"/>
        <v>767868.38475390209</v>
      </c>
      <c r="M156" s="217">
        <f t="shared" si="14"/>
        <v>1119929.2644114122</v>
      </c>
      <c r="N156" s="1002">
        <f>-PV('2. TaxData'!$I$65,($A156-$A$136),0,M156)</f>
        <v>753680.29005767452</v>
      </c>
    </row>
    <row r="157" spans="1:14" x14ac:dyDescent="0.25">
      <c r="A157" s="395">
        <f t="shared" si="15"/>
        <v>81</v>
      </c>
      <c r="B157" s="272">
        <f t="shared" si="16"/>
        <v>76</v>
      </c>
      <c r="C157" s="396">
        <f t="shared" si="6"/>
        <v>111488.76578271831</v>
      </c>
      <c r="D157" s="661">
        <f t="shared" si="7"/>
        <v>0</v>
      </c>
      <c r="E157" s="396">
        <f t="shared" si="12"/>
        <v>81542.849301708164</v>
      </c>
      <c r="F157" s="345">
        <f>'2. TaxData'!$K247</f>
        <v>13448.08349886392</v>
      </c>
      <c r="G157" s="106">
        <f>'2. TaxData'!$L247</f>
        <v>0.2</v>
      </c>
      <c r="H157" s="458">
        <f>'2. TaxData'!$M247</f>
        <v>0.10292316482054258</v>
      </c>
      <c r="I157" s="725">
        <f>'11. CashData'!$M73+'11. CashData'!$N73</f>
        <v>39279.587495853215</v>
      </c>
      <c r="J157" s="217">
        <f t="shared" si="8"/>
        <v>232402.56083520933</v>
      </c>
      <c r="K157" s="217">
        <f t="shared" si="9"/>
        <v>110680.74123250812</v>
      </c>
      <c r="L157" s="729">
        <f t="shared" si="13"/>
        <v>817825.28301175777</v>
      </c>
      <c r="M157" s="217">
        <f t="shared" si="14"/>
        <v>1160908.5850794753</v>
      </c>
      <c r="N157" s="1002">
        <f>-PV('2. TaxData'!$I$65,($A157-$A$136),0,M157)</f>
        <v>765939.40991914074</v>
      </c>
    </row>
    <row r="158" spans="1:14" x14ac:dyDescent="0.25">
      <c r="A158" s="395">
        <f t="shared" si="15"/>
        <v>82</v>
      </c>
      <c r="B158" s="272">
        <f t="shared" si="16"/>
        <v>77</v>
      </c>
      <c r="C158" s="396">
        <f t="shared" si="6"/>
        <v>113648.54109837268</v>
      </c>
      <c r="D158" s="661">
        <f t="shared" si="7"/>
        <v>0</v>
      </c>
      <c r="E158" s="396">
        <f t="shared" si="12"/>
        <v>83173.70628774233</v>
      </c>
      <c r="F158" s="345">
        <f>'2. TaxData'!$K248</f>
        <v>13536.493235489013</v>
      </c>
      <c r="G158" s="106">
        <f>'2. TaxData'!$L248</f>
        <v>0.2</v>
      </c>
      <c r="H158" s="458">
        <f>'2. TaxData'!$M248</f>
        <v>0.10101275987707033</v>
      </c>
      <c r="I158" s="725">
        <f>'11. CashData'!$M74+'11. CashData'!$N74</f>
        <v>40226.381624264563</v>
      </c>
      <c r="J158" s="217">
        <f t="shared" si="8"/>
        <v>221090.26918659179</v>
      </c>
      <c r="K158" s="217">
        <f t="shared" si="9"/>
        <v>113158.78700284063</v>
      </c>
      <c r="L158" s="729">
        <f t="shared" si="13"/>
        <v>868099.23917636578</v>
      </c>
      <c r="M158" s="217">
        <f t="shared" si="14"/>
        <v>1202348.2953657983</v>
      </c>
      <c r="N158" s="1002">
        <f>-PV('2. TaxData'!$I$65,($A158-$A$136),0,M158)</f>
        <v>777725.81237266632</v>
      </c>
    </row>
    <row r="159" spans="1:14" x14ac:dyDescent="0.25">
      <c r="A159" s="395">
        <f t="shared" si="15"/>
        <v>83</v>
      </c>
      <c r="B159" s="272">
        <f t="shared" si="16"/>
        <v>78</v>
      </c>
      <c r="C159" s="396">
        <f t="shared" si="6"/>
        <v>115851.51192034013</v>
      </c>
      <c r="D159" s="661">
        <f t="shared" si="7"/>
        <v>0</v>
      </c>
      <c r="E159" s="396">
        <f t="shared" si="12"/>
        <v>84837.180413497161</v>
      </c>
      <c r="F159" s="345">
        <f>'2. TaxData'!$K249</f>
        <v>13625.752266605894</v>
      </c>
      <c r="G159" s="106">
        <f>'2. TaxData'!$L249</f>
        <v>0.2</v>
      </c>
      <c r="H159" s="458">
        <f>'2. TaxData'!$M249</f>
        <v>9.91425038538742E-2</v>
      </c>
      <c r="I159" s="725">
        <f>'11. CashData'!$M75+'11. CashData'!$N75</f>
        <v>41229.36088801967</v>
      </c>
      <c r="J159" s="217">
        <f t="shared" si="8"/>
        <v>209859.67647904719</v>
      </c>
      <c r="K159" s="217">
        <f t="shared" si="9"/>
        <v>115710.73632280895</v>
      </c>
      <c r="L159" s="729">
        <f t="shared" si="13"/>
        <v>920003.84288476536</v>
      </c>
      <c r="M159" s="217">
        <f t="shared" si="14"/>
        <v>1245574.2556866216</v>
      </c>
      <c r="N159" s="1002">
        <f>-PV('2. TaxData'!$I$65,($A159-$A$136),0,M159)</f>
        <v>789888.28517548181</v>
      </c>
    </row>
    <row r="160" spans="1:14" x14ac:dyDescent="0.25">
      <c r="A160" s="395">
        <f t="shared" si="15"/>
        <v>84</v>
      </c>
      <c r="B160" s="272">
        <f t="shared" si="16"/>
        <v>79</v>
      </c>
      <c r="C160" s="396">
        <f t="shared" si="6"/>
        <v>118098.54215874693</v>
      </c>
      <c r="D160" s="661">
        <f t="shared" si="7"/>
        <v>0</v>
      </c>
      <c r="E160" s="396">
        <f t="shared" si="12"/>
        <v>86533.924021767103</v>
      </c>
      <c r="F160" s="345">
        <f>'2. TaxData'!$K250</f>
        <v>13716.057300992177</v>
      </c>
      <c r="G160" s="106">
        <f>'2. TaxData'!$L250</f>
        <v>0.2</v>
      </c>
      <c r="H160" s="458">
        <f>'2. TaxData'!$M250</f>
        <v>9.7312161593629237E-2</v>
      </c>
      <c r="I160" s="725">
        <f>'11. CashData'!$M76+'11. CashData'!$N76</f>
        <v>42234.638900549209</v>
      </c>
      <c r="J160" s="217">
        <f t="shared" si="8"/>
        <v>198697.53111112601</v>
      </c>
      <c r="K160" s="217">
        <f t="shared" si="9"/>
        <v>118346.92092510452</v>
      </c>
      <c r="L160" s="729">
        <f t="shared" si="13"/>
        <v>973617.68476176925</v>
      </c>
      <c r="M160" s="217">
        <f t="shared" si="14"/>
        <v>1290662.1367979997</v>
      </c>
      <c r="N160" s="1002">
        <f>-PV('2. TaxData'!$I$65,($A160-$A$136),0,M160)</f>
        <v>802432.38411638141</v>
      </c>
    </row>
    <row r="161" spans="1:14" x14ac:dyDescent="0.25">
      <c r="A161" s="395">
        <f t="shared" si="15"/>
        <v>85</v>
      </c>
      <c r="B161" s="272">
        <f t="shared" si="16"/>
        <v>80</v>
      </c>
      <c r="C161" s="396">
        <f t="shared" si="6"/>
        <v>48499.975346262654</v>
      </c>
      <c r="D161" s="661">
        <f t="shared" si="7"/>
        <v>0</v>
      </c>
      <c r="E161" s="396">
        <f t="shared" si="12"/>
        <v>88264.602502202441</v>
      </c>
      <c r="F161" s="345">
        <f>'2. TaxData'!$K251</f>
        <v>5043.4354253620868</v>
      </c>
      <c r="G161" s="106">
        <f>'2. TaxData'!$L251</f>
        <v>0.2</v>
      </c>
      <c r="H161" s="458">
        <f>'2. TaxData'!$M251</f>
        <v>6.9413644676466296E-2</v>
      </c>
      <c r="I161" s="725">
        <f>'11. CashData'!$M77+'11. CashData'!$N77</f>
        <v>-19910.730388163753</v>
      </c>
      <c r="J161" s="217">
        <f t="shared" si="8"/>
        <v>187628.93982262333</v>
      </c>
      <c r="K161" s="217">
        <f t="shared" si="9"/>
        <v>121074.09598794805</v>
      </c>
      <c r="L161" s="729">
        <f t="shared" si="13"/>
        <v>1028966.660522884</v>
      </c>
      <c r="M161" s="217">
        <f t="shared" si="14"/>
        <v>1337669.6963334554</v>
      </c>
      <c r="N161" s="1002">
        <f>-PV('2. TaxData'!$I$65,($A161-$A$136),0,M161)</f>
        <v>815350.97448543005</v>
      </c>
    </row>
    <row r="162" spans="1:14" x14ac:dyDescent="0.25">
      <c r="A162" s="395">
        <f t="shared" si="15"/>
        <v>86</v>
      </c>
      <c r="B162" s="272">
        <f t="shared" si="16"/>
        <v>81</v>
      </c>
      <c r="C162" s="396">
        <f t="shared" si="6"/>
        <v>44942.132665252837</v>
      </c>
      <c r="D162" s="661">
        <f t="shared" si="7"/>
        <v>0</v>
      </c>
      <c r="E162" s="396">
        <f t="shared" si="12"/>
        <v>60243.052116744875</v>
      </c>
      <c r="F162" s="345">
        <f>'2. TaxData'!$K252</f>
        <v>2462.1442690338954</v>
      </c>
      <c r="G162" s="106">
        <f>'2. TaxData'!$L252</f>
        <v>0.2</v>
      </c>
      <c r="H162" s="458">
        <f>'2. TaxData'!$M252</f>
        <v>4.1596138267302463E-2</v>
      </c>
      <c r="I162" s="725">
        <f>'11. CashData'!$M78+'11. CashData'!$N78</f>
        <v>1045.5114746203581</v>
      </c>
      <c r="J162" s="217">
        <f t="shared" si="8"/>
        <v>176702.59658686817</v>
      </c>
      <c r="K162" s="217">
        <f t="shared" si="9"/>
        <v>123888.40895133218</v>
      </c>
      <c r="L162" s="729">
        <f t="shared" si="13"/>
        <v>518164.45149407891</v>
      </c>
      <c r="M162" s="217">
        <f t="shared" si="14"/>
        <v>818755.45703227934</v>
      </c>
      <c r="N162" s="1002">
        <f>-PV('2. TaxData'!$I$65,($A162-$A$136),0,M162)</f>
        <v>489271.3004653572</v>
      </c>
    </row>
    <row r="163" spans="1:14" x14ac:dyDescent="0.25">
      <c r="A163" s="395">
        <f t="shared" si="15"/>
        <v>87</v>
      </c>
      <c r="B163" s="272">
        <f t="shared" si="16"/>
        <v>82</v>
      </c>
      <c r="C163" s="396">
        <f t="shared" si="6"/>
        <v>45770.975318557888</v>
      </c>
      <c r="D163" s="661">
        <f t="shared" si="7"/>
        <v>0</v>
      </c>
      <c r="E163" s="396">
        <f t="shared" si="12"/>
        <v>61447.913159079762</v>
      </c>
      <c r="F163" s="345">
        <f>'2. TaxData'!$K253</f>
        <v>2396.0942375804816</v>
      </c>
      <c r="G163" s="106">
        <f>'2. TaxData'!$L253</f>
        <v>0.2</v>
      </c>
      <c r="H163" s="458">
        <f>'2. TaxData'!$M253</f>
        <v>3.9746610909133867E-2</v>
      </c>
      <c r="I163" s="725">
        <f>'11. CashData'!$M79+'11. CashData'!$N79</f>
        <v>761.25171101500018</v>
      </c>
      <c r="J163" s="217">
        <f t="shared" si="8"/>
        <v>165922.79224531952</v>
      </c>
      <c r="K163" s="217">
        <f t="shared" si="9"/>
        <v>126792.81706773996</v>
      </c>
      <c r="L163" s="729">
        <f t="shared" si="13"/>
        <v>527755.08513253543</v>
      </c>
      <c r="M163" s="217">
        <f t="shared" si="14"/>
        <v>820470.69444559491</v>
      </c>
      <c r="N163" s="1002">
        <f>-PV('2. TaxData'!$I$65,($A163-$A$136),0,M163)</f>
        <v>480682.63805110089</v>
      </c>
    </row>
    <row r="164" spans="1:14" x14ac:dyDescent="0.25">
      <c r="A164" s="395">
        <f t="shared" si="15"/>
        <v>88</v>
      </c>
      <c r="B164" s="272">
        <f t="shared" si="16"/>
        <v>83</v>
      </c>
      <c r="C164" s="396">
        <f t="shared" si="6"/>
        <v>46616.394824929062</v>
      </c>
      <c r="D164" s="661">
        <f t="shared" si="7"/>
        <v>0</v>
      </c>
      <c r="E164" s="396">
        <f t="shared" si="12"/>
        <v>62676.871422261371</v>
      </c>
      <c r="F164" s="345">
        <f>'2. TaxData'!$K254</f>
        <v>2328.3980984628733</v>
      </c>
      <c r="G164" s="106">
        <f>'2. TaxData'!$L254</f>
        <v>0.2</v>
      </c>
      <c r="H164" s="458">
        <f>'2. TaxData'!$M254</f>
        <v>3.7925431868627402E-2</v>
      </c>
      <c r="I164" s="725">
        <f>'11. CashData'!$M80+'11. CashData'!$N80</f>
        <v>473.76631152354094</v>
      </c>
      <c r="J164" s="217">
        <f t="shared" si="8"/>
        <v>155294.31324623438</v>
      </c>
      <c r="K164" s="217">
        <f t="shared" si="9"/>
        <v>129789.79516554669</v>
      </c>
      <c r="L164" s="729">
        <f t="shared" si="13"/>
        <v>537371.42497786216</v>
      </c>
      <c r="M164" s="217">
        <f t="shared" si="14"/>
        <v>822455.5333896433</v>
      </c>
      <c r="N164" s="1002">
        <f>-PV('2. TaxData'!$I$65,($A164-$A$136),0,M164)</f>
        <v>472397.52926644869</v>
      </c>
    </row>
    <row r="165" spans="1:14" x14ac:dyDescent="0.25">
      <c r="A165" s="395">
        <f t="shared" si="15"/>
        <v>89</v>
      </c>
      <c r="B165" s="272">
        <f t="shared" si="16"/>
        <v>84</v>
      </c>
      <c r="C165" s="396">
        <f t="shared" si="6"/>
        <v>47478.722721427635</v>
      </c>
      <c r="D165" s="661">
        <f t="shared" si="7"/>
        <v>0</v>
      </c>
      <c r="E165" s="396">
        <f t="shared" si="12"/>
        <v>63930.40885070659</v>
      </c>
      <c r="F165" s="345">
        <f>'2. TaxData'!$K255</f>
        <v>2259.0335953460071</v>
      </c>
      <c r="G165" s="106">
        <f>'2. TaxData'!$L255</f>
        <v>0.2</v>
      </c>
      <c r="H165" s="458">
        <f>'2. TaxData'!$M255</f>
        <v>3.6132072715827489E-2</v>
      </c>
      <c r="I165" s="725">
        <f>'11. CashData'!$M81+'11. CashData'!$N81</f>
        <v>183.61465745324313</v>
      </c>
      <c r="J165" s="217">
        <f t="shared" si="8"/>
        <v>144822.52032743429</v>
      </c>
      <c r="K165" s="217">
        <f t="shared" si="9"/>
        <v>132881.77315478463</v>
      </c>
      <c r="L165" s="729">
        <f t="shared" si="13"/>
        <v>547012.30807073636</v>
      </c>
      <c r="M165" s="217">
        <f t="shared" si="14"/>
        <v>824716.60155295534</v>
      </c>
      <c r="N165" s="1002">
        <f>-PV('2. TaxData'!$I$65,($A165-$A$136),0,M165)</f>
        <v>464408.06792334863</v>
      </c>
    </row>
    <row r="166" spans="1:14" x14ac:dyDescent="0.25">
      <c r="A166" s="395">
        <f t="shared" si="15"/>
        <v>90</v>
      </c>
      <c r="B166" s="272">
        <f t="shared" si="16"/>
        <v>85</v>
      </c>
      <c r="C166" s="396">
        <f t="shared" si="6"/>
        <v>48358.297175856191</v>
      </c>
      <c r="D166" s="661">
        <f t="shared" si="7"/>
        <v>0</v>
      </c>
      <c r="E166" s="396">
        <f t="shared" si="12"/>
        <v>65209.017027720722</v>
      </c>
      <c r="F166" s="345">
        <f>'2. TaxData'!$K256</f>
        <v>2187.9787607995863</v>
      </c>
      <c r="G166" s="106">
        <f>'2. TaxData'!$L256</f>
        <v>0.2</v>
      </c>
      <c r="H166" s="458">
        <f>'2. TaxData'!$M256</f>
        <v>3.4366027187795009E-2</v>
      </c>
      <c r="I166" s="725">
        <f>'11. CashData'!$M82+'11. CashData'!$N82</f>
        <v>-214.21464408125757</v>
      </c>
      <c r="J166" s="217">
        <f t="shared" si="8"/>
        <v>134521.91322932066</v>
      </c>
      <c r="K166" s="217">
        <f t="shared" si="9"/>
        <v>136092.58590441535</v>
      </c>
      <c r="L166" s="729">
        <f t="shared" si="13"/>
        <v>556676.83079070086</v>
      </c>
      <c r="M166" s="217">
        <f t="shared" si="14"/>
        <v>827291.32992443687</v>
      </c>
      <c r="N166" s="1002">
        <f>-PV('2. TaxData'!$I$65,($A166-$A$136),0,M166)</f>
        <v>456723.45995675755</v>
      </c>
    </row>
    <row r="167" spans="1:14" x14ac:dyDescent="0.25">
      <c r="A167" s="395">
        <f t="shared" si="15"/>
        <v>91</v>
      </c>
      <c r="B167" s="272">
        <f t="shared" si="16"/>
        <v>86</v>
      </c>
      <c r="C167" s="396">
        <f t="shared" si="6"/>
        <v>49255.463119373308</v>
      </c>
      <c r="D167" s="661">
        <f t="shared" si="7"/>
        <v>0</v>
      </c>
      <c r="E167" s="396">
        <f t="shared" si="12"/>
        <v>66513.197368275127</v>
      </c>
      <c r="F167" s="345">
        <f>'2. TaxData'!$K257</f>
        <v>850.64518588932276</v>
      </c>
      <c r="G167" s="106">
        <f>'2. TaxData'!$L257</f>
        <v>0.2</v>
      </c>
      <c r="H167" s="458">
        <f>'2. TaxData'!$M257</f>
        <v>1.7270067765432183E-2</v>
      </c>
      <c r="I167" s="725">
        <f>'11. CashData'!$M83+'11. CashData'!$N83</f>
        <v>649.91300853846769</v>
      </c>
      <c r="J167" s="217">
        <f t="shared" si="8"/>
        <v>124475.84121034261</v>
      </c>
      <c r="K167" s="217">
        <f t="shared" si="9"/>
        <v>139408.63644680078</v>
      </c>
      <c r="L167" s="729">
        <f t="shared" si="13"/>
        <v>566311.56800749747</v>
      </c>
      <c r="M167" s="217">
        <f t="shared" si="14"/>
        <v>830196.04566464084</v>
      </c>
      <c r="N167" s="1002">
        <f>-PV('2. TaxData'!$I$65,($A167-$A$136),0,M167)</f>
        <v>449340.26368400588</v>
      </c>
    </row>
    <row r="168" spans="1:14" x14ac:dyDescent="0.25">
      <c r="A168" s="395">
        <f t="shared" si="15"/>
        <v>92</v>
      </c>
      <c r="B168" s="272">
        <f t="shared" si="16"/>
        <v>87</v>
      </c>
      <c r="C168" s="396">
        <f t="shared" si="6"/>
        <v>3500</v>
      </c>
      <c r="D168" s="661">
        <f t="shared" si="7"/>
        <v>0</v>
      </c>
      <c r="E168" s="396">
        <f t="shared" si="12"/>
        <v>67843.461315640641</v>
      </c>
      <c r="F168" s="345">
        <f>'2. TaxData'!$K258</f>
        <v>0</v>
      </c>
      <c r="G168" s="106">
        <f>'2. TaxData'!$L258</f>
        <v>0</v>
      </c>
      <c r="H168" s="458">
        <f>'2. TaxData'!$M258</f>
        <v>0</v>
      </c>
      <c r="I168" s="725">
        <f>'11. CashData'!$M84+'11. CashData'!$N84</f>
        <v>-45641.77936295118</v>
      </c>
      <c r="J168" s="217">
        <f t="shared" si="8"/>
        <v>114690.6755034572</v>
      </c>
      <c r="K168" s="217">
        <f t="shared" si="9"/>
        <v>142834.30238154798</v>
      </c>
      <c r="L168" s="729">
        <f t="shared" si="13"/>
        <v>576546.97695189784</v>
      </c>
      <c r="M168" s="217">
        <f t="shared" si="14"/>
        <v>834071.95483690302</v>
      </c>
      <c r="N168" s="1002">
        <f>-PV('2. TaxData'!$I$65,($A168-$A$136),0,M168)</f>
        <v>442586.35676664946</v>
      </c>
    </row>
    <row r="169" spans="1:14" x14ac:dyDescent="0.25">
      <c r="A169" s="395">
        <f t="shared" si="15"/>
        <v>93</v>
      </c>
      <c r="B169" s="272">
        <f t="shared" si="16"/>
        <v>88</v>
      </c>
      <c r="C169" s="396">
        <f t="shared" si="6"/>
        <v>0</v>
      </c>
      <c r="D169" s="661">
        <f t="shared" si="7"/>
        <v>0</v>
      </c>
      <c r="E169" s="396">
        <f t="shared" si="12"/>
        <v>0</v>
      </c>
      <c r="F169" s="345">
        <f>'2. TaxData'!$K259</f>
        <v>0</v>
      </c>
      <c r="G169" s="106">
        <f>'2. TaxData'!$L259</f>
        <v>0</v>
      </c>
      <c r="H169" s="458">
        <f>'2. TaxData'!$M259</f>
        <v>0</v>
      </c>
      <c r="I169" s="725">
        <f>'11. CashData'!$M85+'11. CashData'!$N85</f>
        <v>12782.109979255671</v>
      </c>
      <c r="J169" s="217">
        <f t="shared" si="8"/>
        <v>105173.47948339174</v>
      </c>
      <c r="K169" s="217">
        <f t="shared" si="9"/>
        <v>146372.42646053748</v>
      </c>
      <c r="L169" s="729">
        <f t="shared" si="13"/>
        <v>0</v>
      </c>
      <c r="M169" s="217">
        <f t="shared" si="14"/>
        <v>251545.90594392922</v>
      </c>
      <c r="N169" s="1002">
        <f>-PV('2. TaxData'!$I$65,($A169-$A$136),0,M169)</f>
        <v>130861.40691902279</v>
      </c>
    </row>
    <row r="170" spans="1:14" x14ac:dyDescent="0.25">
      <c r="A170" s="395">
        <f t="shared" si="15"/>
        <v>94</v>
      </c>
      <c r="B170" s="272">
        <f t="shared" si="16"/>
        <v>89</v>
      </c>
      <c r="C170" s="396">
        <f t="shared" si="6"/>
        <v>0</v>
      </c>
      <c r="D170" s="661">
        <f t="shared" si="7"/>
        <v>0</v>
      </c>
      <c r="E170" s="396">
        <f t="shared" si="12"/>
        <v>0</v>
      </c>
      <c r="F170" s="345">
        <f>'2. TaxData'!$K260</f>
        <v>0</v>
      </c>
      <c r="G170" s="106">
        <f>'2. TaxData'!$L260</f>
        <v>0</v>
      </c>
      <c r="H170" s="458">
        <f>'2. TaxData'!$M260</f>
        <v>0</v>
      </c>
      <c r="I170" s="725">
        <f>'11. CashData'!$M86+'11. CashData'!$N86</f>
        <v>12556.902161270484</v>
      </c>
      <c r="J170" s="217">
        <f t="shared" si="8"/>
        <v>95935.69905874753</v>
      </c>
      <c r="K170" s="217">
        <f t="shared" si="9"/>
        <v>150045.72765885218</v>
      </c>
      <c r="L170" s="729">
        <f t="shared" si="13"/>
        <v>0</v>
      </c>
      <c r="M170" s="217">
        <f t="shared" si="14"/>
        <v>245981.42671759971</v>
      </c>
      <c r="N170" s="1002">
        <f>-PV('2. TaxData'!$I$65,($A170-$A$136),0,M170)</f>
        <v>125457.45584696261</v>
      </c>
    </row>
    <row r="171" spans="1:14" x14ac:dyDescent="0.25">
      <c r="A171" s="395">
        <f t="shared" si="15"/>
        <v>95</v>
      </c>
      <c r="B171" s="272">
        <f t="shared" si="16"/>
        <v>90</v>
      </c>
      <c r="C171" s="396">
        <f t="shared" si="6"/>
        <v>0</v>
      </c>
      <c r="D171" s="661">
        <f t="shared" si="7"/>
        <v>0</v>
      </c>
      <c r="E171" s="396">
        <f t="shared" si="12"/>
        <v>0</v>
      </c>
      <c r="F171" s="345">
        <f>'2. TaxData'!$K261</f>
        <v>0</v>
      </c>
      <c r="G171" s="106">
        <f>'2. TaxData'!$L261</f>
        <v>0</v>
      </c>
      <c r="H171" s="458">
        <f>'2. TaxData'!$M261</f>
        <v>0</v>
      </c>
      <c r="I171" s="725">
        <f>'11. CashData'!$M87+'11. CashData'!$N87</f>
        <v>12294.198126815643</v>
      </c>
      <c r="J171" s="217">
        <f t="shared" si="8"/>
        <v>87047.580777070689</v>
      </c>
      <c r="K171" s="217">
        <f t="shared" si="9"/>
        <v>153853.72075954179</v>
      </c>
      <c r="L171" s="729">
        <f t="shared" si="13"/>
        <v>0</v>
      </c>
      <c r="M171" s="217">
        <f t="shared" si="14"/>
        <v>240901.30153661247</v>
      </c>
      <c r="N171" s="1002">
        <f>-PV('2. TaxData'!$I$65,($A171-$A$136),0,M171)</f>
        <v>120457.30286250076</v>
      </c>
    </row>
    <row r="172" spans="1:14" ht="15.75" thickBot="1" x14ac:dyDescent="0.3">
      <c r="A172" s="397">
        <f t="shared" si="15"/>
        <v>96</v>
      </c>
      <c r="B172" s="273">
        <f t="shared" si="16"/>
        <v>91</v>
      </c>
      <c r="C172" s="399">
        <f t="shared" si="6"/>
        <v>0</v>
      </c>
      <c r="D172" s="399">
        <f t="shared" si="7"/>
        <v>0</v>
      </c>
      <c r="E172" s="399">
        <f t="shared" si="12"/>
        <v>0</v>
      </c>
      <c r="F172" s="347">
        <f>'2. TaxData'!$K262</f>
        <v>0</v>
      </c>
      <c r="G172" s="235">
        <f>'2. TaxData'!$L262</f>
        <v>0</v>
      </c>
      <c r="H172" s="459">
        <f>'2. TaxData'!$M262</f>
        <v>0</v>
      </c>
      <c r="I172" s="1544">
        <f>'11. CashData'!$M88+'11. CashData'!$N88</f>
        <v>12042.348738792227</v>
      </c>
      <c r="J172" s="1005">
        <f t="shared" si="8"/>
        <v>78542.039790656447</v>
      </c>
      <c r="K172" s="1005">
        <f t="shared" si="9"/>
        <v>157792.30242733425</v>
      </c>
      <c r="L172" s="731">
        <f t="shared" si="13"/>
        <v>0</v>
      </c>
      <c r="M172" s="1005">
        <f t="shared" si="14"/>
        <v>236334.34221799069</v>
      </c>
      <c r="N172" s="1006">
        <f>-PV('2. TaxData'!$I$65,($A172-$A$136),0,M172)</f>
        <v>115856.5657785307</v>
      </c>
    </row>
    <row r="173" spans="1:14" ht="15.75" thickTop="1" x14ac:dyDescent="0.25">
      <c r="A173" s="272"/>
      <c r="B173" s="272"/>
      <c r="C173" s="274"/>
      <c r="D173" s="274"/>
      <c r="E173" s="274"/>
      <c r="F173" s="274"/>
      <c r="G173" s="106"/>
      <c r="H173" s="458"/>
      <c r="I173" s="217"/>
      <c r="J173" s="274"/>
      <c r="K173" s="274"/>
      <c r="L173" s="274"/>
      <c r="M173" s="274"/>
      <c r="N173" s="1449"/>
    </row>
    <row r="174" spans="1:14" ht="19.5" thickBot="1" x14ac:dyDescent="0.35">
      <c r="A174" s="599"/>
      <c r="B174" s="169"/>
      <c r="C174" s="170"/>
      <c r="D174" s="170"/>
      <c r="E174" s="171"/>
      <c r="F174" s="172"/>
      <c r="G174" s="173"/>
      <c r="H174" s="174"/>
      <c r="I174" s="75"/>
      <c r="J174" s="75"/>
      <c r="K174" s="130"/>
      <c r="L174" s="175"/>
      <c r="M174" s="33"/>
      <c r="N174" s="1315"/>
    </row>
    <row r="175" spans="1:14" ht="19.5" thickTop="1" x14ac:dyDescent="0.3">
      <c r="A175" s="265" t="s">
        <v>1614</v>
      </c>
      <c r="B175" s="14"/>
      <c r="C175" s="612"/>
      <c r="D175" s="612"/>
      <c r="E175" s="613"/>
      <c r="F175" s="614"/>
      <c r="G175" s="615"/>
      <c r="H175" s="616"/>
      <c r="I175" s="617"/>
      <c r="J175" s="617"/>
      <c r="K175" s="49"/>
      <c r="L175" s="618"/>
      <c r="M175" s="50"/>
      <c r="N175" s="16"/>
    </row>
    <row r="176" spans="1:14" ht="18" x14ac:dyDescent="0.25">
      <c r="A176" s="1267" t="s">
        <v>1548</v>
      </c>
      <c r="B176" s="6"/>
      <c r="C176" s="170"/>
      <c r="D176" s="170"/>
      <c r="E176" s="171"/>
      <c r="F176" s="172"/>
      <c r="G176" s="173"/>
      <c r="H176" s="174"/>
      <c r="I176" s="75"/>
      <c r="J176" s="75"/>
      <c r="K176" s="130"/>
      <c r="L176" s="175"/>
      <c r="M176" s="33"/>
      <c r="N176" s="39"/>
    </row>
    <row r="177" spans="1:14" ht="18" x14ac:dyDescent="0.25">
      <c r="A177" s="1416" t="s">
        <v>1546</v>
      </c>
      <c r="B177" s="6"/>
      <c r="C177" s="170"/>
      <c r="D177" s="170"/>
      <c r="E177" s="171"/>
      <c r="F177" s="172"/>
      <c r="G177" s="173"/>
      <c r="H177" s="174"/>
      <c r="I177" s="75"/>
      <c r="J177" s="75"/>
      <c r="K177" s="130"/>
      <c r="L177" s="175"/>
      <c r="M177" s="33"/>
      <c r="N177" s="1311"/>
    </row>
    <row r="178" spans="1:14" ht="18.75" x14ac:dyDescent="0.3">
      <c r="A178" s="619"/>
      <c r="B178" s="169"/>
      <c r="C178" s="170"/>
      <c r="D178" s="170"/>
      <c r="E178" s="171"/>
      <c r="F178" s="172"/>
      <c r="G178" s="173"/>
      <c r="H178" s="174"/>
      <c r="I178" s="75"/>
      <c r="J178" s="75"/>
      <c r="K178" s="130"/>
      <c r="L178" s="175"/>
      <c r="M178" s="33"/>
      <c r="N178" s="39"/>
    </row>
    <row r="179" spans="1:14" ht="18.75" x14ac:dyDescent="0.3">
      <c r="A179" s="619"/>
      <c r="B179" s="169"/>
      <c r="C179" s="170"/>
      <c r="D179" s="170"/>
      <c r="E179" s="171"/>
      <c r="F179" s="172"/>
      <c r="G179" s="173"/>
      <c r="H179" s="174"/>
      <c r="I179" s="75"/>
      <c r="J179" s="75"/>
      <c r="K179" s="130"/>
      <c r="L179" s="175"/>
      <c r="M179" s="33"/>
      <c r="N179" s="39"/>
    </row>
    <row r="180" spans="1:14" ht="18.75" x14ac:dyDescent="0.3">
      <c r="A180" s="619"/>
      <c r="B180" s="169"/>
      <c r="C180" s="170"/>
      <c r="D180" s="170"/>
      <c r="E180" s="171"/>
      <c r="F180" s="172"/>
      <c r="G180" s="173"/>
      <c r="H180" s="174"/>
      <c r="I180" s="75"/>
      <c r="J180" s="75"/>
      <c r="K180" s="130"/>
      <c r="L180" s="175"/>
      <c r="M180" s="33"/>
      <c r="N180" s="39"/>
    </row>
    <row r="181" spans="1:14" ht="18.75" x14ac:dyDescent="0.3">
      <c r="A181" s="619"/>
      <c r="B181" s="169"/>
      <c r="C181" s="170"/>
      <c r="D181" s="170"/>
      <c r="E181" s="171"/>
      <c r="F181" s="172"/>
      <c r="G181" s="173"/>
      <c r="H181" s="174"/>
      <c r="I181" s="75"/>
      <c r="J181" s="75"/>
      <c r="K181" s="130"/>
      <c r="L181" s="175"/>
      <c r="M181" s="33"/>
      <c r="N181" s="39"/>
    </row>
    <row r="182" spans="1:14" ht="18.75" x14ac:dyDescent="0.3">
      <c r="A182" s="619"/>
      <c r="B182" s="169"/>
      <c r="C182" s="170"/>
      <c r="D182" s="170"/>
      <c r="E182" s="171"/>
      <c r="F182" s="172"/>
      <c r="G182" s="173"/>
      <c r="H182" s="174"/>
      <c r="I182" s="75"/>
      <c r="J182" s="75"/>
      <c r="K182" s="130"/>
      <c r="L182" s="175"/>
      <c r="M182" s="33"/>
      <c r="N182" s="39"/>
    </row>
    <row r="183" spans="1:14" ht="18.75" x14ac:dyDescent="0.3">
      <c r="A183" s="619"/>
      <c r="B183" s="169"/>
      <c r="C183" s="170"/>
      <c r="D183" s="170"/>
      <c r="E183" s="171"/>
      <c r="F183" s="172"/>
      <c r="G183" s="173"/>
      <c r="H183" s="174"/>
      <c r="I183" s="75"/>
      <c r="J183" s="75"/>
      <c r="K183" s="130"/>
      <c r="L183" s="175"/>
      <c r="M183" s="33"/>
      <c r="N183" s="39"/>
    </row>
    <row r="184" spans="1:14" ht="18.75" x14ac:dyDescent="0.3">
      <c r="A184" s="619"/>
      <c r="B184" s="169"/>
      <c r="C184" s="170"/>
      <c r="D184" s="170"/>
      <c r="E184" s="171"/>
      <c r="F184" s="172"/>
      <c r="G184" s="173"/>
      <c r="H184" s="174"/>
      <c r="I184" s="75"/>
      <c r="J184" s="75"/>
      <c r="K184" s="130"/>
      <c r="L184" s="175"/>
      <c r="M184" s="33"/>
      <c r="N184" s="39"/>
    </row>
    <row r="185" spans="1:14" ht="18.75" x14ac:dyDescent="0.3">
      <c r="A185" s="619"/>
      <c r="B185" s="169"/>
      <c r="C185" s="170"/>
      <c r="D185" s="170"/>
      <c r="E185" s="171"/>
      <c r="F185" s="172"/>
      <c r="G185" s="173"/>
      <c r="H185" s="174"/>
      <c r="I185" s="75"/>
      <c r="J185" s="75"/>
      <c r="K185" s="130"/>
      <c r="L185" s="175"/>
      <c r="M185" s="33"/>
      <c r="N185" s="39"/>
    </row>
    <row r="186" spans="1:14" ht="18.75" x14ac:dyDescent="0.3">
      <c r="A186" s="619"/>
      <c r="B186" s="169"/>
      <c r="C186" s="170"/>
      <c r="D186" s="170"/>
      <c r="E186" s="171"/>
      <c r="F186" s="172"/>
      <c r="G186" s="173"/>
      <c r="H186" s="174"/>
      <c r="I186" s="75"/>
      <c r="J186" s="75"/>
      <c r="K186" s="130"/>
      <c r="L186" s="175"/>
      <c r="M186" s="33"/>
      <c r="N186" s="39"/>
    </row>
    <row r="187" spans="1:14" ht="18.75" x14ac:dyDescent="0.3">
      <c r="A187" s="619"/>
      <c r="B187" s="169"/>
      <c r="C187" s="170"/>
      <c r="D187" s="170"/>
      <c r="E187" s="171"/>
      <c r="F187" s="172"/>
      <c r="G187" s="173"/>
      <c r="H187" s="174"/>
      <c r="I187" s="75"/>
      <c r="J187" s="75"/>
      <c r="K187" s="130"/>
      <c r="L187" s="175"/>
      <c r="M187" s="33"/>
      <c r="N187" s="39"/>
    </row>
    <row r="188" spans="1:14" ht="18.75" x14ac:dyDescent="0.3">
      <c r="A188" s="619"/>
      <c r="B188" s="169"/>
      <c r="C188" s="170"/>
      <c r="D188" s="170"/>
      <c r="E188" s="171"/>
      <c r="F188" s="172"/>
      <c r="G188" s="173"/>
      <c r="H188" s="174"/>
      <c r="I188" s="75"/>
      <c r="J188" s="75"/>
      <c r="K188" s="130"/>
      <c r="L188" s="175"/>
      <c r="M188" s="33"/>
      <c r="N188" s="39"/>
    </row>
    <row r="189" spans="1:14" ht="18.75" x14ac:dyDescent="0.3">
      <c r="A189" s="619"/>
      <c r="B189" s="169"/>
      <c r="C189" s="170"/>
      <c r="D189" s="170"/>
      <c r="E189" s="171"/>
      <c r="F189" s="172"/>
      <c r="G189" s="173"/>
      <c r="H189" s="174"/>
      <c r="I189" s="75"/>
      <c r="J189" s="75"/>
      <c r="K189" s="130"/>
      <c r="L189" s="175"/>
      <c r="M189" s="33"/>
      <c r="N189" s="39"/>
    </row>
    <row r="190" spans="1:14" ht="18.75" x14ac:dyDescent="0.3">
      <c r="A190" s="619"/>
      <c r="B190" s="169"/>
      <c r="C190" s="170"/>
      <c r="D190" s="170"/>
      <c r="E190" s="171"/>
      <c r="F190" s="172"/>
      <c r="G190" s="173"/>
      <c r="H190" s="174"/>
      <c r="I190" s="75"/>
      <c r="J190" s="75"/>
      <c r="K190" s="130"/>
      <c r="L190" s="175"/>
      <c r="M190" s="33"/>
      <c r="N190" s="39"/>
    </row>
    <row r="191" spans="1:14" ht="18.75" x14ac:dyDescent="0.3">
      <c r="A191" s="619"/>
      <c r="B191" s="169"/>
      <c r="C191" s="170"/>
      <c r="D191" s="170"/>
      <c r="E191" s="171"/>
      <c r="F191" s="172"/>
      <c r="G191" s="173"/>
      <c r="H191" s="174"/>
      <c r="I191" s="75"/>
      <c r="J191" s="75"/>
      <c r="K191" s="130"/>
      <c r="L191" s="175"/>
      <c r="M191" s="33"/>
      <c r="N191" s="39"/>
    </row>
    <row r="192" spans="1:14" ht="18.75" x14ac:dyDescent="0.3">
      <c r="A192" s="1984"/>
      <c r="B192" s="169"/>
      <c r="C192" s="170"/>
      <c r="D192" s="170"/>
      <c r="E192" s="171"/>
      <c r="F192" s="172"/>
      <c r="G192" s="173"/>
      <c r="H192" s="174"/>
      <c r="I192" s="75"/>
      <c r="J192" s="75"/>
      <c r="K192" s="130"/>
      <c r="L192" s="175"/>
      <c r="M192" s="33"/>
      <c r="N192" s="1311"/>
    </row>
    <row r="193" spans="1:14" ht="19.5" thickBot="1" x14ac:dyDescent="0.35">
      <c r="A193" s="2026"/>
      <c r="B193" s="1986"/>
      <c r="C193" s="1987"/>
      <c r="D193" s="1987"/>
      <c r="E193" s="1988"/>
      <c r="F193" s="1989"/>
      <c r="G193" s="1990"/>
      <c r="H193" s="1991"/>
      <c r="I193" s="1337"/>
      <c r="J193" s="1337"/>
      <c r="K193" s="1992"/>
      <c r="L193" s="1993"/>
      <c r="M193" s="1757"/>
      <c r="N193" s="1315"/>
    </row>
    <row r="194" spans="1:14" ht="19.5" thickTop="1" x14ac:dyDescent="0.3">
      <c r="A194" s="1340" t="s">
        <v>1615</v>
      </c>
      <c r="B194" s="1341"/>
      <c r="C194" s="1976"/>
      <c r="D194" s="1976"/>
      <c r="E194" s="1977"/>
      <c r="F194" s="1978"/>
      <c r="G194" s="1979"/>
      <c r="H194" s="1980"/>
      <c r="I194" s="1981"/>
      <c r="J194" s="1981"/>
      <c r="K194" s="1982"/>
      <c r="L194" s="1983"/>
      <c r="M194" s="1635"/>
      <c r="N194" s="1342"/>
    </row>
    <row r="195" spans="1:14" ht="18" x14ac:dyDescent="0.25">
      <c r="A195" s="1416" t="s">
        <v>1547</v>
      </c>
      <c r="B195" s="6"/>
      <c r="C195" s="170"/>
      <c r="D195" s="170"/>
      <c r="E195" s="171"/>
      <c r="F195" s="172"/>
      <c r="G195" s="173"/>
      <c r="H195" s="174"/>
      <c r="I195" s="75"/>
      <c r="J195" s="75"/>
      <c r="K195" s="130"/>
      <c r="L195" s="175"/>
      <c r="M195" s="33"/>
      <c r="N195" s="1311"/>
    </row>
    <row r="196" spans="1:14" ht="18" x14ac:dyDescent="0.25">
      <c r="A196" s="1416" t="s">
        <v>1546</v>
      </c>
      <c r="B196" s="6"/>
      <c r="C196" s="170"/>
      <c r="D196" s="170"/>
      <c r="E196" s="171"/>
      <c r="F196" s="172"/>
      <c r="G196" s="173"/>
      <c r="H196" s="174"/>
      <c r="I196" s="75"/>
      <c r="J196" s="75"/>
      <c r="K196" s="130"/>
      <c r="L196" s="175"/>
      <c r="M196" s="33"/>
      <c r="N196" s="1311"/>
    </row>
    <row r="197" spans="1:14" ht="18.75" x14ac:dyDescent="0.3">
      <c r="A197" s="619"/>
      <c r="B197" s="169"/>
      <c r="C197" s="170"/>
      <c r="D197" s="170"/>
      <c r="E197" s="171"/>
      <c r="F197" s="172"/>
      <c r="G197" s="173"/>
      <c r="H197" s="174"/>
      <c r="I197" s="75"/>
      <c r="J197" s="75"/>
      <c r="K197" s="130"/>
      <c r="L197" s="175"/>
      <c r="M197" s="33"/>
      <c r="N197" s="39"/>
    </row>
    <row r="198" spans="1:14" ht="18.75" x14ac:dyDescent="0.3">
      <c r="A198" s="619"/>
      <c r="B198" s="169"/>
      <c r="C198" s="170"/>
      <c r="D198" s="170"/>
      <c r="E198" s="171"/>
      <c r="F198" s="172"/>
      <c r="G198" s="173"/>
      <c r="H198" s="174"/>
      <c r="I198" s="75"/>
      <c r="J198" s="75"/>
      <c r="K198" s="130"/>
      <c r="L198" s="175"/>
      <c r="M198" s="33"/>
      <c r="N198" s="39"/>
    </row>
    <row r="199" spans="1:14" ht="18.75" x14ac:dyDescent="0.3">
      <c r="A199" s="619"/>
      <c r="B199" s="169"/>
      <c r="C199" s="170"/>
      <c r="D199" s="170"/>
      <c r="E199" s="171"/>
      <c r="F199" s="172"/>
      <c r="G199" s="173"/>
      <c r="H199" s="174"/>
      <c r="I199" s="75"/>
      <c r="J199" s="75"/>
      <c r="K199" s="130"/>
      <c r="L199" s="175"/>
      <c r="M199" s="33"/>
      <c r="N199" s="39"/>
    </row>
    <row r="200" spans="1:14" ht="18.75" x14ac:dyDescent="0.3">
      <c r="A200" s="619"/>
      <c r="B200" s="169"/>
      <c r="C200" s="170"/>
      <c r="D200" s="170"/>
      <c r="E200" s="171"/>
      <c r="F200" s="172"/>
      <c r="G200" s="173"/>
      <c r="H200" s="174"/>
      <c r="I200" s="75"/>
      <c r="J200" s="75"/>
      <c r="K200" s="130"/>
      <c r="L200" s="175"/>
      <c r="M200" s="33"/>
      <c r="N200" s="39"/>
    </row>
    <row r="201" spans="1:14" ht="18.75" x14ac:dyDescent="0.3">
      <c r="A201" s="619"/>
      <c r="B201" s="169"/>
      <c r="C201" s="170"/>
      <c r="D201" s="170"/>
      <c r="E201" s="171"/>
      <c r="F201" s="172"/>
      <c r="G201" s="173"/>
      <c r="H201" s="174"/>
      <c r="I201" s="75"/>
      <c r="J201" s="75"/>
      <c r="K201" s="130"/>
      <c r="L201" s="175"/>
      <c r="M201" s="33"/>
      <c r="N201" s="39"/>
    </row>
    <row r="202" spans="1:14" ht="18.75" x14ac:dyDescent="0.3">
      <c r="A202" s="619"/>
      <c r="B202" s="169"/>
      <c r="C202" s="170"/>
      <c r="D202" s="170"/>
      <c r="E202" s="171"/>
      <c r="F202" s="172"/>
      <c r="G202" s="173"/>
      <c r="H202" s="174"/>
      <c r="I202" s="75"/>
      <c r="J202" s="75"/>
      <c r="K202" s="130"/>
      <c r="L202" s="175"/>
      <c r="M202" s="33"/>
      <c r="N202" s="39"/>
    </row>
    <row r="203" spans="1:14" ht="18.75" x14ac:dyDescent="0.3">
      <c r="A203" s="619"/>
      <c r="B203" s="169"/>
      <c r="C203" s="170"/>
      <c r="D203" s="170"/>
      <c r="E203" s="171"/>
      <c r="F203" s="172"/>
      <c r="G203" s="173"/>
      <c r="H203" s="174"/>
      <c r="I203" s="75"/>
      <c r="J203" s="75"/>
      <c r="K203" s="130"/>
      <c r="L203" s="175"/>
      <c r="M203" s="33"/>
      <c r="N203" s="39"/>
    </row>
    <row r="204" spans="1:14" ht="18.75" x14ac:dyDescent="0.3">
      <c r="A204" s="619"/>
      <c r="B204" s="169"/>
      <c r="C204" s="170"/>
      <c r="D204" s="170"/>
      <c r="E204" s="171"/>
      <c r="F204" s="172"/>
      <c r="G204" s="173"/>
      <c r="H204" s="174"/>
      <c r="I204" s="75"/>
      <c r="J204" s="75"/>
      <c r="K204" s="130"/>
      <c r="L204" s="175"/>
      <c r="M204" s="33"/>
      <c r="N204" s="39"/>
    </row>
    <row r="205" spans="1:14" ht="18.75" x14ac:dyDescent="0.3">
      <c r="A205" s="619"/>
      <c r="B205" s="169"/>
      <c r="C205" s="170"/>
      <c r="D205" s="170"/>
      <c r="E205" s="171"/>
      <c r="F205" s="172"/>
      <c r="G205" s="173"/>
      <c r="H205" s="174"/>
      <c r="I205" s="75"/>
      <c r="J205" s="75"/>
      <c r="K205" s="130"/>
      <c r="L205" s="175"/>
      <c r="M205" s="33"/>
      <c r="N205" s="39"/>
    </row>
    <row r="206" spans="1:14" ht="18.75" x14ac:dyDescent="0.3">
      <c r="A206" s="619"/>
      <c r="B206" s="169"/>
      <c r="C206" s="170"/>
      <c r="D206" s="170"/>
      <c r="E206" s="171"/>
      <c r="F206" s="172"/>
      <c r="G206" s="173"/>
      <c r="H206" s="174"/>
      <c r="I206" s="75"/>
      <c r="J206" s="75"/>
      <c r="K206" s="130"/>
      <c r="L206" s="175"/>
      <c r="M206" s="33"/>
      <c r="N206" s="39"/>
    </row>
    <row r="207" spans="1:14" ht="18.75" x14ac:dyDescent="0.3">
      <c r="A207" s="619"/>
      <c r="B207" s="169"/>
      <c r="C207" s="170"/>
      <c r="D207" s="170"/>
      <c r="E207" s="171"/>
      <c r="F207" s="172"/>
      <c r="G207" s="173"/>
      <c r="H207" s="174"/>
      <c r="I207" s="75"/>
      <c r="J207" s="75"/>
      <c r="K207" s="130"/>
      <c r="L207" s="175"/>
      <c r="M207" s="33"/>
      <c r="N207" s="39"/>
    </row>
    <row r="208" spans="1:14" ht="18.75" x14ac:dyDescent="0.3">
      <c r="A208" s="619"/>
      <c r="B208" s="169"/>
      <c r="C208" s="170"/>
      <c r="D208" s="170"/>
      <c r="E208" s="171"/>
      <c r="F208" s="172"/>
      <c r="G208" s="173"/>
      <c r="H208" s="174"/>
      <c r="I208" s="75"/>
      <c r="J208" s="75"/>
      <c r="K208" s="130"/>
      <c r="L208" s="175"/>
      <c r="M208" s="33"/>
      <c r="N208" s="39"/>
    </row>
    <row r="209" spans="1:14" ht="18.75" x14ac:dyDescent="0.3">
      <c r="A209" s="619"/>
      <c r="B209" s="169"/>
      <c r="C209" s="170"/>
      <c r="D209" s="170"/>
      <c r="E209" s="171"/>
      <c r="F209" s="172"/>
      <c r="G209" s="173"/>
      <c r="H209" s="174"/>
      <c r="I209" s="75"/>
      <c r="J209" s="75"/>
      <c r="K209" s="130"/>
      <c r="L209" s="175"/>
      <c r="M209" s="33"/>
      <c r="N209" s="39"/>
    </row>
    <row r="210" spans="1:14" ht="18.75" x14ac:dyDescent="0.3">
      <c r="A210" s="619"/>
      <c r="B210" s="169"/>
      <c r="C210" s="170"/>
      <c r="D210" s="170"/>
      <c r="E210" s="171"/>
      <c r="F210" s="172"/>
      <c r="G210" s="173"/>
      <c r="H210" s="174"/>
      <c r="I210" s="75"/>
      <c r="J210" s="75"/>
      <c r="K210" s="130"/>
      <c r="L210" s="175"/>
      <c r="M210" s="33"/>
      <c r="N210" s="39"/>
    </row>
    <row r="211" spans="1:14" ht="19.5" thickBot="1" x14ac:dyDescent="0.35">
      <c r="A211" s="599"/>
      <c r="B211" s="169"/>
      <c r="C211" s="170"/>
      <c r="D211" s="170"/>
      <c r="E211" s="171"/>
      <c r="F211" s="172"/>
      <c r="G211" s="173"/>
      <c r="H211" s="174"/>
      <c r="I211" s="75"/>
      <c r="J211" s="75"/>
      <c r="K211" s="130"/>
      <c r="L211" s="175"/>
      <c r="M211" s="33"/>
      <c r="N211" s="1315"/>
    </row>
    <row r="212" spans="1:14" ht="19.5" thickTop="1" x14ac:dyDescent="0.3">
      <c r="A212" s="1340" t="s">
        <v>1616</v>
      </c>
      <c r="B212" s="1341"/>
      <c r="C212" s="1976"/>
      <c r="D212" s="1976"/>
      <c r="E212" s="1977"/>
      <c r="F212" s="1978"/>
      <c r="G212" s="1979"/>
      <c r="H212" s="1980"/>
      <c r="I212" s="1981"/>
      <c r="J212" s="1981"/>
      <c r="K212" s="1982"/>
      <c r="L212" s="1983"/>
      <c r="M212" s="1635"/>
      <c r="N212" s="1342"/>
    </row>
    <row r="213" spans="1:14" ht="18" x14ac:dyDescent="0.25">
      <c r="A213" s="1416" t="s">
        <v>1572</v>
      </c>
      <c r="B213" s="6"/>
      <c r="C213" s="170"/>
      <c r="D213" s="170"/>
      <c r="E213" s="171"/>
      <c r="F213" s="172"/>
      <c r="G213" s="173"/>
      <c r="H213" s="174"/>
      <c r="I213" s="75"/>
      <c r="J213" s="75"/>
      <c r="K213" s="130"/>
      <c r="L213" s="175"/>
      <c r="M213" s="33"/>
      <c r="N213" s="1311"/>
    </row>
    <row r="214" spans="1:14" ht="18" x14ac:dyDescent="0.25">
      <c r="A214" s="1416" t="s">
        <v>1546</v>
      </c>
      <c r="B214" s="6"/>
      <c r="C214" s="170"/>
      <c r="D214" s="170"/>
      <c r="E214" s="171"/>
      <c r="F214" s="172"/>
      <c r="G214" s="173"/>
      <c r="H214" s="174"/>
      <c r="I214" s="75"/>
      <c r="J214" s="75"/>
      <c r="K214" s="130"/>
      <c r="L214" s="175"/>
      <c r="M214" s="33"/>
      <c r="N214" s="1311"/>
    </row>
    <row r="215" spans="1:14" ht="18.75" x14ac:dyDescent="0.3">
      <c r="A215" s="1984"/>
      <c r="B215" s="169"/>
      <c r="C215" s="170"/>
      <c r="D215" s="170"/>
      <c r="E215" s="171"/>
      <c r="F215" s="172"/>
      <c r="G215" s="173"/>
      <c r="H215" s="174"/>
      <c r="I215" s="75"/>
      <c r="J215" s="75"/>
      <c r="K215" s="130"/>
      <c r="L215" s="175"/>
      <c r="M215" s="33"/>
      <c r="N215" s="1311"/>
    </row>
    <row r="216" spans="1:14" ht="18.75" x14ac:dyDescent="0.3">
      <c r="A216" s="1984"/>
      <c r="B216" s="169"/>
      <c r="C216" s="170"/>
      <c r="D216" s="170"/>
      <c r="E216" s="171"/>
      <c r="F216" s="172"/>
      <c r="G216" s="173"/>
      <c r="H216" s="174"/>
      <c r="I216" s="75"/>
      <c r="J216" s="75"/>
      <c r="K216" s="130"/>
      <c r="L216" s="175"/>
      <c r="M216" s="33"/>
      <c r="N216" s="1311"/>
    </row>
    <row r="217" spans="1:14" ht="18.75" x14ac:dyDescent="0.3">
      <c r="A217" s="1984"/>
      <c r="B217" s="169"/>
      <c r="C217" s="170"/>
      <c r="D217" s="170"/>
      <c r="E217" s="171"/>
      <c r="F217" s="172"/>
      <c r="G217" s="173"/>
      <c r="H217" s="174"/>
      <c r="I217" s="75"/>
      <c r="J217" s="75"/>
      <c r="K217" s="130"/>
      <c r="L217" s="175"/>
      <c r="M217" s="33"/>
      <c r="N217" s="1311"/>
    </row>
    <row r="218" spans="1:14" ht="18.75" x14ac:dyDescent="0.3">
      <c r="A218" s="1984"/>
      <c r="B218" s="169"/>
      <c r="C218" s="170"/>
      <c r="D218" s="170"/>
      <c r="E218" s="171"/>
      <c r="F218" s="172"/>
      <c r="G218" s="173"/>
      <c r="H218" s="174"/>
      <c r="I218" s="75"/>
      <c r="J218" s="75"/>
      <c r="K218" s="130"/>
      <c r="L218" s="175"/>
      <c r="M218" s="33"/>
      <c r="N218" s="1311"/>
    </row>
    <row r="219" spans="1:14" ht="18.75" x14ac:dyDescent="0.3">
      <c r="A219" s="1984"/>
      <c r="B219" s="169"/>
      <c r="C219" s="170"/>
      <c r="D219" s="170"/>
      <c r="E219" s="171"/>
      <c r="F219" s="172"/>
      <c r="G219" s="173"/>
      <c r="H219" s="174"/>
      <c r="I219" s="75"/>
      <c r="J219" s="75"/>
      <c r="K219" s="130"/>
      <c r="L219" s="175"/>
      <c r="M219" s="33"/>
      <c r="N219" s="1311"/>
    </row>
    <row r="220" spans="1:14" ht="18.75" x14ac:dyDescent="0.3">
      <c r="A220" s="1984"/>
      <c r="B220" s="169"/>
      <c r="C220" s="170"/>
      <c r="D220" s="170"/>
      <c r="E220" s="171"/>
      <c r="F220" s="172"/>
      <c r="G220" s="173"/>
      <c r="H220" s="174"/>
      <c r="I220" s="75"/>
      <c r="J220" s="75"/>
      <c r="K220" s="130"/>
      <c r="L220" s="175"/>
      <c r="M220" s="33"/>
      <c r="N220" s="1311"/>
    </row>
    <row r="221" spans="1:14" ht="18.75" x14ac:dyDescent="0.3">
      <c r="A221" s="1984"/>
      <c r="B221" s="169"/>
      <c r="C221" s="170"/>
      <c r="D221" s="170"/>
      <c r="E221" s="171"/>
      <c r="F221" s="172"/>
      <c r="G221" s="173"/>
      <c r="H221" s="174"/>
      <c r="I221" s="75"/>
      <c r="J221" s="75"/>
      <c r="K221" s="130"/>
      <c r="L221" s="175"/>
      <c r="M221" s="33"/>
      <c r="N221" s="1311"/>
    </row>
    <row r="222" spans="1:14" ht="18.75" x14ac:dyDescent="0.3">
      <c r="A222" s="1984"/>
      <c r="B222" s="169"/>
      <c r="C222" s="170"/>
      <c r="D222" s="170"/>
      <c r="E222" s="171"/>
      <c r="F222" s="172"/>
      <c r="G222" s="173"/>
      <c r="H222" s="174"/>
      <c r="I222" s="75"/>
      <c r="J222" s="75"/>
      <c r="K222" s="130"/>
      <c r="L222" s="175"/>
      <c r="M222" s="33"/>
      <c r="N222" s="1311"/>
    </row>
    <row r="223" spans="1:14" ht="18.75" x14ac:dyDescent="0.3">
      <c r="A223" s="1984"/>
      <c r="B223" s="169"/>
      <c r="C223" s="170"/>
      <c r="D223" s="170"/>
      <c r="E223" s="171"/>
      <c r="F223" s="172"/>
      <c r="G223" s="173"/>
      <c r="H223" s="174"/>
      <c r="I223" s="75"/>
      <c r="J223" s="75"/>
      <c r="K223" s="130"/>
      <c r="L223" s="175"/>
      <c r="M223" s="33"/>
      <c r="N223" s="1311"/>
    </row>
    <row r="224" spans="1:14" ht="18.75" x14ac:dyDescent="0.3">
      <c r="A224" s="1984"/>
      <c r="B224" s="169"/>
      <c r="C224" s="170"/>
      <c r="D224" s="170"/>
      <c r="E224" s="171"/>
      <c r="F224" s="172"/>
      <c r="G224" s="173"/>
      <c r="H224" s="174"/>
      <c r="I224" s="75"/>
      <c r="J224" s="75"/>
      <c r="K224" s="130"/>
      <c r="L224" s="175"/>
      <c r="M224" s="33"/>
      <c r="N224" s="1311"/>
    </row>
    <row r="225" spans="1:14" ht="18.75" x14ac:dyDescent="0.3">
      <c r="A225" s="1984"/>
      <c r="B225" s="169"/>
      <c r="C225" s="170"/>
      <c r="D225" s="170"/>
      <c r="E225" s="171"/>
      <c r="F225" s="172"/>
      <c r="G225" s="173"/>
      <c r="H225" s="174"/>
      <c r="I225" s="75"/>
      <c r="J225" s="75"/>
      <c r="K225" s="130"/>
      <c r="L225" s="175"/>
      <c r="M225" s="33"/>
      <c r="N225" s="1311"/>
    </row>
    <row r="226" spans="1:14" ht="18.75" x14ac:dyDescent="0.3">
      <c r="A226" s="1984"/>
      <c r="B226" s="169"/>
      <c r="C226" s="170"/>
      <c r="D226" s="170"/>
      <c r="E226" s="171"/>
      <c r="F226" s="172"/>
      <c r="G226" s="173"/>
      <c r="H226" s="174"/>
      <c r="I226" s="75"/>
      <c r="J226" s="75"/>
      <c r="K226" s="130"/>
      <c r="L226" s="175"/>
      <c r="M226" s="33"/>
      <c r="N226" s="1311"/>
    </row>
    <row r="227" spans="1:14" ht="18.75" x14ac:dyDescent="0.3">
      <c r="A227" s="1984"/>
      <c r="B227" s="169"/>
      <c r="C227" s="170"/>
      <c r="D227" s="170"/>
      <c r="E227" s="171"/>
      <c r="F227" s="172"/>
      <c r="G227" s="173"/>
      <c r="H227" s="174"/>
      <c r="I227" s="75"/>
      <c r="J227" s="75"/>
      <c r="K227" s="130"/>
      <c r="L227" s="175"/>
      <c r="M227" s="33"/>
      <c r="N227" s="1311"/>
    </row>
    <row r="228" spans="1:14" ht="19.5" thickBot="1" x14ac:dyDescent="0.35">
      <c r="A228" s="1985"/>
      <c r="B228" s="1986"/>
      <c r="C228" s="1987"/>
      <c r="D228" s="1987"/>
      <c r="E228" s="1988"/>
      <c r="F228" s="1989"/>
      <c r="G228" s="1990"/>
      <c r="H228" s="1991"/>
      <c r="I228" s="1337"/>
      <c r="J228" s="1337"/>
      <c r="K228" s="1992"/>
      <c r="L228" s="1993"/>
      <c r="M228" s="1757"/>
      <c r="N228" s="1315"/>
    </row>
    <row r="229" spans="1:14" ht="19.5" thickTop="1" x14ac:dyDescent="0.3">
      <c r="A229" s="599"/>
      <c r="B229" s="169"/>
      <c r="C229" s="170"/>
      <c r="D229" s="170"/>
      <c r="E229" s="171"/>
      <c r="F229" s="172"/>
      <c r="G229" s="173"/>
      <c r="H229" s="174"/>
      <c r="I229" s="75"/>
      <c r="J229" s="75"/>
      <c r="K229" s="130"/>
      <c r="L229" s="175"/>
      <c r="M229" s="33"/>
      <c r="N229" s="6"/>
    </row>
    <row r="230" spans="1:14" ht="18.75" x14ac:dyDescent="0.3">
      <c r="A230" s="599"/>
      <c r="B230" s="169"/>
      <c r="C230" s="170"/>
      <c r="D230" s="170"/>
      <c r="E230" s="171"/>
      <c r="F230" s="172"/>
      <c r="G230" s="173"/>
      <c r="H230" s="174"/>
      <c r="I230" s="75"/>
      <c r="J230" s="75"/>
      <c r="K230" s="130"/>
      <c r="L230" s="175"/>
      <c r="M230" s="33"/>
    </row>
    <row r="231" spans="1:14" s="104" customFormat="1" ht="15.75" customHeight="1" thickBot="1" x14ac:dyDescent="0.25">
      <c r="A231" s="192"/>
      <c r="B231" s="192"/>
      <c r="C231" s="192"/>
      <c r="D231" s="192"/>
      <c r="E231" s="192"/>
      <c r="F231" s="192"/>
      <c r="G231" s="192"/>
      <c r="H231" s="192"/>
      <c r="I231" s="192"/>
      <c r="J231" s="192"/>
      <c r="K231" s="192"/>
      <c r="L231" s="192"/>
      <c r="M231" s="192"/>
      <c r="N231" s="430"/>
    </row>
    <row r="232" spans="1:14" s="104" customFormat="1" ht="19.5" thickTop="1" x14ac:dyDescent="0.3">
      <c r="A232" s="163" t="s">
        <v>434</v>
      </c>
      <c r="B232" s="268"/>
      <c r="C232" s="102"/>
      <c r="D232" s="102"/>
      <c r="E232" s="102"/>
      <c r="F232" s="102"/>
      <c r="G232" s="102"/>
      <c r="H232" s="102"/>
      <c r="I232" s="102"/>
      <c r="J232" s="102"/>
      <c r="K232" s="102"/>
      <c r="L232" s="102"/>
      <c r="M232" s="102"/>
      <c r="N232" s="525"/>
    </row>
    <row r="233" spans="1:14" s="2" customFormat="1" x14ac:dyDescent="0.25">
      <c r="A233" s="1296" t="s">
        <v>3676</v>
      </c>
      <c r="D233" s="3"/>
      <c r="E233" s="3"/>
      <c r="F233" s="3"/>
      <c r="G233" s="3"/>
      <c r="H233" s="3"/>
      <c r="I233" s="303"/>
      <c r="J233" s="304"/>
      <c r="K233" s="3"/>
      <c r="L233" s="3"/>
      <c r="M233" s="3"/>
      <c r="N233" s="526"/>
    </row>
    <row r="234" spans="1:14" s="2" customFormat="1" x14ac:dyDescent="0.25">
      <c r="A234" s="1416" t="s">
        <v>3677</v>
      </c>
      <c r="D234" s="3"/>
      <c r="E234" s="3"/>
      <c r="F234" s="3"/>
      <c r="G234" s="3"/>
      <c r="H234" s="3"/>
      <c r="I234" s="303"/>
      <c r="J234" s="304"/>
      <c r="K234" s="3"/>
      <c r="L234" s="3"/>
      <c r="M234" s="3"/>
      <c r="N234" s="1429"/>
    </row>
    <row r="235" spans="1:14" s="2" customFormat="1" x14ac:dyDescent="0.25">
      <c r="A235" s="64" t="s">
        <v>296</v>
      </c>
      <c r="D235" s="3"/>
      <c r="E235" s="3"/>
      <c r="F235" s="3"/>
      <c r="G235" s="3"/>
      <c r="H235" s="3"/>
      <c r="I235" s="303"/>
      <c r="J235" s="304"/>
      <c r="K235" s="3"/>
      <c r="L235" s="3"/>
      <c r="M235" s="3"/>
      <c r="N235" s="526"/>
    </row>
    <row r="236" spans="1:14" s="2" customFormat="1" ht="16.5" x14ac:dyDescent="0.3">
      <c r="A236" s="302"/>
      <c r="B236" s="3"/>
      <c r="C236" s="350"/>
      <c r="D236" s="3"/>
      <c r="E236" s="1065" t="s">
        <v>331</v>
      </c>
      <c r="F236" s="91"/>
      <c r="G236" s="449"/>
      <c r="H236" s="152"/>
      <c r="I236" s="979" t="s">
        <v>1462</v>
      </c>
      <c r="J236" s="121"/>
      <c r="K236" s="979" t="s">
        <v>1450</v>
      </c>
      <c r="L236" s="1"/>
      <c r="M236" s="3"/>
      <c r="N236" s="981"/>
    </row>
    <row r="237" spans="1:14" s="2" customFormat="1" ht="15.75" thickBot="1" x14ac:dyDescent="0.35">
      <c r="A237" s="302"/>
      <c r="B237" s="3"/>
      <c r="C237" s="350"/>
      <c r="D237" s="3"/>
      <c r="E237" s="3"/>
      <c r="F237" s="3"/>
      <c r="G237" s="3"/>
      <c r="H237" s="3"/>
      <c r="I237" s="958"/>
      <c r="J237" s="131"/>
      <c r="K237" s="955"/>
      <c r="L237" s="956"/>
      <c r="M237" s="956"/>
      <c r="N237" s="526"/>
    </row>
    <row r="238" spans="1:14" s="381" customFormat="1" ht="97.5" thickTop="1" thickBot="1" x14ac:dyDescent="0.25">
      <c r="A238" s="325" t="s">
        <v>142</v>
      </c>
      <c r="B238" s="326" t="s">
        <v>143</v>
      </c>
      <c r="C238" s="400" t="str">
        <f>"S1 "&amp;IF(('4. PensionData'!$F$39="yes"),"shared","sole")&amp;" pension income FV"</f>
        <v>S1 shared pension income FV</v>
      </c>
      <c r="D238" s="400" t="str">
        <f>"S2 "&amp;IF(('4. PensionData'!$F$39="yes"),"shared","sole")&amp;" pension income FV"</f>
        <v>S2 shared pension income FV</v>
      </c>
      <c r="E238" s="400" t="str">
        <f>"S1 "&amp;IF(('4. PensionData'!$F$39="yes"),"shared","sole")&amp;" pension Fed-tax deduction FV"</f>
        <v>S1 shared pension Fed-tax deduction FV</v>
      </c>
      <c r="F238" s="400" t="str">
        <f>"S2 "&amp;IF(('4. PensionData'!$F$39="yes"),"shared","sole")&amp;" pension Fed-tax deduction FV"</f>
        <v>S2 shared pension Fed-tax deduction FV</v>
      </c>
      <c r="G238" s="400" t="str">
        <f>"Taxable S1 "&amp;IF(($F$17="yes"),"shared","sole")&amp;" pension income FV"</f>
        <v>Taxable S1 sole pension income FV</v>
      </c>
      <c r="H238" s="400" t="str">
        <f>"Taxable S2 "&amp;IF(($F$17="yes"),"shared","sole")&amp;" pension income FV"</f>
        <v>Taxable S2 sole pension income FV</v>
      </c>
      <c r="I238" s="401" t="str">
        <f>"S1 "&amp;IF(('5. SocSecData'!$G$53="yes"),"shared","sole")&amp;" Social Security income FV"</f>
        <v>S1 shared Social Security income FV</v>
      </c>
      <c r="J238" s="401" t="str">
        <f>"S2 "&amp;IF(('5. SocSecData'!$G$53="yes"),"shared","sole")&amp;" Social Security income"</f>
        <v>S2 shared Social Security income</v>
      </c>
      <c r="K238" s="402" t="str">
        <f>"S1 "&amp;IF(('5. SocSecData'!$G$53="yes"),"shared","sole")&amp;" Social Security taxable income FV"</f>
        <v>S1 shared Social Security taxable income FV</v>
      </c>
      <c r="L238" s="402" t="str">
        <f>"S2 "&amp;IF(('5. SocSecData'!$G$53="yes"),"shared","sole")&amp;" Social Security taxable income FV"</f>
        <v>S2 shared Social Security taxable income FV</v>
      </c>
      <c r="M238" s="524" t="s">
        <v>54</v>
      </c>
      <c r="N238" s="1182" t="s">
        <v>55</v>
      </c>
    </row>
    <row r="239" spans="1:14" s="15" customFormat="1" ht="12.75" thickTop="1" x14ac:dyDescent="0.2">
      <c r="A239" s="848">
        <f>'1. AgeData'!$D$30</f>
        <v>60</v>
      </c>
      <c r="B239" s="849">
        <f>'1. AgeData'!$D$31</f>
        <v>55</v>
      </c>
      <c r="C239" s="865">
        <f>IF('S. Setup'!$K$36="used",'4. PensionData'!$G90,0)</f>
        <v>5500</v>
      </c>
      <c r="D239" s="864">
        <f>IF('S. Setup'!$K$36="used",'4. PensionData'!$H90,0)</f>
        <v>5500</v>
      </c>
      <c r="E239" s="835">
        <f>IF('S. Setup'!$K$36="used",'4. PensionData'!I90,0)</f>
        <v>0</v>
      </c>
      <c r="F239" s="835">
        <f>IF('S. Setup'!$K$36="used",'4. PensionData'!J90,0)</f>
        <v>0</v>
      </c>
      <c r="G239" s="835">
        <f>IF('S. Setup'!$K$36="used",'4. PensionData'!K90,0)</f>
        <v>5500</v>
      </c>
      <c r="H239" s="835">
        <f>IF('S. Setup'!$K$36="used",'4. PensionData'!L90,0)</f>
        <v>5500</v>
      </c>
      <c r="I239" s="865">
        <f>IF('S. Setup'!$K$37="used",'5. SocSecData'!G131,0)</f>
        <v>0</v>
      </c>
      <c r="J239" s="835">
        <f>IF('S. Setup'!$K$37="used",'5. SocSecData'!H131,0)</f>
        <v>0</v>
      </c>
      <c r="K239" s="865">
        <f>IF('S. Setup'!$K$37="used",'5. SocSecData'!I131,0)</f>
        <v>0</v>
      </c>
      <c r="L239" s="864">
        <f>IF('S. Setup'!$K$37="used",'5. SocSecData'!J131,0)</f>
        <v>0</v>
      </c>
      <c r="M239" s="863">
        <f>$C239+$D239+$I239+$J239</f>
        <v>11000</v>
      </c>
      <c r="N239" s="838">
        <f>$G239+$H239+$I239+$J239</f>
        <v>11000</v>
      </c>
    </row>
    <row r="240" spans="1:14" s="15" customFormat="1" ht="12" x14ac:dyDescent="0.2">
      <c r="A240" s="850">
        <f>A239+1</f>
        <v>61</v>
      </c>
      <c r="B240" s="851">
        <f>B239+1</f>
        <v>56</v>
      </c>
      <c r="C240" s="869">
        <f>IF('S. Setup'!$K$36="used",'4. PensionData'!$G91,0)</f>
        <v>5610</v>
      </c>
      <c r="D240" s="868">
        <f>IF('S. Setup'!$K$36="used",'4. PensionData'!$H91,0)</f>
        <v>5610</v>
      </c>
      <c r="E240" s="837">
        <f>IF('S. Setup'!$K$36="used",'4. PensionData'!I91,0)</f>
        <v>0</v>
      </c>
      <c r="F240" s="837">
        <f>IF('S. Setup'!$K$36="used",'4. PensionData'!J91,0)</f>
        <v>0</v>
      </c>
      <c r="G240" s="837">
        <f>IF('S. Setup'!$K$36="used",'4. PensionData'!K91,0)</f>
        <v>5610</v>
      </c>
      <c r="H240" s="837">
        <f>IF('S. Setup'!$K$36="used",'4. PensionData'!L91,0)</f>
        <v>5610</v>
      </c>
      <c r="I240" s="869">
        <f>IF('S. Setup'!$K$37="used",'5. SocSecData'!G132,0)</f>
        <v>0</v>
      </c>
      <c r="J240" s="837">
        <f>IF('S. Setup'!$K$37="used",'5. SocSecData'!H132,0)</f>
        <v>0</v>
      </c>
      <c r="K240" s="869">
        <f>IF('S. Setup'!$K$37="used",'5. SocSecData'!I132,0)</f>
        <v>0</v>
      </c>
      <c r="L240" s="868">
        <f>IF('S. Setup'!$K$37="used",'5. SocSecData'!J132,0)</f>
        <v>0</v>
      </c>
      <c r="M240" s="867">
        <f t="shared" ref="M240:M275" si="17">$C240+$D240+$I240+$J240</f>
        <v>11220</v>
      </c>
      <c r="N240" s="842">
        <f t="shared" ref="N240:N275" si="18">$G240+$H240+$I240+$J240</f>
        <v>11220</v>
      </c>
    </row>
    <row r="241" spans="1:14" s="15" customFormat="1" ht="12" x14ac:dyDescent="0.2">
      <c r="A241" s="850">
        <f t="shared" ref="A241:A275" si="19">A240+1</f>
        <v>62</v>
      </c>
      <c r="B241" s="871">
        <f t="shared" ref="B241:B275" si="20">B240+1</f>
        <v>57</v>
      </c>
      <c r="C241" s="869">
        <f>IF('S. Setup'!$K$36="used",'4. PensionData'!$G92,0)</f>
        <v>5722.2</v>
      </c>
      <c r="D241" s="868">
        <f>IF('S. Setup'!$K$36="used",'4. PensionData'!$H92,0)</f>
        <v>5722.2</v>
      </c>
      <c r="E241" s="837">
        <f>IF('S. Setup'!$K$36="used",'4. PensionData'!I92,0)</f>
        <v>0</v>
      </c>
      <c r="F241" s="837">
        <f>IF('S. Setup'!$K$36="used",'4. PensionData'!J92,0)</f>
        <v>0</v>
      </c>
      <c r="G241" s="837">
        <f>IF('S. Setup'!$K$36="used",'4. PensionData'!K92,0)</f>
        <v>5722.2</v>
      </c>
      <c r="H241" s="837">
        <f>IF('S. Setup'!$K$36="used",'4. PensionData'!L92,0)</f>
        <v>5722.2</v>
      </c>
      <c r="I241" s="869">
        <f>IF('S. Setup'!$K$37="used",'5. SocSecData'!G133,0)</f>
        <v>0</v>
      </c>
      <c r="J241" s="837">
        <f>IF('S. Setup'!$K$37="used",'5. SocSecData'!H133,0)</f>
        <v>0</v>
      </c>
      <c r="K241" s="869">
        <f>IF('S. Setup'!$K$37="used",'5. SocSecData'!I133,0)</f>
        <v>0</v>
      </c>
      <c r="L241" s="868">
        <f>IF('S. Setup'!$K$37="used",'5. SocSecData'!J133,0)</f>
        <v>0</v>
      </c>
      <c r="M241" s="867">
        <f t="shared" si="17"/>
        <v>11444.4</v>
      </c>
      <c r="N241" s="842">
        <f t="shared" si="18"/>
        <v>11444.4</v>
      </c>
    </row>
    <row r="242" spans="1:14" s="15" customFormat="1" ht="12" x14ac:dyDescent="0.2">
      <c r="A242" s="872">
        <f t="shared" si="19"/>
        <v>63</v>
      </c>
      <c r="B242" s="851">
        <f t="shared" si="20"/>
        <v>58</v>
      </c>
      <c r="C242" s="869">
        <f>IF('S. Setup'!$K$36="used",'4. PensionData'!$G93,0)</f>
        <v>5836.6439999999993</v>
      </c>
      <c r="D242" s="868">
        <f>IF('S. Setup'!$K$36="used",'4. PensionData'!$H93,0)</f>
        <v>5836.6439999999993</v>
      </c>
      <c r="E242" s="837">
        <f>IF('S. Setup'!$K$36="used",'4. PensionData'!I93,0)</f>
        <v>0</v>
      </c>
      <c r="F242" s="837">
        <f>IF('S. Setup'!$K$36="used",'4. PensionData'!J93,0)</f>
        <v>0</v>
      </c>
      <c r="G242" s="837">
        <f>IF('S. Setup'!$K$36="used",'4. PensionData'!K93,0)</f>
        <v>5836.6439999999993</v>
      </c>
      <c r="H242" s="837">
        <f>IF('S. Setup'!$K$36="used",'4. PensionData'!L93,0)</f>
        <v>5836.6439999999993</v>
      </c>
      <c r="I242" s="869">
        <f>IF('S. Setup'!$K$37="used",'5. SocSecData'!G134,0)</f>
        <v>0</v>
      </c>
      <c r="J242" s="837">
        <f>IF('S. Setup'!$K$37="used",'5. SocSecData'!H134,0)</f>
        <v>0</v>
      </c>
      <c r="K242" s="869">
        <f>IF('S. Setup'!$K$37="used",'5. SocSecData'!I134,0)</f>
        <v>0</v>
      </c>
      <c r="L242" s="868">
        <f>IF('S. Setup'!$K$37="used",'5. SocSecData'!J134,0)</f>
        <v>0</v>
      </c>
      <c r="M242" s="867">
        <f t="shared" si="17"/>
        <v>11673.287999999999</v>
      </c>
      <c r="N242" s="842">
        <f t="shared" si="18"/>
        <v>11673.287999999999</v>
      </c>
    </row>
    <row r="243" spans="1:14" s="15" customFormat="1" ht="12" x14ac:dyDescent="0.2">
      <c r="A243" s="850">
        <f t="shared" si="19"/>
        <v>64</v>
      </c>
      <c r="B243" s="851">
        <f t="shared" si="20"/>
        <v>59</v>
      </c>
      <c r="C243" s="869">
        <f>IF('S. Setup'!$K$36="used",'4. PensionData'!$G94,0)</f>
        <v>5953.3768799999998</v>
      </c>
      <c r="D243" s="868">
        <f>IF('S. Setup'!$K$36="used",'4. PensionData'!$H94,0)</f>
        <v>5953.3768799999998</v>
      </c>
      <c r="E243" s="837">
        <f>IF('S. Setup'!$K$36="used",'4. PensionData'!I94,0)</f>
        <v>0</v>
      </c>
      <c r="F243" s="837">
        <f>IF('S. Setup'!$K$36="used",'4. PensionData'!J94,0)</f>
        <v>0</v>
      </c>
      <c r="G243" s="837">
        <f>IF('S. Setup'!$K$36="used",'4. PensionData'!K94,0)</f>
        <v>5953.3768799999998</v>
      </c>
      <c r="H243" s="837">
        <f>IF('S. Setup'!$K$36="used",'4. PensionData'!L94,0)</f>
        <v>5953.3768799999998</v>
      </c>
      <c r="I243" s="869">
        <f>IF('S. Setup'!$K$37="used",'5. SocSecData'!G135,0)</f>
        <v>0</v>
      </c>
      <c r="J243" s="837">
        <f>IF('S. Setup'!$K$37="used",'5. SocSecData'!H135,0)</f>
        <v>0</v>
      </c>
      <c r="K243" s="869">
        <f>IF('S. Setup'!$K$37="used",'5. SocSecData'!I135,0)</f>
        <v>0</v>
      </c>
      <c r="L243" s="868">
        <f>IF('S. Setup'!$K$37="used",'5. SocSecData'!J135,0)</f>
        <v>0</v>
      </c>
      <c r="M243" s="867">
        <f t="shared" si="17"/>
        <v>11906.75376</v>
      </c>
      <c r="N243" s="842">
        <f t="shared" si="18"/>
        <v>11906.75376</v>
      </c>
    </row>
    <row r="244" spans="1:14" s="15" customFormat="1" ht="12.75" customHeight="1" x14ac:dyDescent="0.2">
      <c r="A244" s="850">
        <f t="shared" si="19"/>
        <v>65</v>
      </c>
      <c r="B244" s="851">
        <f t="shared" si="20"/>
        <v>60</v>
      </c>
      <c r="C244" s="869">
        <f>IF('S. Setup'!$K$36="used",'4. PensionData'!$G95,0)</f>
        <v>6072.4444175999997</v>
      </c>
      <c r="D244" s="868">
        <f>IF('S. Setup'!$K$36="used",'4. PensionData'!$H95,0)</f>
        <v>6072.4444175999997</v>
      </c>
      <c r="E244" s="837">
        <f>IF('S. Setup'!$K$36="used",'4. PensionData'!I95,0)</f>
        <v>0</v>
      </c>
      <c r="F244" s="837">
        <f>IF('S. Setup'!$K$36="used",'4. PensionData'!J95,0)</f>
        <v>0</v>
      </c>
      <c r="G244" s="837">
        <f>IF('S. Setup'!$K$36="used",'4. PensionData'!K95,0)</f>
        <v>6072.4444175999997</v>
      </c>
      <c r="H244" s="837">
        <f>IF('S. Setup'!$K$36="used",'4. PensionData'!L95,0)</f>
        <v>6072.4444175999997</v>
      </c>
      <c r="I244" s="869">
        <f>IF('S. Setup'!$K$37="used",'5. SocSecData'!G136,0)</f>
        <v>0</v>
      </c>
      <c r="J244" s="837">
        <f>IF('S. Setup'!$K$37="used",'5. SocSecData'!H136,0)</f>
        <v>0</v>
      </c>
      <c r="K244" s="869">
        <f>IF('S. Setup'!$K$37="used",'5. SocSecData'!I136,0)</f>
        <v>0</v>
      </c>
      <c r="L244" s="868">
        <f>IF('S. Setup'!$K$37="used",'5. SocSecData'!J136,0)</f>
        <v>0</v>
      </c>
      <c r="M244" s="867">
        <f t="shared" si="17"/>
        <v>12144.888835199999</v>
      </c>
      <c r="N244" s="842">
        <f t="shared" si="18"/>
        <v>12144.888835199999</v>
      </c>
    </row>
    <row r="245" spans="1:14" s="15" customFormat="1" ht="13.5" customHeight="1" x14ac:dyDescent="0.2">
      <c r="A245" s="850">
        <f t="shared" si="19"/>
        <v>66</v>
      </c>
      <c r="B245" s="851">
        <f t="shared" si="20"/>
        <v>61</v>
      </c>
      <c r="C245" s="869">
        <f>IF('S. Setup'!$K$36="used",'4. PensionData'!$G96,0)</f>
        <v>19144.761127488004</v>
      </c>
      <c r="D245" s="868">
        <f>IF('S. Setup'!$K$36="used",'4. PensionData'!$H96,0)</f>
        <v>19144.761127488004</v>
      </c>
      <c r="E245" s="837">
        <f>IF('S. Setup'!$K$36="used",'4. PensionData'!I96,0)</f>
        <v>0</v>
      </c>
      <c r="F245" s="837">
        <f>IF('S. Setup'!$K$36="used",'4. PensionData'!J96,0)</f>
        <v>0</v>
      </c>
      <c r="G245" s="837">
        <f>IF('S. Setup'!$K$36="used",'4. PensionData'!K96,0)</f>
        <v>19144.761127488004</v>
      </c>
      <c r="H245" s="837">
        <f>IF('S. Setup'!$K$36="used",'4. PensionData'!L96,0)</f>
        <v>19144.761127488004</v>
      </c>
      <c r="I245" s="869">
        <f>IF('S. Setup'!$K$37="used",'5. SocSecData'!G137,0)</f>
        <v>14839.329582399809</v>
      </c>
      <c r="J245" s="837">
        <f>IF('S. Setup'!$K$37="used",'5. SocSecData'!H137,0)</f>
        <v>14839.329582399809</v>
      </c>
      <c r="K245" s="869">
        <f>IF('S. Setup'!$K$37="used",'5. SocSecData'!I137,0)</f>
        <v>12613.430145039838</v>
      </c>
      <c r="L245" s="868">
        <f>IF('S. Setup'!$K$37="used",'5. SocSecData'!J137,0)</f>
        <v>12613.430145039838</v>
      </c>
      <c r="M245" s="867">
        <f t="shared" si="17"/>
        <v>67968.181419775618</v>
      </c>
      <c r="N245" s="842">
        <f t="shared" si="18"/>
        <v>67968.181419775618</v>
      </c>
    </row>
    <row r="246" spans="1:14" s="15" customFormat="1" ht="12.75" customHeight="1" x14ac:dyDescent="0.2">
      <c r="A246" s="873">
        <f t="shared" si="19"/>
        <v>67</v>
      </c>
      <c r="B246" s="874">
        <f t="shared" si="20"/>
        <v>62</v>
      </c>
      <c r="C246" s="866">
        <f>IF('S. Setup'!$K$36="used",'4. PensionData'!$G97,0)</f>
        <v>19527.656350037756</v>
      </c>
      <c r="D246" s="875">
        <f>IF('S. Setup'!$K$36="used",'4. PensionData'!$H97,0)</f>
        <v>19527.656350037756</v>
      </c>
      <c r="E246" s="867">
        <f>IF('S. Setup'!$K$36="used",'4. PensionData'!I97,0)</f>
        <v>0</v>
      </c>
      <c r="F246" s="867">
        <f>IF('S. Setup'!$K$36="used",'4. PensionData'!J97,0)</f>
        <v>0</v>
      </c>
      <c r="G246" s="867">
        <f>IF('S. Setup'!$K$36="used",'4. PensionData'!K97,0)</f>
        <v>19527.656350037756</v>
      </c>
      <c r="H246" s="867">
        <f>IF('S. Setup'!$K$36="used",'4. PensionData'!L97,0)</f>
        <v>19527.656350037756</v>
      </c>
      <c r="I246" s="866">
        <f>IF('S. Setup'!$K$37="used",'5. SocSecData'!G138,0)</f>
        <v>15136.116174047802</v>
      </c>
      <c r="J246" s="867">
        <f>IF('S. Setup'!$K$37="used",'5. SocSecData'!H138,0)</f>
        <v>15136.116174047802</v>
      </c>
      <c r="K246" s="866">
        <f>IF('S. Setup'!$K$37="used",'5. SocSecData'!I138,0)</f>
        <v>12865.698747940631</v>
      </c>
      <c r="L246" s="875">
        <f>IF('S. Setup'!$K$37="used",'5. SocSecData'!J138,0)</f>
        <v>12865.698747940631</v>
      </c>
      <c r="M246" s="867">
        <f t="shared" si="17"/>
        <v>69327.545048171116</v>
      </c>
      <c r="N246" s="880">
        <f t="shared" si="18"/>
        <v>69327.545048171116</v>
      </c>
    </row>
    <row r="247" spans="1:14" s="15" customFormat="1" ht="13.5" customHeight="1" x14ac:dyDescent="0.2">
      <c r="A247" s="873">
        <f t="shared" si="19"/>
        <v>68</v>
      </c>
      <c r="B247" s="874">
        <f t="shared" si="20"/>
        <v>63</v>
      </c>
      <c r="C247" s="866">
        <f>IF('S. Setup'!$K$36="used",'4. PensionData'!$G98,0)</f>
        <v>19918.209477038516</v>
      </c>
      <c r="D247" s="875">
        <f>IF('S. Setup'!$K$36="used",'4. PensionData'!$H98,0)</f>
        <v>19918.209477038516</v>
      </c>
      <c r="E247" s="867">
        <f>IF('S. Setup'!$K$36="used",'4. PensionData'!I98,0)</f>
        <v>0</v>
      </c>
      <c r="F247" s="867">
        <f>IF('S. Setup'!$K$36="used",'4. PensionData'!J98,0)</f>
        <v>0</v>
      </c>
      <c r="G247" s="867">
        <f>IF('S. Setup'!$K$36="used",'4. PensionData'!K98,0)</f>
        <v>19918.209477038516</v>
      </c>
      <c r="H247" s="867">
        <f>IF('S. Setup'!$K$36="used",'4. PensionData'!L98,0)</f>
        <v>19918.209477038516</v>
      </c>
      <c r="I247" s="866">
        <f>IF('S. Setup'!$K$37="used",'5. SocSecData'!G139,0)</f>
        <v>15438.838497528759</v>
      </c>
      <c r="J247" s="867">
        <f>IF('S. Setup'!$K$37="used",'5. SocSecData'!H139,0)</f>
        <v>15438.838497528759</v>
      </c>
      <c r="K247" s="866">
        <f>IF('S. Setup'!$K$37="used",'5. SocSecData'!I139,0)</f>
        <v>13123.012722899444</v>
      </c>
      <c r="L247" s="875">
        <f>IF('S. Setup'!$K$37="used",'5. SocSecData'!J139,0)</f>
        <v>13123.012722899444</v>
      </c>
      <c r="M247" s="867">
        <f t="shared" si="17"/>
        <v>70714.095949134557</v>
      </c>
      <c r="N247" s="880">
        <f t="shared" si="18"/>
        <v>70714.095949134557</v>
      </c>
    </row>
    <row r="248" spans="1:14" s="15" customFormat="1" ht="12.75" customHeight="1" x14ac:dyDescent="0.2">
      <c r="A248" s="873">
        <f t="shared" si="19"/>
        <v>69</v>
      </c>
      <c r="B248" s="874">
        <f t="shared" si="20"/>
        <v>64</v>
      </c>
      <c r="C248" s="866">
        <f>IF('S. Setup'!$K$36="used",'4. PensionData'!$G99,0)</f>
        <v>20316.573666579283</v>
      </c>
      <c r="D248" s="875">
        <f>IF('S. Setup'!$K$36="used",'4. PensionData'!$H99,0)</f>
        <v>20316.573666579283</v>
      </c>
      <c r="E248" s="867">
        <f>IF('S. Setup'!$K$36="used",'4. PensionData'!I99,0)</f>
        <v>0</v>
      </c>
      <c r="F248" s="867">
        <f>IF('S. Setup'!$K$36="used",'4. PensionData'!J99,0)</f>
        <v>0</v>
      </c>
      <c r="G248" s="867">
        <f>IF('S. Setup'!$K$36="used",'4. PensionData'!K99,0)</f>
        <v>20316.573666579283</v>
      </c>
      <c r="H248" s="867">
        <f>IF('S. Setup'!$K$36="used",'4. PensionData'!L99,0)</f>
        <v>20316.573666579283</v>
      </c>
      <c r="I248" s="866">
        <f>IF('S. Setup'!$K$37="used",'5. SocSecData'!G140,0)</f>
        <v>26159.261725316908</v>
      </c>
      <c r="J248" s="867">
        <f>IF('S. Setup'!$K$37="used",'5. SocSecData'!H140,0)</f>
        <v>26159.261725316908</v>
      </c>
      <c r="K248" s="866">
        <f>IF('S. Setup'!$K$37="used",'5. SocSecData'!I140,0)</f>
        <v>22235.372466519373</v>
      </c>
      <c r="L248" s="875">
        <f>IF('S. Setup'!$K$37="used",'5. SocSecData'!J140,0)</f>
        <v>22235.372466519373</v>
      </c>
      <c r="M248" s="867">
        <f t="shared" si="17"/>
        <v>92951.67078379239</v>
      </c>
      <c r="N248" s="880">
        <f t="shared" si="18"/>
        <v>92951.67078379239</v>
      </c>
    </row>
    <row r="249" spans="1:14" s="15" customFormat="1" ht="12.75" customHeight="1" x14ac:dyDescent="0.2">
      <c r="A249" s="850">
        <f t="shared" si="19"/>
        <v>70</v>
      </c>
      <c r="B249" s="871">
        <f t="shared" si="20"/>
        <v>65</v>
      </c>
      <c r="C249" s="869">
        <f>IF('S. Setup'!$K$36="used",'4. PensionData'!$G100,0)</f>
        <v>20722.905139910872</v>
      </c>
      <c r="D249" s="868">
        <f>IF('S. Setup'!$K$36="used",'4. PensionData'!$H100,0)</f>
        <v>20722.905139910872</v>
      </c>
      <c r="E249" s="837">
        <f>IF('S. Setup'!$K$36="used",'4. PensionData'!I100,0)</f>
        <v>0</v>
      </c>
      <c r="F249" s="837">
        <f>IF('S. Setup'!$K$36="used",'4. PensionData'!J100,0)</f>
        <v>0</v>
      </c>
      <c r="G249" s="837">
        <f>IF('S. Setup'!$K$36="used",'4. PensionData'!K100,0)</f>
        <v>20722.905139910872</v>
      </c>
      <c r="H249" s="837">
        <f>IF('S. Setup'!$K$36="used",'4. PensionData'!L100,0)</f>
        <v>20722.905139910872</v>
      </c>
      <c r="I249" s="869">
        <f>IF('S. Setup'!$K$37="used",'5. SocSecData'!G141,0)</f>
        <v>26682.446959823246</v>
      </c>
      <c r="J249" s="837">
        <f>IF('S. Setup'!$K$37="used",'5. SocSecData'!H141,0)</f>
        <v>26682.446959823246</v>
      </c>
      <c r="K249" s="869">
        <f>IF('S. Setup'!$K$37="used",'5. SocSecData'!I141,0)</f>
        <v>22680.079915849758</v>
      </c>
      <c r="L249" s="868">
        <f>IF('S. Setup'!$K$37="used",'5. SocSecData'!J141,0)</f>
        <v>22680.079915849758</v>
      </c>
      <c r="M249" s="867">
        <f t="shared" si="17"/>
        <v>94810.704199468251</v>
      </c>
      <c r="N249" s="842">
        <f t="shared" si="18"/>
        <v>94810.704199468251</v>
      </c>
    </row>
    <row r="250" spans="1:14" s="15" customFormat="1" ht="12.75" customHeight="1" x14ac:dyDescent="0.2">
      <c r="A250" s="850">
        <f t="shared" si="19"/>
        <v>71</v>
      </c>
      <c r="B250" s="851">
        <f t="shared" si="20"/>
        <v>66</v>
      </c>
      <c r="C250" s="869">
        <f>IF('S. Setup'!$K$36="used",'4. PensionData'!$G101,0)</f>
        <v>21137.363242709085</v>
      </c>
      <c r="D250" s="868">
        <f>IF('S. Setup'!$K$36="used",'4. PensionData'!$H101,0)</f>
        <v>21137.363242709085</v>
      </c>
      <c r="E250" s="837">
        <f>IF('S. Setup'!$K$36="used",'4. PensionData'!I101,0)</f>
        <v>0</v>
      </c>
      <c r="F250" s="837">
        <f>IF('S. Setup'!$K$36="used",'4. PensionData'!J101,0)</f>
        <v>0</v>
      </c>
      <c r="G250" s="837">
        <f>IF('S. Setup'!$K$36="used",'4. PensionData'!K101,0)</f>
        <v>21137.363242709085</v>
      </c>
      <c r="H250" s="837">
        <f>IF('S. Setup'!$K$36="used",'4. PensionData'!L101,0)</f>
        <v>21137.363242709085</v>
      </c>
      <c r="I250" s="869">
        <f>IF('S. Setup'!$K$37="used",'5. SocSecData'!G142,0)</f>
        <v>27216.095899019707</v>
      </c>
      <c r="J250" s="837">
        <f>IF('S. Setup'!$K$37="used",'5. SocSecData'!H142,0)</f>
        <v>27216.095899019707</v>
      </c>
      <c r="K250" s="869">
        <f>IF('S. Setup'!$K$37="used",'5. SocSecData'!I142,0)</f>
        <v>23133.68151416675</v>
      </c>
      <c r="L250" s="868">
        <f>IF('S. Setup'!$K$37="used",'5. SocSecData'!J142,0)</f>
        <v>23133.68151416675</v>
      </c>
      <c r="M250" s="867">
        <f t="shared" si="17"/>
        <v>96706.918283457591</v>
      </c>
      <c r="N250" s="842">
        <f t="shared" si="18"/>
        <v>96706.918283457591</v>
      </c>
    </row>
    <row r="251" spans="1:14" s="62" customFormat="1" ht="12" customHeight="1" x14ac:dyDescent="0.2">
      <c r="A251" s="873">
        <f t="shared" si="19"/>
        <v>72</v>
      </c>
      <c r="B251" s="874">
        <f t="shared" si="20"/>
        <v>67</v>
      </c>
      <c r="C251" s="869">
        <f>IF('S. Setup'!$K$36="used",'4. PensionData'!$G102,0)</f>
        <v>21560.110507563269</v>
      </c>
      <c r="D251" s="868">
        <f>IF('S. Setup'!$K$36="used",'4. PensionData'!$H102,0)</f>
        <v>21560.110507563269</v>
      </c>
      <c r="E251" s="837">
        <f>IF('S. Setup'!$K$36="used",'4. PensionData'!I102,0)</f>
        <v>0</v>
      </c>
      <c r="F251" s="837">
        <f>IF('S. Setup'!$K$36="used",'4. PensionData'!J102,0)</f>
        <v>0</v>
      </c>
      <c r="G251" s="837">
        <f>IF('S. Setup'!$K$36="used",'4. PensionData'!K102,0)</f>
        <v>21560.110507563269</v>
      </c>
      <c r="H251" s="837">
        <f>IF('S. Setup'!$K$36="used",'4. PensionData'!L102,0)</f>
        <v>21560.110507563269</v>
      </c>
      <c r="I251" s="869">
        <f>IF('S. Setup'!$K$37="used",'5. SocSecData'!G143,0)</f>
        <v>27760.417817000107</v>
      </c>
      <c r="J251" s="837">
        <f>IF('S. Setup'!$K$37="used",'5. SocSecData'!H143,0)</f>
        <v>27760.417817000107</v>
      </c>
      <c r="K251" s="869">
        <f>IF('S. Setup'!$K$37="used",'5. SocSecData'!I143,0)</f>
        <v>23596.355144450092</v>
      </c>
      <c r="L251" s="868">
        <f>IF('S. Setup'!$K$37="used",'5. SocSecData'!J143,0)</f>
        <v>23596.355144450092</v>
      </c>
      <c r="M251" s="867">
        <f t="shared" si="17"/>
        <v>98641.056649126753</v>
      </c>
      <c r="N251" s="842">
        <f t="shared" si="18"/>
        <v>98641.056649126753</v>
      </c>
    </row>
    <row r="252" spans="1:14" s="15" customFormat="1" ht="15" customHeight="1" x14ac:dyDescent="0.2">
      <c r="A252" s="850">
        <f t="shared" si="19"/>
        <v>73</v>
      </c>
      <c r="B252" s="851">
        <f t="shared" si="20"/>
        <v>68</v>
      </c>
      <c r="C252" s="869">
        <f>IF('S. Setup'!$K$36="used",'4. PensionData'!$G103,0)</f>
        <v>21991.312717714532</v>
      </c>
      <c r="D252" s="868">
        <f>IF('S. Setup'!$K$36="used",'4. PensionData'!$H103,0)</f>
        <v>21991.312717714532</v>
      </c>
      <c r="E252" s="837">
        <f>IF('S. Setup'!$K$36="used",'4. PensionData'!I103,0)</f>
        <v>0</v>
      </c>
      <c r="F252" s="837">
        <f>IF('S. Setup'!$K$36="used",'4. PensionData'!J103,0)</f>
        <v>0</v>
      </c>
      <c r="G252" s="837">
        <f>IF('S. Setup'!$K$36="used",'4. PensionData'!K103,0)</f>
        <v>21991.312717714532</v>
      </c>
      <c r="H252" s="837">
        <f>IF('S. Setup'!$K$36="used",'4. PensionData'!L103,0)</f>
        <v>21991.312717714532</v>
      </c>
      <c r="I252" s="869">
        <f>IF('S. Setup'!$K$37="used",'5. SocSecData'!G144,0)</f>
        <v>28315.626173340104</v>
      </c>
      <c r="J252" s="837">
        <f>IF('S. Setup'!$K$37="used",'5. SocSecData'!H144,0)</f>
        <v>28315.626173340104</v>
      </c>
      <c r="K252" s="869">
        <f>IF('S. Setup'!$K$37="used",'5. SocSecData'!I144,0)</f>
        <v>24068.282247339088</v>
      </c>
      <c r="L252" s="868">
        <f>IF('S. Setup'!$K$37="used",'5. SocSecData'!J144,0)</f>
        <v>24068.282247339088</v>
      </c>
      <c r="M252" s="867">
        <f t="shared" si="17"/>
        <v>100613.87778210928</v>
      </c>
      <c r="N252" s="842">
        <f t="shared" si="18"/>
        <v>100613.87778210928</v>
      </c>
    </row>
    <row r="253" spans="1:14" s="15" customFormat="1" ht="13.5" customHeight="1" x14ac:dyDescent="0.2">
      <c r="A253" s="850">
        <f t="shared" si="19"/>
        <v>74</v>
      </c>
      <c r="B253" s="851">
        <f t="shared" si="20"/>
        <v>69</v>
      </c>
      <c r="C253" s="869">
        <f>IF('S. Setup'!$K$36="used",'4. PensionData'!$G104,0)</f>
        <v>22431.138972068828</v>
      </c>
      <c r="D253" s="868">
        <f>IF('S. Setup'!$K$36="used",'4. PensionData'!$H104,0)</f>
        <v>22431.138972068828</v>
      </c>
      <c r="E253" s="837">
        <f>IF('S. Setup'!$K$36="used",'4. PensionData'!I104,0)</f>
        <v>0</v>
      </c>
      <c r="F253" s="837">
        <f>IF('S. Setup'!$K$36="used",'4. PensionData'!J104,0)</f>
        <v>0</v>
      </c>
      <c r="G253" s="837">
        <f>IF('S. Setup'!$K$36="used",'4. PensionData'!K104,0)</f>
        <v>22431.138972068828</v>
      </c>
      <c r="H253" s="837">
        <f>IF('S. Setup'!$K$36="used",'4. PensionData'!L104,0)</f>
        <v>22431.138972068828</v>
      </c>
      <c r="I253" s="869">
        <f>IF('S. Setup'!$K$37="used",'5. SocSecData'!G145,0)</f>
        <v>28881.938696806908</v>
      </c>
      <c r="J253" s="837">
        <f>IF('S. Setup'!$K$37="used",'5. SocSecData'!H145,0)</f>
        <v>28881.938696806908</v>
      </c>
      <c r="K253" s="869">
        <f>IF('S. Setup'!$K$37="used",'5. SocSecData'!I145,0)</f>
        <v>24549.647892285873</v>
      </c>
      <c r="L253" s="868">
        <f>IF('S. Setup'!$K$37="used",'5. SocSecData'!J145,0)</f>
        <v>24549.647892285873</v>
      </c>
      <c r="M253" s="867">
        <f t="shared" si="17"/>
        <v>102626.15533775146</v>
      </c>
      <c r="N253" s="842">
        <f t="shared" si="18"/>
        <v>102626.15533775146</v>
      </c>
    </row>
    <row r="254" spans="1:14" s="15" customFormat="1" ht="14.25" customHeight="1" x14ac:dyDescent="0.2">
      <c r="A254" s="850">
        <f t="shared" si="19"/>
        <v>75</v>
      </c>
      <c r="B254" s="851">
        <f t="shared" si="20"/>
        <v>70</v>
      </c>
      <c r="C254" s="869">
        <f>IF('S. Setup'!$K$36="used",'4. PensionData'!$G105,0)</f>
        <v>22879.761751510196</v>
      </c>
      <c r="D254" s="868">
        <f>IF('S. Setup'!$K$36="used",'4. PensionData'!$H105,0)</f>
        <v>22879.761751510196</v>
      </c>
      <c r="E254" s="837">
        <f>IF('S. Setup'!$K$36="used",'4. PensionData'!I105,0)</f>
        <v>0</v>
      </c>
      <c r="F254" s="837">
        <f>IF('S. Setup'!$K$36="used",'4. PensionData'!J105,0)</f>
        <v>0</v>
      </c>
      <c r="G254" s="837">
        <f>IF('S. Setup'!$K$36="used",'4. PensionData'!K105,0)</f>
        <v>22879.761751510196</v>
      </c>
      <c r="H254" s="837">
        <f>IF('S. Setup'!$K$36="used",'4. PensionData'!L105,0)</f>
        <v>22879.761751510196</v>
      </c>
      <c r="I254" s="869">
        <f>IF('S. Setup'!$K$37="used",'5. SocSecData'!G146,0)</f>
        <v>29459.577470743043</v>
      </c>
      <c r="J254" s="837">
        <f>IF('S. Setup'!$K$37="used",'5. SocSecData'!H146,0)</f>
        <v>29459.577470743043</v>
      </c>
      <c r="K254" s="869">
        <f>IF('S. Setup'!$K$37="used",'5. SocSecData'!I146,0)</f>
        <v>25040.640850131585</v>
      </c>
      <c r="L254" s="868">
        <f>IF('S. Setup'!$K$37="used",'5. SocSecData'!J146,0)</f>
        <v>25040.640850131585</v>
      </c>
      <c r="M254" s="867">
        <f t="shared" si="17"/>
        <v>104678.67844450647</v>
      </c>
      <c r="N254" s="842">
        <f t="shared" si="18"/>
        <v>104678.67844450647</v>
      </c>
    </row>
    <row r="255" spans="1:14" s="15" customFormat="1" ht="12" x14ac:dyDescent="0.2">
      <c r="A255" s="850">
        <f t="shared" si="19"/>
        <v>76</v>
      </c>
      <c r="B255" s="851">
        <f t="shared" si="20"/>
        <v>71</v>
      </c>
      <c r="C255" s="869">
        <f>IF('S. Setup'!$K$36="used",'4. PensionData'!$G106,0)</f>
        <v>23337.356986540406</v>
      </c>
      <c r="D255" s="868">
        <f>IF('S. Setup'!$K$36="used",'4. PensionData'!$H106,0)</f>
        <v>23337.356986540406</v>
      </c>
      <c r="E255" s="837">
        <f>IF('S. Setup'!$K$36="used",'4. PensionData'!I106,0)</f>
        <v>0</v>
      </c>
      <c r="F255" s="837">
        <f>IF('S. Setup'!$K$36="used",'4. PensionData'!J106,0)</f>
        <v>0</v>
      </c>
      <c r="G255" s="837">
        <f>IF('S. Setup'!$K$36="used",'4. PensionData'!K106,0)</f>
        <v>23337.356986540406</v>
      </c>
      <c r="H255" s="837">
        <f>IF('S. Setup'!$K$36="used",'4. PensionData'!L106,0)</f>
        <v>23337.356986540406</v>
      </c>
      <c r="I255" s="869">
        <f>IF('S. Setup'!$K$37="used",'5. SocSecData'!G147,0)</f>
        <v>30048.769020157906</v>
      </c>
      <c r="J255" s="837">
        <f>IF('S. Setup'!$K$37="used",'5. SocSecData'!H147,0)</f>
        <v>30048.769020157906</v>
      </c>
      <c r="K255" s="869">
        <f>IF('S. Setup'!$K$37="used",'5. SocSecData'!I147,0)</f>
        <v>25541.453667134221</v>
      </c>
      <c r="L255" s="868">
        <f>IF('S. Setup'!$K$37="used",'5. SocSecData'!J147,0)</f>
        <v>25541.453667134221</v>
      </c>
      <c r="M255" s="867">
        <f t="shared" si="17"/>
        <v>106772.25201339663</v>
      </c>
      <c r="N255" s="842">
        <f t="shared" si="18"/>
        <v>106772.25201339663</v>
      </c>
    </row>
    <row r="256" spans="1:14" s="15" customFormat="1" ht="14.25" customHeight="1" x14ac:dyDescent="0.2">
      <c r="A256" s="850">
        <f t="shared" si="19"/>
        <v>77</v>
      </c>
      <c r="B256" s="851">
        <f t="shared" si="20"/>
        <v>72</v>
      </c>
      <c r="C256" s="869">
        <f>IF('S. Setup'!$K$36="used",'4. PensionData'!$G107,0)</f>
        <v>23804.104126271217</v>
      </c>
      <c r="D256" s="868">
        <f>IF('S. Setup'!$K$36="used",'4. PensionData'!$H107,0)</f>
        <v>23804.104126271217</v>
      </c>
      <c r="E256" s="837">
        <f>IF('S. Setup'!$K$36="used",'4. PensionData'!I107,0)</f>
        <v>0</v>
      </c>
      <c r="F256" s="837">
        <f>IF('S. Setup'!$K$36="used",'4. PensionData'!J107,0)</f>
        <v>0</v>
      </c>
      <c r="G256" s="837">
        <f>IF('S. Setup'!$K$36="used",'4. PensionData'!K107,0)</f>
        <v>23804.104126271217</v>
      </c>
      <c r="H256" s="837">
        <f>IF('S. Setup'!$K$36="used",'4. PensionData'!L107,0)</f>
        <v>23804.104126271217</v>
      </c>
      <c r="I256" s="869">
        <f>IF('S. Setup'!$K$37="used",'5. SocSecData'!G148,0)</f>
        <v>30649.744400561067</v>
      </c>
      <c r="J256" s="837">
        <f>IF('S. Setup'!$K$37="used",'5. SocSecData'!H148,0)</f>
        <v>30649.744400561067</v>
      </c>
      <c r="K256" s="869">
        <f>IF('S. Setup'!$K$37="used",'5. SocSecData'!I148,0)</f>
        <v>26052.282740476905</v>
      </c>
      <c r="L256" s="868">
        <f>IF('S. Setup'!$K$37="used",'5. SocSecData'!J148,0)</f>
        <v>26052.282740476905</v>
      </c>
      <c r="M256" s="867">
        <f t="shared" si="17"/>
        <v>108907.69705366457</v>
      </c>
      <c r="N256" s="842">
        <f t="shared" si="18"/>
        <v>108907.69705366457</v>
      </c>
    </row>
    <row r="257" spans="1:14" s="15" customFormat="1" ht="13.5" customHeight="1" x14ac:dyDescent="0.2">
      <c r="A257" s="850">
        <f t="shared" si="19"/>
        <v>78</v>
      </c>
      <c r="B257" s="851">
        <f t="shared" si="20"/>
        <v>73</v>
      </c>
      <c r="C257" s="869">
        <f>IF('S. Setup'!$K$36="used",'4. PensionData'!$G108,0)</f>
        <v>24280.186208796636</v>
      </c>
      <c r="D257" s="868">
        <f>IF('S. Setup'!$K$36="used",'4. PensionData'!$H108,0)</f>
        <v>24280.186208796636</v>
      </c>
      <c r="E257" s="837">
        <f>IF('S. Setup'!$K$36="used",'4. PensionData'!I108,0)</f>
        <v>0</v>
      </c>
      <c r="F257" s="837">
        <f>IF('S. Setup'!$K$36="used",'4. PensionData'!J108,0)</f>
        <v>0</v>
      </c>
      <c r="G257" s="837">
        <f>IF('S. Setup'!$K$36="used",'4. PensionData'!K108,0)</f>
        <v>24280.186208796636</v>
      </c>
      <c r="H257" s="837">
        <f>IF('S. Setup'!$K$36="used",'4. PensionData'!L108,0)</f>
        <v>24280.186208796636</v>
      </c>
      <c r="I257" s="869">
        <f>IF('S. Setup'!$K$37="used",'5. SocSecData'!G149,0)</f>
        <v>31262.739288572287</v>
      </c>
      <c r="J257" s="837">
        <f>IF('S. Setup'!$K$37="used",'5. SocSecData'!H149,0)</f>
        <v>31262.739288572287</v>
      </c>
      <c r="K257" s="869">
        <f>IF('S. Setup'!$K$37="used",'5. SocSecData'!I149,0)</f>
        <v>26573.328395286444</v>
      </c>
      <c r="L257" s="868">
        <f>IF('S. Setup'!$K$37="used",'5. SocSecData'!J149,0)</f>
        <v>26573.328395286444</v>
      </c>
      <c r="M257" s="867">
        <f t="shared" si="17"/>
        <v>111085.85099473785</v>
      </c>
      <c r="N257" s="842">
        <f t="shared" si="18"/>
        <v>111085.85099473785</v>
      </c>
    </row>
    <row r="258" spans="1:14" s="15" customFormat="1" ht="13.5" customHeight="1" x14ac:dyDescent="0.2">
      <c r="A258" s="850">
        <f t="shared" si="19"/>
        <v>79</v>
      </c>
      <c r="B258" s="851">
        <f t="shared" si="20"/>
        <v>74</v>
      </c>
      <c r="C258" s="869">
        <f>IF('S. Setup'!$K$36="used",'4. PensionData'!$G109,0)</f>
        <v>24765.78993297257</v>
      </c>
      <c r="D258" s="868">
        <f>IF('S. Setup'!$K$36="used",'4. PensionData'!$H109,0)</f>
        <v>24765.78993297257</v>
      </c>
      <c r="E258" s="837">
        <f>IF('S. Setup'!$K$36="used",'4. PensionData'!I109,0)</f>
        <v>0</v>
      </c>
      <c r="F258" s="837">
        <f>IF('S. Setup'!$K$36="used",'4. PensionData'!J109,0)</f>
        <v>0</v>
      </c>
      <c r="G258" s="837">
        <f>IF('S. Setup'!$K$36="used",'4. PensionData'!K109,0)</f>
        <v>24765.78993297257</v>
      </c>
      <c r="H258" s="837">
        <f>IF('S. Setup'!$K$36="used",'4. PensionData'!L109,0)</f>
        <v>24765.78993297257</v>
      </c>
      <c r="I258" s="869">
        <f>IF('S. Setup'!$K$37="used",'5. SocSecData'!G150,0)</f>
        <v>25191.515318731552</v>
      </c>
      <c r="J258" s="837">
        <f>IF('S. Setup'!$K$37="used",'5. SocSecData'!H150,0)</f>
        <v>25191.515318731552</v>
      </c>
      <c r="K258" s="869">
        <f>IF('S. Setup'!$K$37="used",'5. SocSecData'!I150,0)</f>
        <v>21412.78802092182</v>
      </c>
      <c r="L258" s="868">
        <f>IF('S. Setup'!$K$37="used",'5. SocSecData'!J150,0)</f>
        <v>21412.78802092182</v>
      </c>
      <c r="M258" s="867">
        <f t="shared" si="17"/>
        <v>99914.610503408243</v>
      </c>
      <c r="N258" s="842">
        <f t="shared" si="18"/>
        <v>99914.610503408243</v>
      </c>
    </row>
    <row r="259" spans="1:14" s="15" customFormat="1" ht="12.75" customHeight="1" x14ac:dyDescent="0.2">
      <c r="A259" s="850">
        <f t="shared" si="19"/>
        <v>80</v>
      </c>
      <c r="B259" s="851">
        <f t="shared" si="20"/>
        <v>75</v>
      </c>
      <c r="C259" s="869">
        <f>IF('S. Setup'!$K$36="used",'4. PensionData'!$G110,0)</f>
        <v>25261.105731632022</v>
      </c>
      <c r="D259" s="868">
        <f>IF('S. Setup'!$K$36="used",'4. PensionData'!$H110,0)</f>
        <v>25261.105731632022</v>
      </c>
      <c r="E259" s="837">
        <f>IF('S. Setup'!$K$36="used",'4. PensionData'!I110,0)</f>
        <v>0</v>
      </c>
      <c r="F259" s="837">
        <f>IF('S. Setup'!$K$36="used",'4. PensionData'!J110,0)</f>
        <v>0</v>
      </c>
      <c r="G259" s="837">
        <f>IF('S. Setup'!$K$36="used",'4. PensionData'!K110,0)</f>
        <v>25261.105731632022</v>
      </c>
      <c r="H259" s="837">
        <f>IF('S. Setup'!$K$36="used",'4. PensionData'!L110,0)</f>
        <v>25261.105731632022</v>
      </c>
      <c r="I259" s="869">
        <f>IF('S. Setup'!$K$37="used",'5. SocSecData'!G151,0)</f>
        <v>25695.34562510618</v>
      </c>
      <c r="J259" s="837">
        <f>IF('S. Setup'!$K$37="used",'5. SocSecData'!H151,0)</f>
        <v>25695.34562510618</v>
      </c>
      <c r="K259" s="869">
        <f>IF('S. Setup'!$K$37="used",'5. SocSecData'!I151,0)</f>
        <v>21841.043781340253</v>
      </c>
      <c r="L259" s="868">
        <f>IF('S. Setup'!$K$37="used",'5. SocSecData'!J151,0)</f>
        <v>21841.043781340253</v>
      </c>
      <c r="M259" s="867">
        <f t="shared" si="17"/>
        <v>101912.90271347642</v>
      </c>
      <c r="N259" s="842">
        <f t="shared" si="18"/>
        <v>101912.90271347642</v>
      </c>
    </row>
    <row r="260" spans="1:14" s="15" customFormat="1" ht="14.25" customHeight="1" x14ac:dyDescent="0.2">
      <c r="A260" s="850">
        <f t="shared" si="19"/>
        <v>81</v>
      </c>
      <c r="B260" s="851">
        <f t="shared" si="20"/>
        <v>76</v>
      </c>
      <c r="C260" s="869">
        <f>IF('S. Setup'!$K$36="used",'4. PensionData'!$G111,0)</f>
        <v>25766.327846264659</v>
      </c>
      <c r="D260" s="868">
        <f>IF('S. Setup'!$K$36="used",'4. PensionData'!$H111,0)</f>
        <v>25766.327846264659</v>
      </c>
      <c r="E260" s="837">
        <f>IF('S. Setup'!$K$36="used",'4. PensionData'!I111,0)</f>
        <v>0</v>
      </c>
      <c r="F260" s="837">
        <f>IF('S. Setup'!$K$36="used",'4. PensionData'!J111,0)</f>
        <v>0</v>
      </c>
      <c r="G260" s="837">
        <f>IF('S. Setup'!$K$36="used",'4. PensionData'!K111,0)</f>
        <v>25766.327846264659</v>
      </c>
      <c r="H260" s="837">
        <f>IF('S. Setup'!$K$36="used",'4. PensionData'!L111,0)</f>
        <v>25766.327846264659</v>
      </c>
      <c r="I260" s="869">
        <f>IF('S. Setup'!$K$37="used",'5. SocSecData'!G152,0)</f>
        <v>26209.252537608303</v>
      </c>
      <c r="J260" s="837">
        <f>IF('S. Setup'!$K$37="used",'5. SocSecData'!H152,0)</f>
        <v>26209.252537608303</v>
      </c>
      <c r="K260" s="869">
        <f>IF('S. Setup'!$K$37="used",'5. SocSecData'!I152,0)</f>
        <v>22277.864656967056</v>
      </c>
      <c r="L260" s="868">
        <f>IF('S. Setup'!$K$37="used",'5. SocSecData'!J152,0)</f>
        <v>22277.864656967056</v>
      </c>
      <c r="M260" s="867">
        <f t="shared" si="17"/>
        <v>103951.16076774593</v>
      </c>
      <c r="N260" s="842">
        <f t="shared" si="18"/>
        <v>103951.16076774593</v>
      </c>
    </row>
    <row r="261" spans="1:14" s="15" customFormat="1" ht="13.5" customHeight="1" x14ac:dyDescent="0.2">
      <c r="A261" s="850">
        <f t="shared" si="19"/>
        <v>82</v>
      </c>
      <c r="B261" s="851">
        <f t="shared" si="20"/>
        <v>77</v>
      </c>
      <c r="C261" s="869">
        <f>IF('S. Setup'!$K$36="used",'4. PensionData'!$G112,0)</f>
        <v>26281.654403189954</v>
      </c>
      <c r="D261" s="868">
        <f>IF('S. Setup'!$K$36="used",'4. PensionData'!$H112,0)</f>
        <v>26281.654403189954</v>
      </c>
      <c r="E261" s="837">
        <f>IF('S. Setup'!$K$36="used",'4. PensionData'!I112,0)</f>
        <v>0</v>
      </c>
      <c r="F261" s="837">
        <f>IF('S. Setup'!$K$36="used",'4. PensionData'!J112,0)</f>
        <v>0</v>
      </c>
      <c r="G261" s="837">
        <f>IF('S. Setup'!$K$36="used",'4. PensionData'!K112,0)</f>
        <v>26281.654403189954</v>
      </c>
      <c r="H261" s="837">
        <f>IF('S. Setup'!$K$36="used",'4. PensionData'!L112,0)</f>
        <v>26281.654403189954</v>
      </c>
      <c r="I261" s="869">
        <f>IF('S. Setup'!$K$37="used",'5. SocSecData'!G153,0)</f>
        <v>26733.43758836047</v>
      </c>
      <c r="J261" s="837">
        <f>IF('S. Setup'!$K$37="used",'5. SocSecData'!H153,0)</f>
        <v>26733.43758836047</v>
      </c>
      <c r="K261" s="869">
        <f>IF('S. Setup'!$K$37="used",'5. SocSecData'!I153,0)</f>
        <v>22723.4219501064</v>
      </c>
      <c r="L261" s="868">
        <f>IF('S. Setup'!$K$37="used",'5. SocSecData'!J153,0)</f>
        <v>22723.4219501064</v>
      </c>
      <c r="M261" s="867">
        <f t="shared" si="17"/>
        <v>106030.18398310084</v>
      </c>
      <c r="N261" s="842">
        <f t="shared" si="18"/>
        <v>106030.18398310084</v>
      </c>
    </row>
    <row r="262" spans="1:14" s="15" customFormat="1" ht="12" x14ac:dyDescent="0.2">
      <c r="A262" s="850">
        <f t="shared" si="19"/>
        <v>83</v>
      </c>
      <c r="B262" s="851">
        <f t="shared" si="20"/>
        <v>78</v>
      </c>
      <c r="C262" s="869">
        <f>IF('S. Setup'!$K$36="used",'4. PensionData'!$G113,0)</f>
        <v>26807.287491253748</v>
      </c>
      <c r="D262" s="868">
        <f>IF('S. Setup'!$K$36="used",'4. PensionData'!$H113,0)</f>
        <v>26807.287491253748</v>
      </c>
      <c r="E262" s="837">
        <f>IF('S. Setup'!$K$36="used",'4. PensionData'!I113,0)</f>
        <v>0</v>
      </c>
      <c r="F262" s="837">
        <f>IF('S. Setup'!$K$36="used",'4. PensionData'!J113,0)</f>
        <v>0</v>
      </c>
      <c r="G262" s="837">
        <f>IF('S. Setup'!$K$36="used",'4. PensionData'!K113,0)</f>
        <v>26807.287491253748</v>
      </c>
      <c r="H262" s="837">
        <f>IF('S. Setup'!$K$36="used",'4. PensionData'!L113,0)</f>
        <v>26807.287491253748</v>
      </c>
      <c r="I262" s="869">
        <f>IF('S. Setup'!$K$37="used",'5. SocSecData'!G154,0)</f>
        <v>27268.106340127677</v>
      </c>
      <c r="J262" s="837">
        <f>IF('S. Setup'!$K$37="used",'5. SocSecData'!H154,0)</f>
        <v>27268.106340127677</v>
      </c>
      <c r="K262" s="869">
        <f>IF('S. Setup'!$K$37="used",'5. SocSecData'!I154,0)</f>
        <v>23177.890389108525</v>
      </c>
      <c r="L262" s="868">
        <f>IF('S. Setup'!$K$37="used",'5. SocSecData'!J154,0)</f>
        <v>23177.890389108525</v>
      </c>
      <c r="M262" s="867">
        <f t="shared" si="17"/>
        <v>108150.78766276286</v>
      </c>
      <c r="N262" s="842">
        <f t="shared" si="18"/>
        <v>108150.78766276286</v>
      </c>
    </row>
    <row r="263" spans="1:14" s="15" customFormat="1" ht="13.5" customHeight="1" x14ac:dyDescent="0.2">
      <c r="A263" s="850">
        <f t="shared" si="19"/>
        <v>84</v>
      </c>
      <c r="B263" s="851">
        <f t="shared" si="20"/>
        <v>79</v>
      </c>
      <c r="C263" s="869">
        <f>IF('S. Setup'!$K$36="used",'4. PensionData'!$G114,0)</f>
        <v>27343.433241078827</v>
      </c>
      <c r="D263" s="868">
        <f>IF('S. Setup'!$K$36="used",'4. PensionData'!$H114,0)</f>
        <v>27343.433241078827</v>
      </c>
      <c r="E263" s="837">
        <f>IF('S. Setup'!$K$36="used",'4. PensionData'!I114,0)</f>
        <v>0</v>
      </c>
      <c r="F263" s="837">
        <f>IF('S. Setup'!$K$36="used",'4. PensionData'!J114,0)</f>
        <v>0</v>
      </c>
      <c r="G263" s="837">
        <f>IF('S. Setup'!$K$36="used",'4. PensionData'!K114,0)</f>
        <v>27343.433241078827</v>
      </c>
      <c r="H263" s="837">
        <f>IF('S. Setup'!$K$36="used",'4. PensionData'!L114,0)</f>
        <v>27343.433241078827</v>
      </c>
      <c r="I263" s="869">
        <f>IF('S. Setup'!$K$37="used",'5. SocSecData'!G155,0)</f>
        <v>27813.46846693023</v>
      </c>
      <c r="J263" s="837">
        <f>IF('S. Setup'!$K$37="used",'5. SocSecData'!H155,0)</f>
        <v>27813.46846693023</v>
      </c>
      <c r="K263" s="869">
        <f>IF('S. Setup'!$K$37="used",'5. SocSecData'!I155,0)</f>
        <v>23641.448196890695</v>
      </c>
      <c r="L263" s="868">
        <f>IF('S. Setup'!$K$37="used",'5. SocSecData'!J155,0)</f>
        <v>23641.448196890695</v>
      </c>
      <c r="M263" s="867">
        <f t="shared" si="17"/>
        <v>110313.80341601811</v>
      </c>
      <c r="N263" s="842">
        <f t="shared" si="18"/>
        <v>110313.80341601811</v>
      </c>
    </row>
    <row r="264" spans="1:14" s="62" customFormat="1" ht="14.25" customHeight="1" x14ac:dyDescent="0.2">
      <c r="A264" s="873">
        <f t="shared" si="19"/>
        <v>85</v>
      </c>
      <c r="B264" s="874">
        <f t="shared" si="20"/>
        <v>80</v>
      </c>
      <c r="C264" s="869">
        <f>IF('S. Setup'!$K$36="used",'4. PensionData'!$G115,0)</f>
        <v>0</v>
      </c>
      <c r="D264" s="868">
        <f>IF('S. Setup'!$K$36="used",'4. PensionData'!$H115,0)</f>
        <v>18046.665939112027</v>
      </c>
      <c r="E264" s="837">
        <f>IF('S. Setup'!$K$36="used",'4. PensionData'!I115,0)</f>
        <v>0</v>
      </c>
      <c r="F264" s="837">
        <f>IF('S. Setup'!$K$36="used",'4. PensionData'!J115,0)</f>
        <v>0</v>
      </c>
      <c r="G264" s="837">
        <f>IF('S. Setup'!$K$36="used",'4. PensionData'!K115,0)</f>
        <v>0</v>
      </c>
      <c r="H264" s="837">
        <f>IF('S. Setup'!$K$36="used",'4. PensionData'!L115,0)</f>
        <v>18046.665939112027</v>
      </c>
      <c r="I264" s="869">
        <f>IF('S. Setup'!$K$37="used",'5. SocSecData'!G156,0)</f>
        <v>11291.437944783615</v>
      </c>
      <c r="J264" s="837">
        <f>IF('S. Setup'!$K$37="used",'5. SocSecData'!H156,0)</f>
        <v>11291.437944783615</v>
      </c>
      <c r="K264" s="869">
        <f>IF('S. Setup'!$K$37="used",'5. SocSecData'!I156,0)</f>
        <v>9597.7222530660729</v>
      </c>
      <c r="L264" s="868">
        <f>IF('S. Setup'!$K$37="used",'5. SocSecData'!J156,0)</f>
        <v>9597.7222530660729</v>
      </c>
      <c r="M264" s="867">
        <f t="shared" si="17"/>
        <v>40629.541828679256</v>
      </c>
      <c r="N264" s="842">
        <f t="shared" si="18"/>
        <v>40629.541828679256</v>
      </c>
    </row>
    <row r="265" spans="1:14" s="15" customFormat="1" ht="13.5" customHeight="1" x14ac:dyDescent="0.2">
      <c r="A265" s="850">
        <f t="shared" si="19"/>
        <v>86</v>
      </c>
      <c r="B265" s="851">
        <f t="shared" si="20"/>
        <v>81</v>
      </c>
      <c r="C265" s="869">
        <f>IF('S. Setup'!$K$36="used",'4. PensionData'!$G116,0)</f>
        <v>0</v>
      </c>
      <c r="D265" s="868">
        <f>IF('S. Setup'!$K$36="used",'4. PensionData'!$H116,0)</f>
        <v>18407.599257894268</v>
      </c>
      <c r="E265" s="837">
        <f>IF('S. Setup'!$K$36="used",'4. PensionData'!I116,0)</f>
        <v>0</v>
      </c>
      <c r="F265" s="837">
        <f>IF('S. Setup'!$K$36="used",'4. PensionData'!J116,0)</f>
        <v>0</v>
      </c>
      <c r="G265" s="837">
        <f>IF('S. Setup'!$K$36="used",'4. PensionData'!K116,0)</f>
        <v>0</v>
      </c>
      <c r="H265" s="837">
        <f>IF('S. Setup'!$K$36="used",'4. PensionData'!L116,0)</f>
        <v>18407.599257894268</v>
      </c>
      <c r="I265" s="869">
        <f>IF('S. Setup'!$K$37="used",'5. SocSecData'!G157,0)</f>
        <v>11517.266703679288</v>
      </c>
      <c r="J265" s="837">
        <f>IF('S. Setup'!$K$37="used",'5. SocSecData'!H157,0)</f>
        <v>11517.266703679288</v>
      </c>
      <c r="K265" s="869">
        <f>IF('S. Setup'!$K$37="used",'5. SocSecData'!I157,0)</f>
        <v>9789.676698127394</v>
      </c>
      <c r="L265" s="868">
        <f>IF('S. Setup'!$K$37="used",'5. SocSecData'!J157,0)</f>
        <v>9789.676698127394</v>
      </c>
      <c r="M265" s="867">
        <f t="shared" si="17"/>
        <v>41442.132665252844</v>
      </c>
      <c r="N265" s="842">
        <f t="shared" si="18"/>
        <v>41442.132665252844</v>
      </c>
    </row>
    <row r="266" spans="1:14" s="15" customFormat="1" ht="13.5" customHeight="1" x14ac:dyDescent="0.2">
      <c r="A266" s="850">
        <f t="shared" si="19"/>
        <v>87</v>
      </c>
      <c r="B266" s="851">
        <f t="shared" si="20"/>
        <v>82</v>
      </c>
      <c r="C266" s="869">
        <f>IF('S. Setup'!$K$36="used",'4. PensionData'!$G117,0)</f>
        <v>0</v>
      </c>
      <c r="D266" s="868">
        <f>IF('S. Setup'!$K$36="used",'4. PensionData'!$H117,0)</f>
        <v>18775.751243052149</v>
      </c>
      <c r="E266" s="837">
        <f>IF('S. Setup'!$K$36="used",'4. PensionData'!I117,0)</f>
        <v>0</v>
      </c>
      <c r="F266" s="837">
        <f>IF('S. Setup'!$K$36="used",'4. PensionData'!J117,0)</f>
        <v>0</v>
      </c>
      <c r="G266" s="837">
        <f>IF('S. Setup'!$K$36="used",'4. PensionData'!K117,0)</f>
        <v>0</v>
      </c>
      <c r="H266" s="837">
        <f>IF('S. Setup'!$K$36="used",'4. PensionData'!L117,0)</f>
        <v>18775.751243052149</v>
      </c>
      <c r="I266" s="869">
        <f>IF('S. Setup'!$K$37="used",'5. SocSecData'!G158,0)</f>
        <v>11747.612037752871</v>
      </c>
      <c r="J266" s="837">
        <f>IF('S. Setup'!$K$37="used",'5. SocSecData'!H158,0)</f>
        <v>11747.612037752871</v>
      </c>
      <c r="K266" s="869">
        <f>IF('S. Setup'!$K$37="used",'5. SocSecData'!I158,0)</f>
        <v>9985.4702320899396</v>
      </c>
      <c r="L266" s="868">
        <f>IF('S. Setup'!$K$37="used",'5. SocSecData'!J158,0)</f>
        <v>9985.4702320899396</v>
      </c>
      <c r="M266" s="867">
        <f t="shared" si="17"/>
        <v>42270.975318557888</v>
      </c>
      <c r="N266" s="842">
        <f t="shared" si="18"/>
        <v>42270.975318557888</v>
      </c>
    </row>
    <row r="267" spans="1:14" s="15" customFormat="1" ht="12" customHeight="1" x14ac:dyDescent="0.2">
      <c r="A267" s="850">
        <f t="shared" si="19"/>
        <v>88</v>
      </c>
      <c r="B267" s="851">
        <f t="shared" si="20"/>
        <v>83</v>
      </c>
      <c r="C267" s="869">
        <f>IF('S. Setup'!$K$36="used",'4. PensionData'!$G118,0)</f>
        <v>0</v>
      </c>
      <c r="D267" s="868">
        <f>IF('S. Setup'!$K$36="used",'4. PensionData'!$H118,0)</f>
        <v>19151.266267913197</v>
      </c>
      <c r="E267" s="837">
        <f>IF('S. Setup'!$K$36="used",'4. PensionData'!I118,0)</f>
        <v>0</v>
      </c>
      <c r="F267" s="837">
        <f>IF('S. Setup'!$K$36="used",'4. PensionData'!J118,0)</f>
        <v>0</v>
      </c>
      <c r="G267" s="837">
        <f>IF('S. Setup'!$K$36="used",'4. PensionData'!K118,0)</f>
        <v>0</v>
      </c>
      <c r="H267" s="837">
        <f>IF('S. Setup'!$K$36="used",'4. PensionData'!L118,0)</f>
        <v>19151.266267913197</v>
      </c>
      <c r="I267" s="869">
        <f>IF('S. Setup'!$K$37="used",'5. SocSecData'!G159,0)</f>
        <v>11982.564278507933</v>
      </c>
      <c r="J267" s="837">
        <f>IF('S. Setup'!$K$37="used",'5. SocSecData'!H159,0)</f>
        <v>11982.564278507933</v>
      </c>
      <c r="K267" s="869">
        <f>IF('S. Setup'!$K$37="used",'5. SocSecData'!I159,0)</f>
        <v>10185.179636731742</v>
      </c>
      <c r="L267" s="868">
        <f>IF('S. Setup'!$K$37="used",'5. SocSecData'!J159,0)</f>
        <v>10185.179636731742</v>
      </c>
      <c r="M267" s="867">
        <f t="shared" si="17"/>
        <v>43116.394824929062</v>
      </c>
      <c r="N267" s="842">
        <f t="shared" si="18"/>
        <v>43116.394824929062</v>
      </c>
    </row>
    <row r="268" spans="1:14" s="15" customFormat="1" ht="12.75" customHeight="1" x14ac:dyDescent="0.2">
      <c r="A268" s="850">
        <f t="shared" si="19"/>
        <v>89</v>
      </c>
      <c r="B268" s="851">
        <f t="shared" si="20"/>
        <v>84</v>
      </c>
      <c r="C268" s="869">
        <f>IF('S. Setup'!$K$36="used",'4. PensionData'!$G119,0)</f>
        <v>0</v>
      </c>
      <c r="D268" s="868">
        <f>IF('S. Setup'!$K$36="used",'4. PensionData'!$H119,0)</f>
        <v>19534.291593271457</v>
      </c>
      <c r="E268" s="837">
        <f>IF('S. Setup'!$K$36="used",'4. PensionData'!I119,0)</f>
        <v>0</v>
      </c>
      <c r="F268" s="837">
        <f>IF('S. Setup'!$K$36="used",'4. PensionData'!J119,0)</f>
        <v>0</v>
      </c>
      <c r="G268" s="837">
        <f>IF('S. Setup'!$K$36="used",'4. PensionData'!K119,0)</f>
        <v>0</v>
      </c>
      <c r="H268" s="837">
        <f>IF('S. Setup'!$K$36="used",'4. PensionData'!L119,0)</f>
        <v>19534.291593271457</v>
      </c>
      <c r="I268" s="869">
        <f>IF('S. Setup'!$K$37="used",'5. SocSecData'!G160,0)</f>
        <v>12222.215564078089</v>
      </c>
      <c r="J268" s="837">
        <f>IF('S. Setup'!$K$37="used",'5. SocSecData'!H160,0)</f>
        <v>12222.215564078089</v>
      </c>
      <c r="K268" s="869">
        <f>IF('S. Setup'!$K$37="used",'5. SocSecData'!I160,0)</f>
        <v>10388.883229466375</v>
      </c>
      <c r="L268" s="868">
        <f>IF('S. Setup'!$K$37="used",'5. SocSecData'!J160,0)</f>
        <v>10388.883229466375</v>
      </c>
      <c r="M268" s="867">
        <f t="shared" si="17"/>
        <v>43978.722721427635</v>
      </c>
      <c r="N268" s="842">
        <f t="shared" si="18"/>
        <v>43978.722721427635</v>
      </c>
    </row>
    <row r="269" spans="1:14" s="15" customFormat="1" ht="13.5" customHeight="1" x14ac:dyDescent="0.2">
      <c r="A269" s="850">
        <f t="shared" si="19"/>
        <v>90</v>
      </c>
      <c r="B269" s="851">
        <f t="shared" si="20"/>
        <v>85</v>
      </c>
      <c r="C269" s="869">
        <f>IF('S. Setup'!$K$36="used",'4. PensionData'!$G120,0)</f>
        <v>0</v>
      </c>
      <c r="D269" s="868">
        <f>IF('S. Setup'!$K$36="used",'4. PensionData'!$H120,0)</f>
        <v>19924.977425136887</v>
      </c>
      <c r="E269" s="837">
        <f>IF('S. Setup'!$K$36="used",'4. PensionData'!I120,0)</f>
        <v>0</v>
      </c>
      <c r="F269" s="837">
        <f>IF('S. Setup'!$K$36="used",'4. PensionData'!J120,0)</f>
        <v>0</v>
      </c>
      <c r="G269" s="837">
        <f>IF('S. Setup'!$K$36="used",'4. PensionData'!K120,0)</f>
        <v>0</v>
      </c>
      <c r="H269" s="837">
        <f>IF('S. Setup'!$K$36="used",'4. PensionData'!L120,0)</f>
        <v>19924.977425136887</v>
      </c>
      <c r="I269" s="869">
        <f>IF('S. Setup'!$K$37="used",'5. SocSecData'!G161,0)</f>
        <v>12466.659875359652</v>
      </c>
      <c r="J269" s="837">
        <f>IF('S. Setup'!$K$37="used",'5. SocSecData'!H161,0)</f>
        <v>12466.659875359652</v>
      </c>
      <c r="K269" s="869">
        <f>IF('S. Setup'!$K$37="used",'5. SocSecData'!I161,0)</f>
        <v>10596.660894055703</v>
      </c>
      <c r="L269" s="868">
        <f>IF('S. Setup'!$K$37="used",'5. SocSecData'!J161,0)</f>
        <v>10596.660894055703</v>
      </c>
      <c r="M269" s="867">
        <f t="shared" si="17"/>
        <v>44858.297175856191</v>
      </c>
      <c r="N269" s="842">
        <f t="shared" si="18"/>
        <v>44858.297175856191</v>
      </c>
    </row>
    <row r="270" spans="1:14" s="15" customFormat="1" ht="13.5" customHeight="1" x14ac:dyDescent="0.2">
      <c r="A270" s="850">
        <f t="shared" si="19"/>
        <v>91</v>
      </c>
      <c r="B270" s="851">
        <f t="shared" si="20"/>
        <v>86</v>
      </c>
      <c r="C270" s="869">
        <f>IF('S. Setup'!$K$36="used",'4. PensionData'!$G121,0)</f>
        <v>0</v>
      </c>
      <c r="D270" s="868">
        <f>IF('S. Setup'!$K$36="used",'4. PensionData'!$H121,0)</f>
        <v>20323.476973639623</v>
      </c>
      <c r="E270" s="837">
        <f>IF('S. Setup'!$K$36="used",'4. PensionData'!I121,0)</f>
        <v>0</v>
      </c>
      <c r="F270" s="837">
        <f>IF('S. Setup'!$K$36="used",'4. PensionData'!J121,0)</f>
        <v>0</v>
      </c>
      <c r="G270" s="837">
        <f>IF('S. Setup'!$K$36="used",'4. PensionData'!K121,0)</f>
        <v>0</v>
      </c>
      <c r="H270" s="837">
        <f>IF('S. Setup'!$K$36="used",'4. PensionData'!L121,0)</f>
        <v>20323.476973639623</v>
      </c>
      <c r="I270" s="869">
        <f>IF('S. Setup'!$K$37="used",'5. SocSecData'!G162,0)</f>
        <v>12715.993072866841</v>
      </c>
      <c r="J270" s="837">
        <f>IF('S. Setup'!$K$37="used",'5. SocSecData'!H162,0)</f>
        <v>12715.993072866841</v>
      </c>
      <c r="K270" s="869">
        <f>IF('S. Setup'!$K$37="used",'5. SocSecData'!I162,0)</f>
        <v>10808.594111936814</v>
      </c>
      <c r="L270" s="868">
        <f>IF('S. Setup'!$K$37="used",'5. SocSecData'!J162,0)</f>
        <v>10808.594111936814</v>
      </c>
      <c r="M270" s="867">
        <f t="shared" si="17"/>
        <v>45755.463119373308</v>
      </c>
      <c r="N270" s="842">
        <f t="shared" si="18"/>
        <v>45755.463119373308</v>
      </c>
    </row>
    <row r="271" spans="1:14" s="15" customFormat="1" ht="15" customHeight="1" x14ac:dyDescent="0.2">
      <c r="A271" s="850">
        <f t="shared" si="19"/>
        <v>92</v>
      </c>
      <c r="B271" s="851">
        <f t="shared" si="20"/>
        <v>87</v>
      </c>
      <c r="C271" s="869">
        <f>IF('S. Setup'!$K$36="used",'4. PensionData'!$G122,0)</f>
        <v>0</v>
      </c>
      <c r="D271" s="868">
        <f>IF('S. Setup'!$K$36="used",'4. PensionData'!$H122,0)</f>
        <v>0</v>
      </c>
      <c r="E271" s="837">
        <f>IF('S. Setup'!$K$36="used",'4. PensionData'!I122,0)</f>
        <v>0</v>
      </c>
      <c r="F271" s="837">
        <f>IF('S. Setup'!$K$36="used",'4. PensionData'!J122,0)</f>
        <v>0</v>
      </c>
      <c r="G271" s="837">
        <f>IF('S. Setup'!$K$36="used",'4. PensionData'!K122,0)</f>
        <v>0</v>
      </c>
      <c r="H271" s="837">
        <f>IF('S. Setup'!$K$36="used",'4. PensionData'!L122,0)</f>
        <v>0</v>
      </c>
      <c r="I271" s="869">
        <f>IF('S. Setup'!$K$37="used",'5. SocSecData'!G163,0)</f>
        <v>0</v>
      </c>
      <c r="J271" s="837">
        <f>IF('S. Setup'!$K$37="used",'5. SocSecData'!H163,0)</f>
        <v>0</v>
      </c>
      <c r="K271" s="869">
        <f>IF('S. Setup'!$K$37="used",'5. SocSecData'!I163,0)</f>
        <v>0</v>
      </c>
      <c r="L271" s="868">
        <f>IF('S. Setup'!$K$37="used",'5. SocSecData'!J163,0)</f>
        <v>0</v>
      </c>
      <c r="M271" s="867">
        <f t="shared" si="17"/>
        <v>0</v>
      </c>
      <c r="N271" s="842">
        <f t="shared" si="18"/>
        <v>0</v>
      </c>
    </row>
    <row r="272" spans="1:14" s="15" customFormat="1" ht="12" x14ac:dyDescent="0.2">
      <c r="A272" s="850">
        <f t="shared" si="19"/>
        <v>93</v>
      </c>
      <c r="B272" s="851">
        <f t="shared" si="20"/>
        <v>88</v>
      </c>
      <c r="C272" s="869">
        <f>IF('S. Setup'!$K$36="used",'4. PensionData'!$G123,0)</f>
        <v>0</v>
      </c>
      <c r="D272" s="868">
        <f>IF('S. Setup'!$K$36="used",'4. PensionData'!$H123,0)</f>
        <v>0</v>
      </c>
      <c r="E272" s="837">
        <f>IF('S. Setup'!$K$36="used",'4. PensionData'!I123,0)</f>
        <v>0</v>
      </c>
      <c r="F272" s="837">
        <f>IF('S. Setup'!$K$36="used",'4. PensionData'!J123,0)</f>
        <v>0</v>
      </c>
      <c r="G272" s="837">
        <f>IF('S. Setup'!$K$36="used",'4. PensionData'!K123,0)</f>
        <v>0</v>
      </c>
      <c r="H272" s="837">
        <f>IF('S. Setup'!$K$36="used",'4. PensionData'!L123,0)</f>
        <v>0</v>
      </c>
      <c r="I272" s="869">
        <f>IF('S. Setup'!$K$37="used",'5. SocSecData'!G164,0)</f>
        <v>0</v>
      </c>
      <c r="J272" s="837">
        <f>IF('S. Setup'!$K$37="used",'5. SocSecData'!H164,0)</f>
        <v>0</v>
      </c>
      <c r="K272" s="869">
        <f>IF('S. Setup'!$K$37="used",'5. SocSecData'!I164,0)</f>
        <v>0</v>
      </c>
      <c r="L272" s="868">
        <f>IF('S. Setup'!$K$37="used",'5. SocSecData'!J164,0)</f>
        <v>0</v>
      </c>
      <c r="M272" s="867">
        <f t="shared" si="17"/>
        <v>0</v>
      </c>
      <c r="N272" s="842">
        <f t="shared" si="18"/>
        <v>0</v>
      </c>
    </row>
    <row r="273" spans="1:14" s="15" customFormat="1" ht="12" x14ac:dyDescent="0.2">
      <c r="A273" s="850">
        <f t="shared" si="19"/>
        <v>94</v>
      </c>
      <c r="B273" s="851">
        <f t="shared" si="20"/>
        <v>89</v>
      </c>
      <c r="C273" s="869">
        <f>IF('S. Setup'!$K$36="used",'4. PensionData'!$G124,0)</f>
        <v>0</v>
      </c>
      <c r="D273" s="868">
        <f>IF('S. Setup'!$K$36="used",'4. PensionData'!$H124,0)</f>
        <v>0</v>
      </c>
      <c r="E273" s="837">
        <f>IF('S. Setup'!$K$36="used",'4. PensionData'!I124,0)</f>
        <v>0</v>
      </c>
      <c r="F273" s="837">
        <f>IF('S. Setup'!$K$36="used",'4. PensionData'!J124,0)</f>
        <v>0</v>
      </c>
      <c r="G273" s="837">
        <f>IF('S. Setup'!$K$36="used",'4. PensionData'!K124,0)</f>
        <v>0</v>
      </c>
      <c r="H273" s="837">
        <f>IF('S. Setup'!$K$36="used",'4. PensionData'!L124,0)</f>
        <v>0</v>
      </c>
      <c r="I273" s="869">
        <f>IF('S. Setup'!$K$37="used",'5. SocSecData'!G165,0)</f>
        <v>0</v>
      </c>
      <c r="J273" s="837">
        <f>IF('S. Setup'!$K$37="used",'5. SocSecData'!H165,0)</f>
        <v>0</v>
      </c>
      <c r="K273" s="869">
        <f>IF('S. Setup'!$K$37="used",'5. SocSecData'!I165,0)</f>
        <v>0</v>
      </c>
      <c r="L273" s="868">
        <f>IF('S. Setup'!$K$37="used",'5. SocSecData'!J165,0)</f>
        <v>0</v>
      </c>
      <c r="M273" s="867">
        <f t="shared" si="17"/>
        <v>0</v>
      </c>
      <c r="N273" s="842">
        <f t="shared" si="18"/>
        <v>0</v>
      </c>
    </row>
    <row r="274" spans="1:14" s="15" customFormat="1" ht="12" x14ac:dyDescent="0.2">
      <c r="A274" s="850">
        <f t="shared" si="19"/>
        <v>95</v>
      </c>
      <c r="B274" s="851">
        <f t="shared" si="20"/>
        <v>90</v>
      </c>
      <c r="C274" s="869">
        <f>IF('S. Setup'!$K$36="used",'4. PensionData'!$G125,0)</f>
        <v>0</v>
      </c>
      <c r="D274" s="868">
        <f>IF('S. Setup'!$K$36="used",'4. PensionData'!$H125,0)</f>
        <v>0</v>
      </c>
      <c r="E274" s="837">
        <f>IF('S. Setup'!$K$36="used",'4. PensionData'!I125,0)</f>
        <v>0</v>
      </c>
      <c r="F274" s="837">
        <f>IF('S. Setup'!$K$36="used",'4. PensionData'!J125,0)</f>
        <v>0</v>
      </c>
      <c r="G274" s="837">
        <f>IF('S. Setup'!$K$36="used",'4. PensionData'!K125,0)</f>
        <v>0</v>
      </c>
      <c r="H274" s="837">
        <f>IF('S. Setup'!$K$36="used",'4. PensionData'!L125,0)</f>
        <v>0</v>
      </c>
      <c r="I274" s="869">
        <f>IF('S. Setup'!$K$37="used",'5. SocSecData'!G166,0)</f>
        <v>0</v>
      </c>
      <c r="J274" s="837">
        <f>IF('S. Setup'!$K$37="used",'5. SocSecData'!H166,0)</f>
        <v>0</v>
      </c>
      <c r="K274" s="869">
        <f>IF('S. Setup'!$K$37="used",'5. SocSecData'!I166,0)</f>
        <v>0</v>
      </c>
      <c r="L274" s="868">
        <f>IF('S. Setup'!$K$37="used",'5. SocSecData'!J166,0)</f>
        <v>0</v>
      </c>
      <c r="M274" s="867">
        <f t="shared" si="17"/>
        <v>0</v>
      </c>
      <c r="N274" s="842">
        <f t="shared" si="18"/>
        <v>0</v>
      </c>
    </row>
    <row r="275" spans="1:14" s="15" customFormat="1" ht="12.75" thickBot="1" x14ac:dyDescent="0.25">
      <c r="A275" s="852">
        <f t="shared" si="19"/>
        <v>96</v>
      </c>
      <c r="B275" s="853">
        <f t="shared" si="20"/>
        <v>91</v>
      </c>
      <c r="C275" s="878">
        <f>IF('S. Setup'!$K$36="used",'4. PensionData'!$G126,0)</f>
        <v>0</v>
      </c>
      <c r="D275" s="877">
        <f>IF('S. Setup'!$K$36="used",'4. PensionData'!$H126,0)</f>
        <v>0</v>
      </c>
      <c r="E275" s="843">
        <f>IF('S. Setup'!$K$36="used",'4. PensionData'!I126,0)</f>
        <v>0</v>
      </c>
      <c r="F275" s="843">
        <f>IF('S. Setup'!$K$36="used",'4. PensionData'!J126,0)</f>
        <v>0</v>
      </c>
      <c r="G275" s="843">
        <f>IF('S. Setup'!$K$36="used",'4. PensionData'!K126,0)</f>
        <v>0</v>
      </c>
      <c r="H275" s="843">
        <f>IF('S. Setup'!$K$36="used",'4. PensionData'!L126,0)</f>
        <v>0</v>
      </c>
      <c r="I275" s="878">
        <f>IF('S. Setup'!$K$37="used",'5. SocSecData'!G167,0)</f>
        <v>0</v>
      </c>
      <c r="J275" s="843">
        <f>IF('S. Setup'!$K$37="used",'5. SocSecData'!H167,0)</f>
        <v>0</v>
      </c>
      <c r="K275" s="878">
        <f>IF('S. Setup'!$K$37="used",'5. SocSecData'!I167,0)</f>
        <v>0</v>
      </c>
      <c r="L275" s="877">
        <f>IF('S. Setup'!$K$37="used",'5. SocSecData'!J167,0)</f>
        <v>0</v>
      </c>
      <c r="M275" s="876">
        <f t="shared" si="17"/>
        <v>0</v>
      </c>
      <c r="N275" s="844">
        <f t="shared" si="18"/>
        <v>0</v>
      </c>
    </row>
    <row r="276" spans="1:14" s="15" customFormat="1" ht="12.75" thickTop="1" x14ac:dyDescent="0.2">
      <c r="A276" s="1444"/>
      <c r="B276" s="851"/>
      <c r="C276" s="837"/>
      <c r="D276" s="837"/>
      <c r="E276" s="837"/>
      <c r="F276" s="837"/>
      <c r="G276" s="837"/>
      <c r="H276" s="837"/>
      <c r="I276" s="837"/>
      <c r="J276" s="837"/>
      <c r="K276" s="837"/>
      <c r="L276" s="837"/>
      <c r="M276" s="867"/>
      <c r="N276" s="1894"/>
    </row>
    <row r="277" spans="1:14" s="15" customFormat="1" ht="12.75" thickBot="1" x14ac:dyDescent="0.25">
      <c r="A277" s="1444"/>
      <c r="B277" s="851"/>
      <c r="C277" s="837"/>
      <c r="D277" s="837"/>
      <c r="E277" s="837"/>
      <c r="F277" s="837"/>
      <c r="G277" s="837"/>
      <c r="H277" s="837"/>
      <c r="I277" s="837"/>
      <c r="J277" s="837"/>
      <c r="K277" s="837"/>
      <c r="L277" s="837"/>
      <c r="M277" s="867"/>
      <c r="N277" s="1887"/>
    </row>
    <row r="278" spans="1:14" s="15" customFormat="1" ht="19.5" thickTop="1" x14ac:dyDescent="0.3">
      <c r="A278" s="1340" t="s">
        <v>1617</v>
      </c>
      <c r="B278" s="1341"/>
      <c r="C278" s="1976"/>
      <c r="D278" s="1976"/>
      <c r="E278" s="1977"/>
      <c r="F278" s="1978"/>
      <c r="G278" s="1979"/>
      <c r="H278" s="1980"/>
      <c r="I278" s="1981"/>
      <c r="J278" s="1981"/>
      <c r="K278" s="1982"/>
      <c r="L278" s="1983"/>
      <c r="M278" s="1635"/>
      <c r="N278" s="1342"/>
    </row>
    <row r="279" spans="1:14" s="15" customFormat="1" ht="18" x14ac:dyDescent="0.25">
      <c r="A279" s="1416" t="s">
        <v>1581</v>
      </c>
      <c r="B279" s="6"/>
      <c r="C279" s="170"/>
      <c r="D279" s="170"/>
      <c r="E279" s="171"/>
      <c r="F279" s="172"/>
      <c r="G279" s="173"/>
      <c r="H279" s="174"/>
      <c r="I279" s="75"/>
      <c r="J279" s="75"/>
      <c r="K279" s="130"/>
      <c r="L279" s="175"/>
      <c r="M279" s="33"/>
      <c r="N279" s="1311"/>
    </row>
    <row r="280" spans="1:14" s="15" customFormat="1" ht="18" x14ac:dyDescent="0.25">
      <c r="A280" s="1416" t="s">
        <v>1546</v>
      </c>
      <c r="B280" s="6"/>
      <c r="C280" s="170"/>
      <c r="D280" s="170"/>
      <c r="E280" s="171"/>
      <c r="F280" s="172"/>
      <c r="G280" s="173"/>
      <c r="H280" s="174"/>
      <c r="I280" s="75"/>
      <c r="J280" s="75"/>
      <c r="K280" s="130"/>
      <c r="L280" s="175"/>
      <c r="M280" s="33"/>
      <c r="N280" s="1311"/>
    </row>
    <row r="281" spans="1:14" s="15" customFormat="1" ht="12" x14ac:dyDescent="0.2">
      <c r="A281" s="1444"/>
      <c r="B281" s="851"/>
      <c r="C281" s="837"/>
      <c r="D281" s="837"/>
      <c r="E281" s="837"/>
      <c r="F281" s="837"/>
      <c r="G281" s="837"/>
      <c r="H281" s="837"/>
      <c r="I281" s="837"/>
      <c r="J281" s="837"/>
      <c r="K281" s="837"/>
      <c r="L281" s="837"/>
      <c r="M281" s="867"/>
      <c r="N281" s="1895"/>
    </row>
    <row r="282" spans="1:14" s="15" customFormat="1" ht="12" x14ac:dyDescent="0.2">
      <c r="A282" s="1444"/>
      <c r="B282" s="851"/>
      <c r="C282" s="837"/>
      <c r="D282" s="837"/>
      <c r="E282" s="837"/>
      <c r="F282" s="837"/>
      <c r="G282" s="837"/>
      <c r="H282" s="837"/>
      <c r="I282" s="837"/>
      <c r="J282" s="837"/>
      <c r="K282" s="837"/>
      <c r="L282" s="837"/>
      <c r="M282" s="867"/>
      <c r="N282" s="1895"/>
    </row>
    <row r="283" spans="1:14" s="15" customFormat="1" ht="12" x14ac:dyDescent="0.2">
      <c r="A283" s="1444"/>
      <c r="B283" s="851"/>
      <c r="C283" s="837"/>
      <c r="D283" s="837"/>
      <c r="E283" s="837"/>
      <c r="F283" s="837"/>
      <c r="G283" s="837"/>
      <c r="H283" s="837"/>
      <c r="I283" s="837"/>
      <c r="J283" s="837"/>
      <c r="K283" s="837"/>
      <c r="L283" s="837"/>
      <c r="M283" s="867"/>
      <c r="N283" s="1895"/>
    </row>
    <row r="284" spans="1:14" s="15" customFormat="1" ht="12" x14ac:dyDescent="0.2">
      <c r="A284" s="1444"/>
      <c r="B284" s="851"/>
      <c r="C284" s="837"/>
      <c r="D284" s="837"/>
      <c r="E284" s="837"/>
      <c r="F284" s="837"/>
      <c r="G284" s="837"/>
      <c r="H284" s="837"/>
      <c r="I284" s="837"/>
      <c r="J284" s="837"/>
      <c r="K284" s="837"/>
      <c r="L284" s="837"/>
      <c r="M284" s="867"/>
      <c r="N284" s="1895"/>
    </row>
    <row r="285" spans="1:14" s="15" customFormat="1" ht="12" x14ac:dyDescent="0.2">
      <c r="A285" s="1444"/>
      <c r="B285" s="851"/>
      <c r="C285" s="837"/>
      <c r="D285" s="837"/>
      <c r="E285" s="837"/>
      <c r="F285" s="837"/>
      <c r="G285" s="837"/>
      <c r="H285" s="837"/>
      <c r="I285" s="837"/>
      <c r="J285" s="837"/>
      <c r="K285" s="837"/>
      <c r="L285" s="837"/>
      <c r="M285" s="867"/>
      <c r="N285" s="1895"/>
    </row>
    <row r="286" spans="1:14" s="15" customFormat="1" ht="12" x14ac:dyDescent="0.2">
      <c r="A286" s="1444"/>
      <c r="B286" s="851"/>
      <c r="C286" s="837"/>
      <c r="D286" s="837"/>
      <c r="E286" s="837"/>
      <c r="F286" s="837"/>
      <c r="G286" s="837"/>
      <c r="H286" s="837"/>
      <c r="I286" s="837"/>
      <c r="J286" s="837"/>
      <c r="K286" s="837"/>
      <c r="L286" s="837"/>
      <c r="M286" s="867"/>
      <c r="N286" s="1895"/>
    </row>
    <row r="287" spans="1:14" s="15" customFormat="1" ht="12" x14ac:dyDescent="0.2">
      <c r="A287" s="1444"/>
      <c r="B287" s="851"/>
      <c r="C287" s="837"/>
      <c r="D287" s="837"/>
      <c r="E287" s="837"/>
      <c r="F287" s="837"/>
      <c r="G287" s="837"/>
      <c r="H287" s="837"/>
      <c r="I287" s="837"/>
      <c r="J287" s="837"/>
      <c r="K287" s="837"/>
      <c r="L287" s="837"/>
      <c r="M287" s="867"/>
      <c r="N287" s="1895"/>
    </row>
    <row r="288" spans="1:14" s="15" customFormat="1" ht="12" x14ac:dyDescent="0.2">
      <c r="A288" s="1444"/>
      <c r="B288" s="851"/>
      <c r="C288" s="837"/>
      <c r="D288" s="837"/>
      <c r="E288" s="837"/>
      <c r="F288" s="837"/>
      <c r="G288" s="837"/>
      <c r="H288" s="837"/>
      <c r="I288" s="837"/>
      <c r="J288" s="837"/>
      <c r="K288" s="837"/>
      <c r="L288" s="837"/>
      <c r="M288" s="867"/>
      <c r="N288" s="1895"/>
    </row>
    <row r="289" spans="1:14" s="15" customFormat="1" ht="12" x14ac:dyDescent="0.2">
      <c r="A289" s="1444"/>
      <c r="B289" s="851"/>
      <c r="C289" s="837"/>
      <c r="D289" s="837"/>
      <c r="E289" s="837"/>
      <c r="F289" s="837"/>
      <c r="G289" s="837"/>
      <c r="H289" s="837"/>
      <c r="I289" s="837"/>
      <c r="J289" s="837"/>
      <c r="K289" s="837"/>
      <c r="L289" s="837"/>
      <c r="M289" s="867"/>
      <c r="N289" s="1895"/>
    </row>
    <row r="290" spans="1:14" s="15" customFormat="1" ht="12" x14ac:dyDescent="0.2">
      <c r="A290" s="1444"/>
      <c r="B290" s="851"/>
      <c r="C290" s="837"/>
      <c r="D290" s="837"/>
      <c r="E290" s="837"/>
      <c r="F290" s="837"/>
      <c r="G290" s="837"/>
      <c r="H290" s="837"/>
      <c r="I290" s="837"/>
      <c r="J290" s="837"/>
      <c r="K290" s="837"/>
      <c r="L290" s="837"/>
      <c r="M290" s="867"/>
      <c r="N290" s="1895"/>
    </row>
    <row r="291" spans="1:14" s="15" customFormat="1" ht="12" x14ac:dyDescent="0.2">
      <c r="A291" s="1444"/>
      <c r="B291" s="851"/>
      <c r="C291" s="837"/>
      <c r="D291" s="837"/>
      <c r="E291" s="837"/>
      <c r="F291" s="837"/>
      <c r="G291" s="837"/>
      <c r="H291" s="837"/>
      <c r="I291" s="837"/>
      <c r="J291" s="837"/>
      <c r="K291" s="837"/>
      <c r="L291" s="837"/>
      <c r="M291" s="867"/>
      <c r="N291" s="1895"/>
    </row>
    <row r="292" spans="1:14" s="15" customFormat="1" ht="12" x14ac:dyDescent="0.2">
      <c r="A292" s="1444"/>
      <c r="B292" s="851"/>
      <c r="C292" s="837"/>
      <c r="D292" s="837"/>
      <c r="E292" s="837"/>
      <c r="F292" s="837"/>
      <c r="G292" s="837"/>
      <c r="H292" s="837"/>
      <c r="I292" s="837"/>
      <c r="J292" s="837"/>
      <c r="K292" s="837"/>
      <c r="L292" s="837"/>
      <c r="M292" s="867"/>
      <c r="N292" s="1895"/>
    </row>
    <row r="293" spans="1:14" s="15" customFormat="1" ht="12" x14ac:dyDescent="0.2">
      <c r="A293" s="1444"/>
      <c r="B293" s="851"/>
      <c r="C293" s="837"/>
      <c r="D293" s="837"/>
      <c r="E293" s="837"/>
      <c r="F293" s="837"/>
      <c r="G293" s="837"/>
      <c r="H293" s="837"/>
      <c r="I293" s="837"/>
      <c r="J293" s="837"/>
      <c r="K293" s="837"/>
      <c r="L293" s="837"/>
      <c r="M293" s="867"/>
      <c r="N293" s="1895"/>
    </row>
    <row r="294" spans="1:14" s="15" customFormat="1" ht="12" x14ac:dyDescent="0.2">
      <c r="A294" s="1444"/>
      <c r="B294" s="851"/>
      <c r="C294" s="837"/>
      <c r="D294" s="837"/>
      <c r="E294" s="837"/>
      <c r="F294" s="837"/>
      <c r="G294" s="837"/>
      <c r="H294" s="837"/>
      <c r="I294" s="837"/>
      <c r="J294" s="837"/>
      <c r="K294" s="837"/>
      <c r="L294" s="837"/>
      <c r="M294" s="867"/>
      <c r="N294" s="1895"/>
    </row>
    <row r="295" spans="1:14" s="15" customFormat="1" ht="12" x14ac:dyDescent="0.2">
      <c r="A295" s="1444"/>
      <c r="B295" s="851"/>
      <c r="C295" s="837"/>
      <c r="D295" s="837"/>
      <c r="E295" s="837"/>
      <c r="F295" s="837"/>
      <c r="G295" s="837"/>
      <c r="H295" s="837"/>
      <c r="I295" s="837"/>
      <c r="J295" s="837"/>
      <c r="K295" s="837"/>
      <c r="L295" s="837"/>
      <c r="M295" s="867"/>
      <c r="N295" s="1895"/>
    </row>
    <row r="296" spans="1:14" s="15" customFormat="1" ht="12" x14ac:dyDescent="0.2">
      <c r="A296" s="1444"/>
      <c r="B296" s="851"/>
      <c r="C296" s="837"/>
      <c r="D296" s="837"/>
      <c r="E296" s="837"/>
      <c r="F296" s="837"/>
      <c r="G296" s="837"/>
      <c r="H296" s="837"/>
      <c r="I296" s="837"/>
      <c r="J296" s="837"/>
      <c r="K296" s="837"/>
      <c r="L296" s="837"/>
      <c r="M296" s="867"/>
      <c r="N296" s="1895"/>
    </row>
    <row r="297" spans="1:14" s="15" customFormat="1" ht="12" x14ac:dyDescent="0.2">
      <c r="A297" s="1444"/>
      <c r="B297" s="851"/>
      <c r="C297" s="837"/>
      <c r="D297" s="837"/>
      <c r="E297" s="837"/>
      <c r="F297" s="837"/>
      <c r="G297" s="837"/>
      <c r="H297" s="837"/>
      <c r="I297" s="837"/>
      <c r="J297" s="837"/>
      <c r="K297" s="837"/>
      <c r="L297" s="837"/>
      <c r="M297" s="867"/>
      <c r="N297" s="1895"/>
    </row>
    <row r="298" spans="1:14" s="15" customFormat="1" ht="12" x14ac:dyDescent="0.2">
      <c r="A298" s="1444"/>
      <c r="B298" s="851"/>
      <c r="C298" s="837"/>
      <c r="D298" s="837"/>
      <c r="E298" s="837"/>
      <c r="F298" s="837"/>
      <c r="G298" s="837"/>
      <c r="H298" s="837"/>
      <c r="I298" s="837"/>
      <c r="J298" s="837"/>
      <c r="K298" s="837"/>
      <c r="L298" s="837"/>
      <c r="M298" s="867"/>
      <c r="N298" s="1895"/>
    </row>
    <row r="299" spans="1:14" s="15" customFormat="1" ht="12" x14ac:dyDescent="0.2">
      <c r="A299" s="1444"/>
      <c r="B299" s="851"/>
      <c r="C299" s="837"/>
      <c r="D299" s="837"/>
      <c r="E299" s="837"/>
      <c r="F299" s="837"/>
      <c r="G299" s="837"/>
      <c r="H299" s="837"/>
      <c r="I299" s="837"/>
      <c r="J299" s="837"/>
      <c r="K299" s="837"/>
      <c r="L299" s="837"/>
      <c r="M299" s="867"/>
      <c r="N299" s="1895"/>
    </row>
    <row r="300" spans="1:14" s="15" customFormat="1" ht="12.75" thickBot="1" x14ac:dyDescent="0.25">
      <c r="A300" s="1994"/>
      <c r="B300" s="1995"/>
      <c r="C300" s="1885"/>
      <c r="D300" s="1885"/>
      <c r="E300" s="1885"/>
      <c r="F300" s="1885"/>
      <c r="G300" s="1885"/>
      <c r="H300" s="1885"/>
      <c r="I300" s="1885"/>
      <c r="J300" s="1885"/>
      <c r="K300" s="1885"/>
      <c r="L300" s="1885"/>
      <c r="M300" s="1996"/>
      <c r="N300" s="1887"/>
    </row>
    <row r="301" spans="1:14" s="15" customFormat="1" ht="12.75" thickTop="1" x14ac:dyDescent="0.2">
      <c r="A301" s="1444"/>
      <c r="B301" s="851"/>
      <c r="C301" s="837"/>
      <c r="D301" s="837"/>
      <c r="E301" s="837"/>
      <c r="F301" s="837"/>
      <c r="G301" s="837"/>
      <c r="H301" s="837"/>
      <c r="I301" s="837"/>
      <c r="J301" s="837"/>
      <c r="K301" s="837"/>
      <c r="L301" s="837"/>
      <c r="M301" s="867"/>
      <c r="N301" s="837"/>
    </row>
    <row r="302" spans="1:14" s="15" customFormat="1" ht="11.25" x14ac:dyDescent="0.2">
      <c r="A302" s="168"/>
      <c r="B302" s="70"/>
      <c r="C302" s="274"/>
      <c r="D302" s="274"/>
      <c r="E302" s="344"/>
      <c r="F302" s="344"/>
      <c r="G302" s="344"/>
      <c r="H302" s="344"/>
      <c r="I302" s="71"/>
      <c r="J302" s="71"/>
      <c r="K302" s="71"/>
      <c r="L302" s="71"/>
      <c r="M302" s="71"/>
      <c r="N302" s="71"/>
    </row>
    <row r="303" spans="1:14" s="15" customFormat="1" ht="12" thickBot="1" x14ac:dyDescent="0.25">
      <c r="A303" s="168"/>
      <c r="B303" s="70"/>
      <c r="C303" s="274"/>
      <c r="D303" s="274"/>
      <c r="E303" s="344"/>
      <c r="F303" s="344"/>
      <c r="G303" s="344"/>
      <c r="H303" s="344"/>
      <c r="I303" s="71"/>
      <c r="J303" s="71"/>
      <c r="K303" s="71"/>
      <c r="L303" s="71"/>
      <c r="M303" s="71"/>
      <c r="N303" s="71"/>
    </row>
    <row r="304" spans="1:14" s="15" customFormat="1" ht="19.5" thickTop="1" x14ac:dyDescent="0.3">
      <c r="A304" s="265" t="s">
        <v>609</v>
      </c>
      <c r="B304" s="444"/>
      <c r="C304" s="271"/>
      <c r="D304" s="271"/>
      <c r="E304" s="198"/>
      <c r="F304" s="198"/>
      <c r="G304" s="198"/>
      <c r="H304" s="198"/>
      <c r="I304" s="201"/>
      <c r="J304" s="201"/>
      <c r="K304" s="201"/>
      <c r="L304" s="201"/>
      <c r="M304" s="201"/>
      <c r="N304" s="445"/>
    </row>
    <row r="305" spans="1:16" s="15" customFormat="1" x14ac:dyDescent="0.25">
      <c r="A305" s="1267" t="s">
        <v>1194</v>
      </c>
      <c r="B305" s="3"/>
      <c r="C305" s="274"/>
      <c r="D305" s="274"/>
      <c r="E305" s="73"/>
      <c r="F305" s="73"/>
      <c r="G305" s="73"/>
      <c r="H305" s="73"/>
      <c r="I305" s="71"/>
      <c r="J305" s="71"/>
      <c r="K305" s="71"/>
      <c r="L305" s="71"/>
      <c r="M305" s="71"/>
      <c r="N305" s="446"/>
    </row>
    <row r="306" spans="1:16" s="15" customFormat="1" x14ac:dyDescent="0.25">
      <c r="A306" s="139" t="s">
        <v>299</v>
      </c>
      <c r="B306" s="3"/>
      <c r="C306" s="274"/>
      <c r="D306" s="274"/>
      <c r="E306" s="73"/>
      <c r="F306" s="73"/>
      <c r="G306" s="73"/>
      <c r="H306" s="73"/>
      <c r="I306" s="71"/>
      <c r="J306" s="71"/>
      <c r="K306" s="71"/>
      <c r="L306" s="71"/>
      <c r="M306" s="71"/>
      <c r="N306" s="446"/>
    </row>
    <row r="307" spans="1:16" s="15" customFormat="1" x14ac:dyDescent="0.25">
      <c r="A307" s="1416" t="s">
        <v>3678</v>
      </c>
      <c r="B307" s="3"/>
      <c r="C307" s="274"/>
      <c r="D307" s="274"/>
      <c r="E307" s="73"/>
      <c r="F307" s="73"/>
      <c r="G307" s="73"/>
      <c r="H307" s="73"/>
      <c r="I307" s="71"/>
      <c r="J307" s="71"/>
      <c r="K307" s="71"/>
      <c r="L307" s="71"/>
      <c r="M307" s="71"/>
      <c r="N307" s="1430"/>
    </row>
    <row r="308" spans="1:16" s="15" customFormat="1" x14ac:dyDescent="0.25">
      <c r="A308" s="64" t="s">
        <v>296</v>
      </c>
      <c r="B308" s="3"/>
      <c r="C308" s="274"/>
      <c r="D308" s="274"/>
      <c r="E308" s="73"/>
      <c r="F308" s="73"/>
      <c r="G308" s="73"/>
      <c r="H308" s="73"/>
      <c r="I308" s="71"/>
      <c r="J308" s="71"/>
      <c r="K308" s="71"/>
      <c r="L308" s="71"/>
      <c r="M308" s="71"/>
      <c r="N308" s="446"/>
    </row>
    <row r="309" spans="1:16" s="15" customFormat="1" ht="16.5" x14ac:dyDescent="0.3">
      <c r="A309" s="139"/>
      <c r="B309" s="3"/>
      <c r="C309" s="274"/>
      <c r="D309" s="274"/>
      <c r="E309" s="1065" t="s">
        <v>331</v>
      </c>
      <c r="F309" s="91"/>
      <c r="G309" s="449"/>
      <c r="H309" s="152"/>
      <c r="I309" s="979" t="s">
        <v>1449</v>
      </c>
      <c r="J309" s="121"/>
      <c r="K309" s="979" t="s">
        <v>1107</v>
      </c>
      <c r="L309" s="1474"/>
      <c r="M309" s="71"/>
      <c r="N309" s="446"/>
    </row>
    <row r="310" spans="1:16" s="15" customFormat="1" ht="13.5" thickBot="1" x14ac:dyDescent="0.25">
      <c r="A310" s="302"/>
      <c r="B310" s="3"/>
      <c r="C310" s="274"/>
      <c r="D310" s="274"/>
      <c r="E310" s="73"/>
      <c r="F310" s="73"/>
      <c r="G310" s="73"/>
      <c r="H310" s="73"/>
      <c r="I310" s="71"/>
      <c r="J310" s="71"/>
      <c r="K310" s="71"/>
      <c r="L310" s="71"/>
      <c r="M310" s="71"/>
      <c r="N310" s="529"/>
    </row>
    <row r="311" spans="1:16" s="447" customFormat="1" ht="97.5" thickTop="1" thickBot="1" x14ac:dyDescent="0.25">
      <c r="A311" s="236" t="s">
        <v>142</v>
      </c>
      <c r="B311" s="237" t="s">
        <v>143</v>
      </c>
      <c r="C311" s="511" t="s">
        <v>499</v>
      </c>
      <c r="D311" s="511" t="s">
        <v>500</v>
      </c>
      <c r="E311" s="460" t="s">
        <v>501</v>
      </c>
      <c r="F311" s="460" t="s">
        <v>502</v>
      </c>
      <c r="G311" s="460" t="s">
        <v>503</v>
      </c>
      <c r="H311" s="460" t="s">
        <v>504</v>
      </c>
      <c r="I311" s="1007" t="s">
        <v>505</v>
      </c>
      <c r="J311" s="1007" t="s">
        <v>506</v>
      </c>
      <c r="K311" s="431" t="s">
        <v>507</v>
      </c>
      <c r="L311" s="431" t="s">
        <v>508</v>
      </c>
      <c r="M311" s="1008" t="s">
        <v>1587</v>
      </c>
      <c r="N311" s="1425" t="s">
        <v>1586</v>
      </c>
    </row>
    <row r="312" spans="1:16" s="15" customFormat="1" ht="12.75" thickTop="1" x14ac:dyDescent="0.2">
      <c r="A312" s="850">
        <f>'1. AgeData'!$D$30</f>
        <v>60</v>
      </c>
      <c r="B312" s="851">
        <f>'1. AgeData'!$D$31</f>
        <v>55</v>
      </c>
      <c r="C312" s="1431">
        <f>IF('S. Setup'!$K$35="used",'3. WorkData'!F69,0)</f>
        <v>50000</v>
      </c>
      <c r="D312" s="1432">
        <f>IF('S. Setup'!$K$35="used",'3. WorkData'!J69,0)</f>
        <v>40000</v>
      </c>
      <c r="E312" s="854">
        <f>IF('S. Setup'!$K$38="used",'6. AnnuityData'!C103,0)</f>
        <v>0</v>
      </c>
      <c r="F312" s="856">
        <f>IF('S. Setup'!$K$38="used",'6. AnnuityData'!D103,0)</f>
        <v>0</v>
      </c>
      <c r="G312" s="856">
        <f>IF('S. Setup'!$K$38="used",'6. AnnuityData'!E103,0)</f>
        <v>0</v>
      </c>
      <c r="H312" s="855">
        <f>IF('S. Setup'!$K$38="used",'6. AnnuityData'!F103,0)</f>
        <v>0</v>
      </c>
      <c r="I312" s="857">
        <f>C312+E312+G312</f>
        <v>50000</v>
      </c>
      <c r="J312" s="859">
        <f>D312+F312+H312</f>
        <v>40000</v>
      </c>
      <c r="K312" s="1106">
        <f t="shared" ref="K312:K348" si="21">C312+E312+FC312</f>
        <v>50000</v>
      </c>
      <c r="L312" s="1107">
        <f>D312+F312+H312</f>
        <v>40000</v>
      </c>
      <c r="M312" s="857">
        <f>K312+L312</f>
        <v>90000</v>
      </c>
      <c r="N312" s="997">
        <f t="shared" ref="N312:N348" si="22">M239+M312</f>
        <v>101000</v>
      </c>
      <c r="P312" s="2056"/>
    </row>
    <row r="313" spans="1:16" s="15" customFormat="1" ht="12" x14ac:dyDescent="0.2">
      <c r="A313" s="850">
        <f>A312+1</f>
        <v>61</v>
      </c>
      <c r="B313" s="851">
        <f>B312+1</f>
        <v>56</v>
      </c>
      <c r="C313" s="857">
        <f>IF('S. Setup'!$K$35="used",'3. WorkData'!F70,0)</f>
        <v>51000</v>
      </c>
      <c r="D313" s="858">
        <f>IF('S. Setup'!$K$35="used",'3. WorkData'!J70,0)</f>
        <v>40599.999999999993</v>
      </c>
      <c r="E313" s="857">
        <f>IF('S. Setup'!$K$38="used",'6. AnnuityData'!C104,0)</f>
        <v>0</v>
      </c>
      <c r="F313" s="859">
        <f>IF('S. Setup'!$K$38="used",'6. AnnuityData'!D104,0)</f>
        <v>0</v>
      </c>
      <c r="G313" s="859">
        <f>IF('S. Setup'!$K$38="used",'6. AnnuityData'!E104,0)</f>
        <v>0</v>
      </c>
      <c r="H313" s="858">
        <f>IF('S. Setup'!$K$38="used",'6. AnnuityData'!F104,0)</f>
        <v>0</v>
      </c>
      <c r="I313" s="857">
        <f t="shared" ref="I313:I348" si="23">C313+E313+G313</f>
        <v>51000</v>
      </c>
      <c r="J313" s="859">
        <f t="shared" ref="J313:J348" si="24">D313+F313+H313</f>
        <v>40599.999999999993</v>
      </c>
      <c r="K313" s="1106">
        <f t="shared" si="21"/>
        <v>51000</v>
      </c>
      <c r="L313" s="1107">
        <f t="shared" ref="L313:L348" si="25">D313+F313+H313</f>
        <v>40599.999999999993</v>
      </c>
      <c r="M313" s="857">
        <f>K313+L313</f>
        <v>91600</v>
      </c>
      <c r="N313" s="997">
        <f t="shared" si="22"/>
        <v>102820</v>
      </c>
    </row>
    <row r="314" spans="1:16" s="15" customFormat="1" ht="12" x14ac:dyDescent="0.2">
      <c r="A314" s="850">
        <f t="shared" ref="A314:A348" si="26">A313+1</f>
        <v>62</v>
      </c>
      <c r="B314" s="871">
        <f t="shared" ref="B314:B348" si="27">B313+1</f>
        <v>57</v>
      </c>
      <c r="C314" s="857">
        <f>IF('S. Setup'!$K$35="used",'3. WorkData'!F71,0)</f>
        <v>52020</v>
      </c>
      <c r="D314" s="858">
        <f>IF('S. Setup'!$K$35="used",'3. WorkData'!J71,0)</f>
        <v>41208.999999999985</v>
      </c>
      <c r="E314" s="857">
        <f>IF('S. Setup'!$K$38="used",'6. AnnuityData'!C105,0)</f>
        <v>0</v>
      </c>
      <c r="F314" s="859">
        <f>IF('S. Setup'!$K$38="used",'6. AnnuityData'!D105,0)</f>
        <v>0</v>
      </c>
      <c r="G314" s="859">
        <f>IF('S. Setup'!$K$38="used",'6. AnnuityData'!E105,0)</f>
        <v>0</v>
      </c>
      <c r="H314" s="858">
        <f>IF('S. Setup'!$K$38="used",'6. AnnuityData'!F105,0)</f>
        <v>0</v>
      </c>
      <c r="I314" s="857">
        <f t="shared" si="23"/>
        <v>52020</v>
      </c>
      <c r="J314" s="859">
        <f t="shared" si="24"/>
        <v>41208.999999999985</v>
      </c>
      <c r="K314" s="1106">
        <f t="shared" si="21"/>
        <v>52020</v>
      </c>
      <c r="L314" s="1107">
        <f t="shared" si="25"/>
        <v>41208.999999999985</v>
      </c>
      <c r="M314" s="857">
        <f t="shared" ref="M314:M348" si="28">K314+L314</f>
        <v>93228.999999999985</v>
      </c>
      <c r="N314" s="997">
        <f t="shared" si="22"/>
        <v>104673.39999999998</v>
      </c>
    </row>
    <row r="315" spans="1:16" s="15" customFormat="1" ht="12" x14ac:dyDescent="0.2">
      <c r="A315" s="872">
        <f t="shared" si="26"/>
        <v>63</v>
      </c>
      <c r="B315" s="851">
        <f t="shared" si="27"/>
        <v>58</v>
      </c>
      <c r="C315" s="857">
        <f>IF('S. Setup'!$K$35="used",'3. WorkData'!F72,0)</f>
        <v>40603.004999999983</v>
      </c>
      <c r="D315" s="858">
        <f>IF('S. Setup'!$K$35="used",'3. WorkData'!J72,0)</f>
        <v>15685.175624999994</v>
      </c>
      <c r="E315" s="857">
        <f>IF('S. Setup'!$K$38="used",'6. AnnuityData'!C106,0)</f>
        <v>0</v>
      </c>
      <c r="F315" s="859">
        <f>IF('S. Setup'!$K$38="used",'6. AnnuityData'!D106,0)</f>
        <v>0</v>
      </c>
      <c r="G315" s="859">
        <f>IF('S. Setup'!$K$38="used",'6. AnnuityData'!E106,0)</f>
        <v>0</v>
      </c>
      <c r="H315" s="858">
        <f>IF('S. Setup'!$K$38="used",'6. AnnuityData'!F106,0)</f>
        <v>0</v>
      </c>
      <c r="I315" s="857">
        <f t="shared" si="23"/>
        <v>40603.004999999983</v>
      </c>
      <c r="J315" s="859">
        <f t="shared" si="24"/>
        <v>15685.175624999994</v>
      </c>
      <c r="K315" s="1106">
        <f t="shared" si="21"/>
        <v>40603.004999999983</v>
      </c>
      <c r="L315" s="1107">
        <f t="shared" si="25"/>
        <v>15685.175624999994</v>
      </c>
      <c r="M315" s="857">
        <f t="shared" si="28"/>
        <v>56288.180624999979</v>
      </c>
      <c r="N315" s="997">
        <f t="shared" si="22"/>
        <v>67961.46862499998</v>
      </c>
    </row>
    <row r="316" spans="1:16" s="15" customFormat="1" ht="12" x14ac:dyDescent="0.2">
      <c r="A316" s="850">
        <f t="shared" si="26"/>
        <v>64</v>
      </c>
      <c r="B316" s="851">
        <f t="shared" si="27"/>
        <v>59</v>
      </c>
      <c r="C316" s="857">
        <f>IF('S. Setup'!$K$35="used",'3. WorkData'!F73,0)</f>
        <v>40806.020024999976</v>
      </c>
      <c r="D316" s="858">
        <f>IF('S. Setup'!$K$35="used",'3. WorkData'!J73,0)</f>
        <v>15920.453259374992</v>
      </c>
      <c r="E316" s="857">
        <f>IF('S. Setup'!$K$38="used",'6. AnnuityData'!C107,0)</f>
        <v>0</v>
      </c>
      <c r="F316" s="859">
        <f>IF('S. Setup'!$K$38="used",'6. AnnuityData'!D107,0)</f>
        <v>0</v>
      </c>
      <c r="G316" s="859">
        <f>IF('S. Setup'!$K$38="used",'6. AnnuityData'!E107,0)</f>
        <v>0</v>
      </c>
      <c r="H316" s="858">
        <f>IF('S. Setup'!$K$38="used",'6. AnnuityData'!F107,0)</f>
        <v>0</v>
      </c>
      <c r="I316" s="857">
        <f t="shared" si="23"/>
        <v>40806.020024999976</v>
      </c>
      <c r="J316" s="859">
        <f t="shared" si="24"/>
        <v>15920.453259374992</v>
      </c>
      <c r="K316" s="1106">
        <f t="shared" si="21"/>
        <v>40806.020024999976</v>
      </c>
      <c r="L316" s="1107">
        <f t="shared" si="25"/>
        <v>15920.453259374992</v>
      </c>
      <c r="M316" s="857">
        <f t="shared" si="28"/>
        <v>56726.473284374966</v>
      </c>
      <c r="N316" s="997">
        <f t="shared" si="22"/>
        <v>68633.227044374973</v>
      </c>
    </row>
    <row r="317" spans="1:16" s="15" customFormat="1" ht="12" x14ac:dyDescent="0.2">
      <c r="A317" s="850">
        <f t="shared" si="26"/>
        <v>65</v>
      </c>
      <c r="B317" s="851">
        <f t="shared" si="27"/>
        <v>60</v>
      </c>
      <c r="C317" s="857">
        <f>IF('S. Setup'!$K$35="used",'3. WorkData'!F74,0)</f>
        <v>41010.050125124966</v>
      </c>
      <c r="D317" s="858">
        <f>IF('S. Setup'!$K$35="used",'3. WorkData'!J74,0)</f>
        <v>16159.260058265614</v>
      </c>
      <c r="E317" s="857">
        <f>IF('S. Setup'!$K$38="used",'6. AnnuityData'!C108,0)</f>
        <v>0</v>
      </c>
      <c r="F317" s="859">
        <f>IF('S. Setup'!$K$38="used",'6. AnnuityData'!D108,0)</f>
        <v>0</v>
      </c>
      <c r="G317" s="859">
        <f>IF('S. Setup'!$K$38="used",'6. AnnuityData'!E108,0)</f>
        <v>0</v>
      </c>
      <c r="H317" s="858">
        <f>IF('S. Setup'!$K$38="used",'6. AnnuityData'!F108,0)</f>
        <v>0</v>
      </c>
      <c r="I317" s="857">
        <f t="shared" si="23"/>
        <v>41010.050125124966</v>
      </c>
      <c r="J317" s="859">
        <f t="shared" si="24"/>
        <v>16159.260058265614</v>
      </c>
      <c r="K317" s="1106">
        <f t="shared" si="21"/>
        <v>41010.050125124966</v>
      </c>
      <c r="L317" s="1107">
        <f t="shared" si="25"/>
        <v>16159.260058265614</v>
      </c>
      <c r="M317" s="857">
        <f t="shared" si="28"/>
        <v>57169.310183390582</v>
      </c>
      <c r="N317" s="997">
        <f t="shared" si="22"/>
        <v>69314.199018590589</v>
      </c>
    </row>
    <row r="318" spans="1:16" s="15" customFormat="1" ht="12" x14ac:dyDescent="0.2">
      <c r="A318" s="850">
        <f t="shared" si="26"/>
        <v>66</v>
      </c>
      <c r="B318" s="851">
        <f t="shared" si="27"/>
        <v>61</v>
      </c>
      <c r="C318" s="857">
        <f>IF('S. Setup'!$K$35="used",'3. WorkData'!F75,0)</f>
        <v>41215.100375750582</v>
      </c>
      <c r="D318" s="858">
        <f>IF('S. Setup'!$K$35="used",'3. WorkData'!J75,0)</f>
        <v>16401.648959139595</v>
      </c>
      <c r="E318" s="857">
        <f>IF('S. Setup'!$K$38="used",'6. AnnuityData'!C109,0)</f>
        <v>3000</v>
      </c>
      <c r="F318" s="859">
        <f>IF('S. Setup'!$K$38="used",'6. AnnuityData'!D109,0)</f>
        <v>0</v>
      </c>
      <c r="G318" s="859">
        <f>IF('S. Setup'!$K$38="used",'6. AnnuityData'!E109,0)</f>
        <v>0</v>
      </c>
      <c r="H318" s="858">
        <f>IF('S. Setup'!$K$38="used",'6. AnnuityData'!F109,0)</f>
        <v>0</v>
      </c>
      <c r="I318" s="857">
        <f t="shared" si="23"/>
        <v>44215.100375750582</v>
      </c>
      <c r="J318" s="859">
        <f t="shared" si="24"/>
        <v>16401.648959139595</v>
      </c>
      <c r="K318" s="1106">
        <f t="shared" si="21"/>
        <v>44215.100375750582</v>
      </c>
      <c r="L318" s="1107">
        <f t="shared" si="25"/>
        <v>16401.648959139595</v>
      </c>
      <c r="M318" s="857">
        <f t="shared" si="28"/>
        <v>60616.749334890177</v>
      </c>
      <c r="N318" s="997">
        <f t="shared" si="22"/>
        <v>128584.93075466579</v>
      </c>
    </row>
    <row r="319" spans="1:16" s="15" customFormat="1" ht="12" x14ac:dyDescent="0.2">
      <c r="A319" s="850">
        <f t="shared" si="26"/>
        <v>67</v>
      </c>
      <c r="B319" s="851">
        <f t="shared" si="27"/>
        <v>62</v>
      </c>
      <c r="C319" s="857">
        <f>IF('S. Setup'!$K$35="used",'3. WorkData'!F76,0)</f>
        <v>41421.175877629335</v>
      </c>
      <c r="D319" s="858">
        <f>IF('S. Setup'!$K$35="used",'3. WorkData'!J76,0)</f>
        <v>16647.673693526685</v>
      </c>
      <c r="E319" s="857">
        <f>IF('S. Setup'!$K$38="used",'6. AnnuityData'!C110,0)</f>
        <v>3060</v>
      </c>
      <c r="F319" s="859">
        <f>IF('S. Setup'!$K$38="used",'6. AnnuityData'!D110,0)</f>
        <v>0</v>
      </c>
      <c r="G319" s="859">
        <f>IF('S. Setup'!$K$38="used",'6. AnnuityData'!E110,0)</f>
        <v>0</v>
      </c>
      <c r="H319" s="858">
        <f>IF('S. Setup'!$K$38="used",'6. AnnuityData'!F110,0)</f>
        <v>0</v>
      </c>
      <c r="I319" s="857">
        <f t="shared" si="23"/>
        <v>44481.175877629335</v>
      </c>
      <c r="J319" s="859">
        <f t="shared" si="24"/>
        <v>16647.673693526685</v>
      </c>
      <c r="K319" s="1106">
        <f t="shared" si="21"/>
        <v>44481.175877629335</v>
      </c>
      <c r="L319" s="1107">
        <f t="shared" si="25"/>
        <v>16647.673693526685</v>
      </c>
      <c r="M319" s="857">
        <f t="shared" si="28"/>
        <v>61128.849571156024</v>
      </c>
      <c r="N319" s="997">
        <f t="shared" si="22"/>
        <v>130456.39461932714</v>
      </c>
    </row>
    <row r="320" spans="1:16" s="15" customFormat="1" ht="12" x14ac:dyDescent="0.2">
      <c r="A320" s="850">
        <f t="shared" si="26"/>
        <v>68</v>
      </c>
      <c r="B320" s="851">
        <f t="shared" si="27"/>
        <v>63</v>
      </c>
      <c r="C320" s="857">
        <f>IF('S. Setup'!$K$35="used",'3. WorkData'!F77,0)</f>
        <v>41628.281757017474</v>
      </c>
      <c r="D320" s="858">
        <f>IF('S. Setup'!$K$35="used",'3. WorkData'!J77,0)</f>
        <v>16897.388798929587</v>
      </c>
      <c r="E320" s="857">
        <f>IF('S. Setup'!$K$38="used",'6. AnnuityData'!C111,0)</f>
        <v>3121.2000000000003</v>
      </c>
      <c r="F320" s="859">
        <f>IF('S. Setup'!$K$38="used",'6. AnnuityData'!D111,0)</f>
        <v>0</v>
      </c>
      <c r="G320" s="859">
        <f>IF('S. Setup'!$K$38="used",'6. AnnuityData'!E111,0)</f>
        <v>0</v>
      </c>
      <c r="H320" s="858">
        <f>IF('S. Setup'!$K$38="used",'6. AnnuityData'!F111,0)</f>
        <v>0</v>
      </c>
      <c r="I320" s="857">
        <f t="shared" si="23"/>
        <v>44749.481757017471</v>
      </c>
      <c r="J320" s="859">
        <f t="shared" si="24"/>
        <v>16897.388798929587</v>
      </c>
      <c r="K320" s="1106">
        <f t="shared" si="21"/>
        <v>44749.481757017471</v>
      </c>
      <c r="L320" s="1107">
        <f t="shared" si="25"/>
        <v>16897.388798929587</v>
      </c>
      <c r="M320" s="857">
        <f t="shared" si="28"/>
        <v>61646.870555947055</v>
      </c>
      <c r="N320" s="997">
        <f t="shared" si="22"/>
        <v>132360.96650508163</v>
      </c>
    </row>
    <row r="321" spans="1:14" s="15" customFormat="1" ht="12" x14ac:dyDescent="0.2">
      <c r="A321" s="850">
        <f t="shared" si="26"/>
        <v>69</v>
      </c>
      <c r="B321" s="851">
        <f t="shared" si="27"/>
        <v>64</v>
      </c>
      <c r="C321" s="857">
        <f>IF('S. Setup'!$K$35="used",'3. WorkData'!F78,0)</f>
        <v>41836.42316580256</v>
      </c>
      <c r="D321" s="858">
        <f>IF('S. Setup'!$K$35="used",'3. WorkData'!J78,0)</f>
        <v>17150.849630913526</v>
      </c>
      <c r="E321" s="857">
        <f>IF('S. Setup'!$K$38="used",'6. AnnuityData'!C112,0)</f>
        <v>3183.6240000000003</v>
      </c>
      <c r="F321" s="859">
        <f>IF('S. Setup'!$K$38="used",'6. AnnuityData'!D112,0)</f>
        <v>0</v>
      </c>
      <c r="G321" s="859">
        <f>IF('S. Setup'!$K$38="used",'6. AnnuityData'!E112,0)</f>
        <v>0</v>
      </c>
      <c r="H321" s="858">
        <f>IF('S. Setup'!$K$38="used",'6. AnnuityData'!F112,0)</f>
        <v>0</v>
      </c>
      <c r="I321" s="857">
        <f t="shared" si="23"/>
        <v>45020.047165802564</v>
      </c>
      <c r="J321" s="859">
        <f t="shared" si="24"/>
        <v>17150.849630913526</v>
      </c>
      <c r="K321" s="1106">
        <f t="shared" si="21"/>
        <v>45020.047165802564</v>
      </c>
      <c r="L321" s="1107">
        <f t="shared" si="25"/>
        <v>17150.849630913526</v>
      </c>
      <c r="M321" s="857">
        <f t="shared" si="28"/>
        <v>62170.896796716086</v>
      </c>
      <c r="N321" s="997">
        <f t="shared" si="22"/>
        <v>155122.56758050848</v>
      </c>
    </row>
    <row r="322" spans="1:14" s="15" customFormat="1" ht="12" x14ac:dyDescent="0.2">
      <c r="A322" s="850">
        <f t="shared" si="26"/>
        <v>70</v>
      </c>
      <c r="B322" s="871">
        <f t="shared" si="27"/>
        <v>65</v>
      </c>
      <c r="C322" s="857">
        <f>IF('S. Setup'!$K$35="used",'3. WorkData'!F79,0)</f>
        <v>42045.605281631564</v>
      </c>
      <c r="D322" s="858">
        <f>IF('S. Setup'!$K$35="used",'3. WorkData'!J79,0)</f>
        <v>17408.11237537723</v>
      </c>
      <c r="E322" s="857">
        <f>IF('S. Setup'!$K$38="used",'6. AnnuityData'!C113,0)</f>
        <v>3247.2964800000004</v>
      </c>
      <c r="F322" s="859">
        <f>IF('S. Setup'!$K$38="used",'6. AnnuityData'!D113,0)</f>
        <v>3500</v>
      </c>
      <c r="G322" s="859">
        <f>IF('S. Setup'!$K$38="used",'6. AnnuityData'!E113,0)</f>
        <v>0</v>
      </c>
      <c r="H322" s="858">
        <f>IF('S. Setup'!$K$38="used",'6. AnnuityData'!F113,0)</f>
        <v>0</v>
      </c>
      <c r="I322" s="857">
        <f t="shared" si="23"/>
        <v>45292.901761631561</v>
      </c>
      <c r="J322" s="859">
        <f t="shared" si="24"/>
        <v>20908.11237537723</v>
      </c>
      <c r="K322" s="1106">
        <f t="shared" si="21"/>
        <v>45292.901761631561</v>
      </c>
      <c r="L322" s="1107">
        <f t="shared" si="25"/>
        <v>20908.11237537723</v>
      </c>
      <c r="M322" s="857">
        <f t="shared" si="28"/>
        <v>66201.014137008795</v>
      </c>
      <c r="N322" s="997">
        <f t="shared" si="22"/>
        <v>161011.71833647706</v>
      </c>
    </row>
    <row r="323" spans="1:14" s="15" customFormat="1" ht="12" x14ac:dyDescent="0.2">
      <c r="A323" s="850">
        <f t="shared" si="26"/>
        <v>71</v>
      </c>
      <c r="B323" s="851">
        <f t="shared" si="27"/>
        <v>66</v>
      </c>
      <c r="C323" s="857">
        <f>IF('S. Setup'!$K$35="used",'3. WorkData'!F80,0)</f>
        <v>42255.833308039721</v>
      </c>
      <c r="D323" s="858">
        <f>IF('S. Setup'!$K$35="used",'3. WorkData'!J80,0)</f>
        <v>17669.234061007886</v>
      </c>
      <c r="E323" s="857">
        <f>IF('S. Setup'!$K$38="used",'6. AnnuityData'!C114,0)</f>
        <v>3312.2424096000004</v>
      </c>
      <c r="F323" s="859">
        <f>IF('S. Setup'!$K$38="used",'6. AnnuityData'!D114,0)</f>
        <v>3500</v>
      </c>
      <c r="G323" s="859">
        <f>IF('S. Setup'!$K$38="used",'6. AnnuityData'!E114,0)</f>
        <v>0</v>
      </c>
      <c r="H323" s="858">
        <f>IF('S. Setup'!$K$38="used",'6. AnnuityData'!F114,0)</f>
        <v>0</v>
      </c>
      <c r="I323" s="857">
        <f t="shared" si="23"/>
        <v>45568.075717639724</v>
      </c>
      <c r="J323" s="859">
        <f t="shared" si="24"/>
        <v>21169.234061007886</v>
      </c>
      <c r="K323" s="1106">
        <f t="shared" si="21"/>
        <v>45568.075717639724</v>
      </c>
      <c r="L323" s="1107">
        <f t="shared" si="25"/>
        <v>21169.234061007886</v>
      </c>
      <c r="M323" s="857">
        <f t="shared" si="28"/>
        <v>66737.309778647614</v>
      </c>
      <c r="N323" s="997">
        <f t="shared" si="22"/>
        <v>163444.22806210519</v>
      </c>
    </row>
    <row r="324" spans="1:14" s="15" customFormat="1" ht="12" x14ac:dyDescent="0.2">
      <c r="A324" s="873">
        <f t="shared" si="26"/>
        <v>72</v>
      </c>
      <c r="B324" s="874">
        <f t="shared" si="27"/>
        <v>67</v>
      </c>
      <c r="C324" s="857">
        <f>IF('S. Setup'!$K$35="used",'3. WorkData'!F81,0)</f>
        <v>42467.112474579902</v>
      </c>
      <c r="D324" s="858">
        <f>IF('S. Setup'!$K$35="used",'3. WorkData'!J81,0)</f>
        <v>0</v>
      </c>
      <c r="E324" s="857">
        <f>IF('S. Setup'!$K$38="used",'6. AnnuityData'!C115,0)</f>
        <v>3378.4872577920005</v>
      </c>
      <c r="F324" s="859">
        <f>IF('S. Setup'!$K$38="used",'6. AnnuityData'!D115,0)</f>
        <v>3500</v>
      </c>
      <c r="G324" s="859">
        <f>IF('S. Setup'!$K$38="used",'6. AnnuityData'!E115,0)</f>
        <v>0</v>
      </c>
      <c r="H324" s="858">
        <f>IF('S. Setup'!$K$38="used",'6. AnnuityData'!F115,0)</f>
        <v>0</v>
      </c>
      <c r="I324" s="857">
        <f t="shared" si="23"/>
        <v>45845.599732371906</v>
      </c>
      <c r="J324" s="859">
        <f t="shared" si="24"/>
        <v>3500</v>
      </c>
      <c r="K324" s="1106">
        <f t="shared" si="21"/>
        <v>45845.599732371906</v>
      </c>
      <c r="L324" s="1107">
        <f t="shared" si="25"/>
        <v>3500</v>
      </c>
      <c r="M324" s="857">
        <f t="shared" si="28"/>
        <v>49345.599732371906</v>
      </c>
      <c r="N324" s="997">
        <f t="shared" si="22"/>
        <v>147986.65638149867</v>
      </c>
    </row>
    <row r="325" spans="1:14" s="15" customFormat="1" ht="12" x14ac:dyDescent="0.2">
      <c r="A325" s="850">
        <f t="shared" si="26"/>
        <v>73</v>
      </c>
      <c r="B325" s="851">
        <f t="shared" si="27"/>
        <v>68</v>
      </c>
      <c r="C325" s="857">
        <f>IF('S. Setup'!$K$35="used",'3. WorkData'!F82,0)</f>
        <v>42679.448036952803</v>
      </c>
      <c r="D325" s="858">
        <f>IF('S. Setup'!$K$35="used",'3. WorkData'!J82,0)</f>
        <v>0</v>
      </c>
      <c r="E325" s="857">
        <f>IF('S. Setup'!$K$38="used",'6. AnnuityData'!C116,0)</f>
        <v>3446.0570029478404</v>
      </c>
      <c r="F325" s="859">
        <f>IF('S. Setup'!$K$38="used",'6. AnnuityData'!D116,0)</f>
        <v>3500</v>
      </c>
      <c r="G325" s="859">
        <f>IF('S. Setup'!$K$38="used",'6. AnnuityData'!E116,0)</f>
        <v>0</v>
      </c>
      <c r="H325" s="858">
        <f>IF('S. Setup'!$K$38="used",'6. AnnuityData'!F116,0)</f>
        <v>0</v>
      </c>
      <c r="I325" s="857">
        <f t="shared" si="23"/>
        <v>46125.505039900643</v>
      </c>
      <c r="J325" s="859">
        <f t="shared" si="24"/>
        <v>3500</v>
      </c>
      <c r="K325" s="1106">
        <f t="shared" si="21"/>
        <v>46125.505039900643</v>
      </c>
      <c r="L325" s="1107">
        <f t="shared" si="25"/>
        <v>3500</v>
      </c>
      <c r="M325" s="857">
        <f t="shared" si="28"/>
        <v>49625.505039900643</v>
      </c>
      <c r="N325" s="997">
        <f t="shared" si="22"/>
        <v>150239.38282200991</v>
      </c>
    </row>
    <row r="326" spans="1:14" s="15" customFormat="1" ht="12" x14ac:dyDescent="0.2">
      <c r="A326" s="850">
        <f t="shared" si="26"/>
        <v>74</v>
      </c>
      <c r="B326" s="851">
        <f t="shared" si="27"/>
        <v>69</v>
      </c>
      <c r="C326" s="857">
        <f>IF('S. Setup'!$K$35="used",'3. WorkData'!F83,0)</f>
        <v>42892.84527713756</v>
      </c>
      <c r="D326" s="858">
        <f>IF('S. Setup'!$K$35="used",'3. WorkData'!J83,0)</f>
        <v>0</v>
      </c>
      <c r="E326" s="857">
        <f>IF('S. Setup'!$K$38="used",'6. AnnuityData'!C117,0)</f>
        <v>3514.9781430067974</v>
      </c>
      <c r="F326" s="859">
        <f>IF('S. Setup'!$K$38="used",'6. AnnuityData'!D117,0)</f>
        <v>3500</v>
      </c>
      <c r="G326" s="859">
        <f>IF('S. Setup'!$K$38="used",'6. AnnuityData'!E117,0)</f>
        <v>0</v>
      </c>
      <c r="H326" s="858">
        <f>IF('S. Setup'!$K$38="used",'6. AnnuityData'!F117,0)</f>
        <v>0</v>
      </c>
      <c r="I326" s="857">
        <f t="shared" si="23"/>
        <v>46407.823420144356</v>
      </c>
      <c r="J326" s="859">
        <f t="shared" si="24"/>
        <v>3500</v>
      </c>
      <c r="K326" s="1106">
        <f t="shared" si="21"/>
        <v>46407.823420144356</v>
      </c>
      <c r="L326" s="1107">
        <f t="shared" si="25"/>
        <v>3500</v>
      </c>
      <c r="M326" s="857">
        <f t="shared" si="28"/>
        <v>49907.823420144356</v>
      </c>
      <c r="N326" s="997">
        <f t="shared" si="22"/>
        <v>152533.97875789582</v>
      </c>
    </row>
    <row r="327" spans="1:14" s="15" customFormat="1" ht="12" x14ac:dyDescent="0.2">
      <c r="A327" s="850">
        <f t="shared" si="26"/>
        <v>75</v>
      </c>
      <c r="B327" s="851">
        <f t="shared" si="27"/>
        <v>70</v>
      </c>
      <c r="C327" s="857">
        <f>IF('S. Setup'!$K$35="used",'3. WorkData'!F84,0)</f>
        <v>0</v>
      </c>
      <c r="D327" s="858">
        <f>IF('S. Setup'!$K$35="used",'3. WorkData'!J84,0)</f>
        <v>0</v>
      </c>
      <c r="E327" s="857">
        <f>IF('S. Setup'!$K$38="used",'6. AnnuityData'!C118,0)</f>
        <v>3585.2777058669335</v>
      </c>
      <c r="F327" s="859">
        <f>IF('S. Setup'!$K$38="used",'6. AnnuityData'!D118,0)</f>
        <v>3500</v>
      </c>
      <c r="G327" s="859">
        <f>IF('S. Setup'!$K$38="used",'6. AnnuityData'!E118,0)</f>
        <v>0</v>
      </c>
      <c r="H327" s="858">
        <f>IF('S. Setup'!$K$38="used",'6. AnnuityData'!F118,0)</f>
        <v>0</v>
      </c>
      <c r="I327" s="857">
        <f t="shared" si="23"/>
        <v>3585.2777058669335</v>
      </c>
      <c r="J327" s="859">
        <f t="shared" si="24"/>
        <v>3500</v>
      </c>
      <c r="K327" s="1106">
        <f t="shared" si="21"/>
        <v>3585.2777058669335</v>
      </c>
      <c r="L327" s="1107">
        <f t="shared" si="25"/>
        <v>3500</v>
      </c>
      <c r="M327" s="857">
        <f t="shared" si="28"/>
        <v>7085.2777058669335</v>
      </c>
      <c r="N327" s="997">
        <f t="shared" si="22"/>
        <v>111763.9561503734</v>
      </c>
    </row>
    <row r="328" spans="1:14" s="15" customFormat="1" ht="12" x14ac:dyDescent="0.2">
      <c r="A328" s="850">
        <f t="shared" si="26"/>
        <v>76</v>
      </c>
      <c r="B328" s="851">
        <f t="shared" si="27"/>
        <v>71</v>
      </c>
      <c r="C328" s="857">
        <f>IF('S. Setup'!$K$35="used",'3. WorkData'!F85,0)</f>
        <v>0</v>
      </c>
      <c r="D328" s="858">
        <f>IF('S. Setup'!$K$35="used",'3. WorkData'!J85,0)</f>
        <v>0</v>
      </c>
      <c r="E328" s="857">
        <f>IF('S. Setup'!$K$38="used",'6. AnnuityData'!C119,0)</f>
        <v>3656.9832599842721</v>
      </c>
      <c r="F328" s="859">
        <f>IF('S. Setup'!$K$38="used",'6. AnnuityData'!D119,0)</f>
        <v>3500</v>
      </c>
      <c r="G328" s="859">
        <f>IF('S. Setup'!$K$38="used",'6. AnnuityData'!E119,0)</f>
        <v>0</v>
      </c>
      <c r="H328" s="858">
        <f>IF('S. Setup'!$K$38="used",'6. AnnuityData'!F119,0)</f>
        <v>0</v>
      </c>
      <c r="I328" s="857">
        <f t="shared" si="23"/>
        <v>3656.9832599842721</v>
      </c>
      <c r="J328" s="859">
        <f t="shared" si="24"/>
        <v>3500</v>
      </c>
      <c r="K328" s="1106">
        <f t="shared" si="21"/>
        <v>3656.9832599842721</v>
      </c>
      <c r="L328" s="1107">
        <f t="shared" si="25"/>
        <v>3500</v>
      </c>
      <c r="M328" s="857">
        <f t="shared" si="28"/>
        <v>7156.9832599842721</v>
      </c>
      <c r="N328" s="997">
        <f t="shared" si="22"/>
        <v>113929.23527338091</v>
      </c>
    </row>
    <row r="329" spans="1:14" s="15" customFormat="1" ht="12" x14ac:dyDescent="0.2">
      <c r="A329" s="850">
        <f t="shared" si="26"/>
        <v>77</v>
      </c>
      <c r="B329" s="851">
        <f t="shared" si="27"/>
        <v>72</v>
      </c>
      <c r="C329" s="857">
        <f>IF('S. Setup'!$K$35="used",'3. WorkData'!F86,0)</f>
        <v>0</v>
      </c>
      <c r="D329" s="858">
        <f>IF('S. Setup'!$K$35="used",'3. WorkData'!J86,0)</f>
        <v>0</v>
      </c>
      <c r="E329" s="857">
        <f>IF('S. Setup'!$K$38="used",'6. AnnuityData'!C120,0)</f>
        <v>3730.1229251839577</v>
      </c>
      <c r="F329" s="859">
        <f>IF('S. Setup'!$K$38="used",'6. AnnuityData'!D120,0)</f>
        <v>3500</v>
      </c>
      <c r="G329" s="859">
        <f>IF('S. Setup'!$K$38="used",'6. AnnuityData'!E120,0)</f>
        <v>0</v>
      </c>
      <c r="H329" s="858">
        <f>IF('S. Setup'!$K$38="used",'6. AnnuityData'!F120,0)</f>
        <v>0</v>
      </c>
      <c r="I329" s="857">
        <f t="shared" si="23"/>
        <v>3730.1229251839577</v>
      </c>
      <c r="J329" s="859">
        <f t="shared" si="24"/>
        <v>3500</v>
      </c>
      <c r="K329" s="1106">
        <f t="shared" si="21"/>
        <v>3730.1229251839577</v>
      </c>
      <c r="L329" s="1107">
        <f t="shared" si="25"/>
        <v>3500</v>
      </c>
      <c r="M329" s="857">
        <f t="shared" si="28"/>
        <v>7230.1229251839577</v>
      </c>
      <c r="N329" s="997">
        <f t="shared" si="22"/>
        <v>116137.81997884852</v>
      </c>
    </row>
    <row r="330" spans="1:14" s="15" customFormat="1" ht="12" x14ac:dyDescent="0.2">
      <c r="A330" s="850">
        <f t="shared" si="26"/>
        <v>78</v>
      </c>
      <c r="B330" s="851">
        <f t="shared" si="27"/>
        <v>73</v>
      </c>
      <c r="C330" s="857">
        <f>IF('S. Setup'!$K$35="used",'3. WorkData'!F87,0)</f>
        <v>0</v>
      </c>
      <c r="D330" s="858">
        <f>IF('S. Setup'!$K$35="used",'3. WorkData'!J87,0)</f>
        <v>0</v>
      </c>
      <c r="E330" s="857">
        <f>IF('S. Setup'!$K$38="used",'6. AnnuityData'!C121,0)</f>
        <v>3804.7253836876371</v>
      </c>
      <c r="F330" s="859">
        <f>IF('S. Setup'!$K$38="used",'6. AnnuityData'!D121,0)</f>
        <v>3500</v>
      </c>
      <c r="G330" s="859">
        <f>IF('S. Setup'!$K$38="used",'6. AnnuityData'!E121,0)</f>
        <v>0</v>
      </c>
      <c r="H330" s="858">
        <f>IF('S. Setup'!$K$38="used",'6. AnnuityData'!F121,0)</f>
        <v>0</v>
      </c>
      <c r="I330" s="857">
        <f t="shared" si="23"/>
        <v>3804.7253836876371</v>
      </c>
      <c r="J330" s="859">
        <f t="shared" si="24"/>
        <v>3500</v>
      </c>
      <c r="K330" s="1106">
        <f t="shared" si="21"/>
        <v>3804.7253836876371</v>
      </c>
      <c r="L330" s="1107">
        <f t="shared" si="25"/>
        <v>3500</v>
      </c>
      <c r="M330" s="857">
        <f t="shared" si="28"/>
        <v>7304.7253836876371</v>
      </c>
      <c r="N330" s="997">
        <f t="shared" si="22"/>
        <v>118390.57637842548</v>
      </c>
    </row>
    <row r="331" spans="1:14" s="15" customFormat="1" ht="12" x14ac:dyDescent="0.2">
      <c r="A331" s="850">
        <f t="shared" si="26"/>
        <v>79</v>
      </c>
      <c r="B331" s="851">
        <f t="shared" si="27"/>
        <v>74</v>
      </c>
      <c r="C331" s="857">
        <f>IF('S. Setup'!$K$35="used",'3. WorkData'!F88,0)</f>
        <v>0</v>
      </c>
      <c r="D331" s="858">
        <f>IF('S. Setup'!$K$35="used",'3. WorkData'!J88,0)</f>
        <v>0</v>
      </c>
      <c r="E331" s="857">
        <f>IF('S. Setup'!$K$38="used",'6. AnnuityData'!C122,0)</f>
        <v>3880.8198913613901</v>
      </c>
      <c r="F331" s="859">
        <f>IF('S. Setup'!$K$38="used",'6. AnnuityData'!D122,0)</f>
        <v>3500</v>
      </c>
      <c r="G331" s="859">
        <f>IF('S. Setup'!$K$38="used",'6. AnnuityData'!E122,0)</f>
        <v>0</v>
      </c>
      <c r="H331" s="858">
        <f>IF('S. Setup'!$K$38="used",'6. AnnuityData'!F122,0)</f>
        <v>0</v>
      </c>
      <c r="I331" s="857">
        <f t="shared" si="23"/>
        <v>3880.8198913613901</v>
      </c>
      <c r="J331" s="859">
        <f t="shared" si="24"/>
        <v>3500</v>
      </c>
      <c r="K331" s="1106">
        <f t="shared" si="21"/>
        <v>3880.8198913613901</v>
      </c>
      <c r="L331" s="1107">
        <f t="shared" si="25"/>
        <v>3500</v>
      </c>
      <c r="M331" s="857">
        <f t="shared" si="28"/>
        <v>7380.8198913613905</v>
      </c>
      <c r="N331" s="997">
        <f t="shared" si="22"/>
        <v>107295.43039476963</v>
      </c>
    </row>
    <row r="332" spans="1:14" s="15" customFormat="1" ht="12" x14ac:dyDescent="0.2">
      <c r="A332" s="850">
        <f t="shared" si="26"/>
        <v>80</v>
      </c>
      <c r="B332" s="851">
        <f t="shared" si="27"/>
        <v>75</v>
      </c>
      <c r="C332" s="857">
        <f>IF('S. Setup'!$K$35="used",'3. WorkData'!F89,0)</f>
        <v>0</v>
      </c>
      <c r="D332" s="858">
        <f>IF('S. Setup'!$K$35="used",'3. WorkData'!J89,0)</f>
        <v>0</v>
      </c>
      <c r="E332" s="857">
        <f>IF('S. Setup'!$K$38="used",'6. AnnuityData'!C123,0)</f>
        <v>3958.436289188618</v>
      </c>
      <c r="F332" s="859">
        <f>IF('S. Setup'!$K$38="used",'6. AnnuityData'!D123,0)</f>
        <v>3500</v>
      </c>
      <c r="G332" s="859">
        <f>IF('S. Setup'!$K$38="used",'6. AnnuityData'!E123,0)</f>
        <v>0</v>
      </c>
      <c r="H332" s="858">
        <f>IF('S. Setup'!$K$38="used",'6. AnnuityData'!F123,0)</f>
        <v>0</v>
      </c>
      <c r="I332" s="857">
        <f t="shared" si="23"/>
        <v>3958.436289188618</v>
      </c>
      <c r="J332" s="859">
        <f t="shared" si="24"/>
        <v>3500</v>
      </c>
      <c r="K332" s="1106">
        <f t="shared" si="21"/>
        <v>3958.436289188618</v>
      </c>
      <c r="L332" s="1107">
        <f t="shared" si="25"/>
        <v>3500</v>
      </c>
      <c r="M332" s="857">
        <f t="shared" si="28"/>
        <v>7458.4362891886176</v>
      </c>
      <c r="N332" s="997">
        <f t="shared" si="22"/>
        <v>109371.33900266503</v>
      </c>
    </row>
    <row r="333" spans="1:14" s="15" customFormat="1" ht="12" x14ac:dyDescent="0.2">
      <c r="A333" s="850">
        <f t="shared" si="26"/>
        <v>81</v>
      </c>
      <c r="B333" s="851">
        <f t="shared" si="27"/>
        <v>76</v>
      </c>
      <c r="C333" s="857">
        <f>IF('S. Setup'!$K$35="used",'3. WorkData'!F90,0)</f>
        <v>0</v>
      </c>
      <c r="D333" s="858">
        <f>IF('S. Setup'!$K$35="used",'3. WorkData'!J90,0)</f>
        <v>0</v>
      </c>
      <c r="E333" s="857">
        <f>IF('S. Setup'!$K$38="used",'6. AnnuityData'!C124,0)</f>
        <v>4037.6050149723906</v>
      </c>
      <c r="F333" s="859">
        <f>IF('S. Setup'!$K$38="used",'6. AnnuityData'!D124,0)</f>
        <v>3500</v>
      </c>
      <c r="G333" s="859">
        <f>IF('S. Setup'!$K$38="used",'6. AnnuityData'!E124,0)</f>
        <v>0</v>
      </c>
      <c r="H333" s="858">
        <f>IF('S. Setup'!$K$38="used",'6. AnnuityData'!F124,0)</f>
        <v>0</v>
      </c>
      <c r="I333" s="857">
        <f t="shared" si="23"/>
        <v>4037.6050149723906</v>
      </c>
      <c r="J333" s="859">
        <f t="shared" si="24"/>
        <v>3500</v>
      </c>
      <c r="K333" s="1106">
        <f t="shared" si="21"/>
        <v>4037.6050149723906</v>
      </c>
      <c r="L333" s="1107">
        <f t="shared" si="25"/>
        <v>3500</v>
      </c>
      <c r="M333" s="857">
        <f t="shared" si="28"/>
        <v>7537.6050149723906</v>
      </c>
      <c r="N333" s="997">
        <f t="shared" si="22"/>
        <v>111488.76578271831</v>
      </c>
    </row>
    <row r="334" spans="1:14" s="15" customFormat="1" ht="12" x14ac:dyDescent="0.2">
      <c r="A334" s="850">
        <f t="shared" si="26"/>
        <v>82</v>
      </c>
      <c r="B334" s="851">
        <f t="shared" si="27"/>
        <v>77</v>
      </c>
      <c r="C334" s="857">
        <f>IF('S. Setup'!$K$35="used",'3. WorkData'!F91,0)</f>
        <v>0</v>
      </c>
      <c r="D334" s="858">
        <f>IF('S. Setup'!$K$35="used",'3. WorkData'!J91,0)</f>
        <v>0</v>
      </c>
      <c r="E334" s="857">
        <f>IF('S. Setup'!$K$38="used",'6. AnnuityData'!C125,0)</f>
        <v>4118.3571152718387</v>
      </c>
      <c r="F334" s="859">
        <f>IF('S. Setup'!$K$38="used",'6. AnnuityData'!D125,0)</f>
        <v>3500</v>
      </c>
      <c r="G334" s="859">
        <f>IF('S. Setup'!$K$38="used",'6. AnnuityData'!E125,0)</f>
        <v>0</v>
      </c>
      <c r="H334" s="858">
        <f>IF('S. Setup'!$K$38="used",'6. AnnuityData'!F125,0)</f>
        <v>0</v>
      </c>
      <c r="I334" s="857">
        <f t="shared" si="23"/>
        <v>4118.3571152718387</v>
      </c>
      <c r="J334" s="859">
        <f t="shared" si="24"/>
        <v>3500</v>
      </c>
      <c r="K334" s="1106">
        <f t="shared" si="21"/>
        <v>4118.3571152718387</v>
      </c>
      <c r="L334" s="1107">
        <f t="shared" si="25"/>
        <v>3500</v>
      </c>
      <c r="M334" s="857">
        <f t="shared" si="28"/>
        <v>7618.3571152718387</v>
      </c>
      <c r="N334" s="997">
        <f t="shared" si="22"/>
        <v>113648.54109837268</v>
      </c>
    </row>
    <row r="335" spans="1:14" s="15" customFormat="1" ht="12" x14ac:dyDescent="0.2">
      <c r="A335" s="850">
        <f t="shared" si="26"/>
        <v>83</v>
      </c>
      <c r="B335" s="851">
        <f t="shared" si="27"/>
        <v>78</v>
      </c>
      <c r="C335" s="857">
        <f>IF('S. Setup'!$K$35="used",'3. WorkData'!F92,0)</f>
        <v>0</v>
      </c>
      <c r="D335" s="858">
        <f>IF('S. Setup'!$K$35="used",'3. WorkData'!J92,0)</f>
        <v>0</v>
      </c>
      <c r="E335" s="857">
        <f>IF('S. Setup'!$K$38="used",'6. AnnuityData'!C126,0)</f>
        <v>4200.7242575772752</v>
      </c>
      <c r="F335" s="859">
        <f>IF('S. Setup'!$K$38="used",'6. AnnuityData'!D126,0)</f>
        <v>3500</v>
      </c>
      <c r="G335" s="859">
        <f>IF('S. Setup'!$K$38="used",'6. AnnuityData'!E126,0)</f>
        <v>0</v>
      </c>
      <c r="H335" s="858">
        <f>IF('S. Setup'!$K$38="used",'6. AnnuityData'!F126,0)</f>
        <v>0</v>
      </c>
      <c r="I335" s="857">
        <f t="shared" si="23"/>
        <v>4200.7242575772752</v>
      </c>
      <c r="J335" s="859">
        <f t="shared" si="24"/>
        <v>3500</v>
      </c>
      <c r="K335" s="1106">
        <f t="shared" si="21"/>
        <v>4200.7242575772752</v>
      </c>
      <c r="L335" s="1107">
        <f t="shared" si="25"/>
        <v>3500</v>
      </c>
      <c r="M335" s="857">
        <f t="shared" si="28"/>
        <v>7700.7242575772752</v>
      </c>
      <c r="N335" s="997">
        <f t="shared" si="22"/>
        <v>115851.51192034013</v>
      </c>
    </row>
    <row r="336" spans="1:14" s="15" customFormat="1" ht="12" x14ac:dyDescent="0.2">
      <c r="A336" s="850">
        <f t="shared" si="26"/>
        <v>84</v>
      </c>
      <c r="B336" s="851">
        <f t="shared" si="27"/>
        <v>79</v>
      </c>
      <c r="C336" s="857">
        <f>IF('S. Setup'!$K$35="used",'3. WorkData'!F93,0)</f>
        <v>0</v>
      </c>
      <c r="D336" s="858">
        <f>IF('S. Setup'!$K$35="used",'3. WorkData'!J93,0)</f>
        <v>0</v>
      </c>
      <c r="E336" s="857">
        <f>IF('S. Setup'!$K$38="used",'6. AnnuityData'!C127,0)</f>
        <v>4284.7387427288204</v>
      </c>
      <c r="F336" s="859">
        <f>IF('S. Setup'!$K$38="used",'6. AnnuityData'!D127,0)</f>
        <v>3500</v>
      </c>
      <c r="G336" s="859">
        <f>IF('S. Setup'!$K$38="used",'6. AnnuityData'!E127,0)</f>
        <v>0</v>
      </c>
      <c r="H336" s="858">
        <f>IF('S. Setup'!$K$38="used",'6. AnnuityData'!F127,0)</f>
        <v>0</v>
      </c>
      <c r="I336" s="857">
        <f t="shared" si="23"/>
        <v>4284.7387427288204</v>
      </c>
      <c r="J336" s="859">
        <f t="shared" si="24"/>
        <v>3500</v>
      </c>
      <c r="K336" s="1106">
        <f t="shared" si="21"/>
        <v>4284.7387427288204</v>
      </c>
      <c r="L336" s="1107">
        <f t="shared" si="25"/>
        <v>3500</v>
      </c>
      <c r="M336" s="857">
        <f t="shared" si="28"/>
        <v>7784.7387427288204</v>
      </c>
      <c r="N336" s="997">
        <f t="shared" si="22"/>
        <v>118098.54215874693</v>
      </c>
    </row>
    <row r="337" spans="1:14" s="15" customFormat="1" ht="12" x14ac:dyDescent="0.2">
      <c r="A337" s="873">
        <f t="shared" si="26"/>
        <v>85</v>
      </c>
      <c r="B337" s="874">
        <f t="shared" si="27"/>
        <v>80</v>
      </c>
      <c r="C337" s="857">
        <f>IF('S. Setup'!$K$35="used",'3. WorkData'!F94,0)</f>
        <v>0</v>
      </c>
      <c r="D337" s="858">
        <f>IF('S. Setup'!$K$35="used",'3. WorkData'!J94,0)</f>
        <v>0</v>
      </c>
      <c r="E337" s="857">
        <f>IF('S. Setup'!$K$38="used",'6. AnnuityData'!C128,0)</f>
        <v>4370.4335175833967</v>
      </c>
      <c r="F337" s="859">
        <f>IF('S. Setup'!$K$38="used",'6. AnnuityData'!D128,0)</f>
        <v>3500</v>
      </c>
      <c r="G337" s="859">
        <f>IF('S. Setup'!$K$38="used",'6. AnnuityData'!E128,0)</f>
        <v>0</v>
      </c>
      <c r="H337" s="858">
        <f>IF('S. Setup'!$K$38="used",'6. AnnuityData'!F128,0)</f>
        <v>0</v>
      </c>
      <c r="I337" s="857">
        <f t="shared" si="23"/>
        <v>4370.4335175833967</v>
      </c>
      <c r="J337" s="859">
        <f t="shared" si="24"/>
        <v>3500</v>
      </c>
      <c r="K337" s="1106">
        <f t="shared" si="21"/>
        <v>4370.4335175833967</v>
      </c>
      <c r="L337" s="1107">
        <f t="shared" si="25"/>
        <v>3500</v>
      </c>
      <c r="M337" s="857">
        <f t="shared" si="28"/>
        <v>7870.4335175833967</v>
      </c>
      <c r="N337" s="997">
        <f t="shared" si="22"/>
        <v>48499.975346262654</v>
      </c>
    </row>
    <row r="338" spans="1:14" s="15" customFormat="1" ht="12" x14ac:dyDescent="0.2">
      <c r="A338" s="850">
        <f t="shared" si="26"/>
        <v>86</v>
      </c>
      <c r="B338" s="851">
        <f t="shared" si="27"/>
        <v>81</v>
      </c>
      <c r="C338" s="857">
        <f>IF('S. Setup'!$K$35="used",'3. WorkData'!F95,0)</f>
        <v>0</v>
      </c>
      <c r="D338" s="858">
        <f>IF('S. Setup'!$K$35="used",'3. WorkData'!J95,0)</f>
        <v>0</v>
      </c>
      <c r="E338" s="857">
        <f>IF('S. Setup'!$K$38="used",'6. AnnuityData'!C129,0)</f>
        <v>0</v>
      </c>
      <c r="F338" s="859">
        <f>IF('S. Setup'!$K$38="used",'6. AnnuityData'!D129,0)</f>
        <v>3500</v>
      </c>
      <c r="G338" s="859">
        <f>IF('S. Setup'!$K$38="used",'6. AnnuityData'!E129,0)</f>
        <v>0</v>
      </c>
      <c r="H338" s="858">
        <f>IF('S. Setup'!$K$38="used",'6. AnnuityData'!F129,0)</f>
        <v>0</v>
      </c>
      <c r="I338" s="857">
        <f t="shared" si="23"/>
        <v>0</v>
      </c>
      <c r="J338" s="859">
        <f t="shared" si="24"/>
        <v>3500</v>
      </c>
      <c r="K338" s="1106">
        <f t="shared" si="21"/>
        <v>0</v>
      </c>
      <c r="L338" s="1107">
        <f t="shared" si="25"/>
        <v>3500</v>
      </c>
      <c r="M338" s="857">
        <f t="shared" si="28"/>
        <v>3500</v>
      </c>
      <c r="N338" s="997">
        <f t="shared" si="22"/>
        <v>44942.132665252844</v>
      </c>
    </row>
    <row r="339" spans="1:14" s="15" customFormat="1" ht="12" x14ac:dyDescent="0.2">
      <c r="A339" s="850">
        <f t="shared" si="26"/>
        <v>87</v>
      </c>
      <c r="B339" s="851">
        <f t="shared" si="27"/>
        <v>82</v>
      </c>
      <c r="C339" s="857">
        <f>IF('S. Setup'!$K$35="used",'3. WorkData'!F96,0)</f>
        <v>0</v>
      </c>
      <c r="D339" s="858">
        <f>IF('S. Setup'!$K$35="used",'3. WorkData'!J96,0)</f>
        <v>0</v>
      </c>
      <c r="E339" s="857">
        <f>IF('S. Setup'!$K$38="used",'6. AnnuityData'!C130,0)</f>
        <v>0</v>
      </c>
      <c r="F339" s="859">
        <f>IF('S. Setup'!$K$38="used",'6. AnnuityData'!D130,0)</f>
        <v>3500</v>
      </c>
      <c r="G339" s="859">
        <f>IF('S. Setup'!$K$38="used",'6. AnnuityData'!E130,0)</f>
        <v>0</v>
      </c>
      <c r="H339" s="858">
        <f>IF('S. Setup'!$K$38="used",'6. AnnuityData'!F130,0)</f>
        <v>0</v>
      </c>
      <c r="I339" s="857">
        <f t="shared" si="23"/>
        <v>0</v>
      </c>
      <c r="J339" s="859">
        <f t="shared" si="24"/>
        <v>3500</v>
      </c>
      <c r="K339" s="1106">
        <f t="shared" si="21"/>
        <v>0</v>
      </c>
      <c r="L339" s="1107">
        <f t="shared" si="25"/>
        <v>3500</v>
      </c>
      <c r="M339" s="857">
        <f t="shared" si="28"/>
        <v>3500</v>
      </c>
      <c r="N339" s="997">
        <f t="shared" si="22"/>
        <v>45770.975318557888</v>
      </c>
    </row>
    <row r="340" spans="1:14" s="15" customFormat="1" ht="12" x14ac:dyDescent="0.2">
      <c r="A340" s="850">
        <f t="shared" si="26"/>
        <v>88</v>
      </c>
      <c r="B340" s="851">
        <f t="shared" si="27"/>
        <v>83</v>
      </c>
      <c r="C340" s="857">
        <f>IF('S. Setup'!$K$35="used",'3. WorkData'!F97,0)</f>
        <v>0</v>
      </c>
      <c r="D340" s="858">
        <f>IF('S. Setup'!$K$35="used",'3. WorkData'!J97,0)</f>
        <v>0</v>
      </c>
      <c r="E340" s="857">
        <f>IF('S. Setup'!$K$38="used",'6. AnnuityData'!C131,0)</f>
        <v>0</v>
      </c>
      <c r="F340" s="859">
        <f>IF('S. Setup'!$K$38="used",'6. AnnuityData'!D131,0)</f>
        <v>3500</v>
      </c>
      <c r="G340" s="859">
        <f>IF('S. Setup'!$K$38="used",'6. AnnuityData'!E131,0)</f>
        <v>0</v>
      </c>
      <c r="H340" s="858">
        <f>IF('S. Setup'!$K$38="used",'6. AnnuityData'!F131,0)</f>
        <v>0</v>
      </c>
      <c r="I340" s="857">
        <f t="shared" si="23"/>
        <v>0</v>
      </c>
      <c r="J340" s="859">
        <f t="shared" si="24"/>
        <v>3500</v>
      </c>
      <c r="K340" s="1106">
        <f t="shared" si="21"/>
        <v>0</v>
      </c>
      <c r="L340" s="1107">
        <f t="shared" si="25"/>
        <v>3500</v>
      </c>
      <c r="M340" s="857">
        <f t="shared" si="28"/>
        <v>3500</v>
      </c>
      <c r="N340" s="997">
        <f t="shared" si="22"/>
        <v>46616.394824929062</v>
      </c>
    </row>
    <row r="341" spans="1:14" s="15" customFormat="1" ht="12" x14ac:dyDescent="0.2">
      <c r="A341" s="850">
        <f t="shared" si="26"/>
        <v>89</v>
      </c>
      <c r="B341" s="851">
        <f t="shared" si="27"/>
        <v>84</v>
      </c>
      <c r="C341" s="857">
        <f>IF('S. Setup'!$K$35="used",'3. WorkData'!F98,0)</f>
        <v>0</v>
      </c>
      <c r="D341" s="858">
        <f>IF('S. Setup'!$K$35="used",'3. WorkData'!J98,0)</f>
        <v>0</v>
      </c>
      <c r="E341" s="857">
        <f>IF('S. Setup'!$K$38="used",'6. AnnuityData'!C132,0)</f>
        <v>0</v>
      </c>
      <c r="F341" s="859">
        <f>IF('S. Setup'!$K$38="used",'6. AnnuityData'!D132,0)</f>
        <v>3500</v>
      </c>
      <c r="G341" s="859">
        <f>IF('S. Setup'!$K$38="used",'6. AnnuityData'!E132,0)</f>
        <v>0</v>
      </c>
      <c r="H341" s="858">
        <f>IF('S. Setup'!$K$38="used",'6. AnnuityData'!F132,0)</f>
        <v>0</v>
      </c>
      <c r="I341" s="857">
        <f t="shared" si="23"/>
        <v>0</v>
      </c>
      <c r="J341" s="859">
        <f t="shared" si="24"/>
        <v>3500</v>
      </c>
      <c r="K341" s="1106">
        <f t="shared" si="21"/>
        <v>0</v>
      </c>
      <c r="L341" s="1107">
        <f t="shared" si="25"/>
        <v>3500</v>
      </c>
      <c r="M341" s="857">
        <f t="shared" si="28"/>
        <v>3500</v>
      </c>
      <c r="N341" s="997">
        <f t="shared" si="22"/>
        <v>47478.722721427635</v>
      </c>
    </row>
    <row r="342" spans="1:14" s="15" customFormat="1" ht="12" x14ac:dyDescent="0.2">
      <c r="A342" s="850">
        <f t="shared" si="26"/>
        <v>90</v>
      </c>
      <c r="B342" s="851">
        <f t="shared" si="27"/>
        <v>85</v>
      </c>
      <c r="C342" s="857">
        <f>IF('S. Setup'!$K$35="used",'3. WorkData'!F99,0)</f>
        <v>0</v>
      </c>
      <c r="D342" s="858">
        <f>IF('S. Setup'!$K$35="used",'3. WorkData'!J99,0)</f>
        <v>0</v>
      </c>
      <c r="E342" s="857">
        <f>IF('S. Setup'!$K$38="used",'6. AnnuityData'!C133,0)</f>
        <v>0</v>
      </c>
      <c r="F342" s="859">
        <f>IF('S. Setup'!$K$38="used",'6. AnnuityData'!D133,0)</f>
        <v>3500</v>
      </c>
      <c r="G342" s="859">
        <f>IF('S. Setup'!$K$38="used",'6. AnnuityData'!E133,0)</f>
        <v>0</v>
      </c>
      <c r="H342" s="858">
        <f>IF('S. Setup'!$K$38="used",'6. AnnuityData'!F133,0)</f>
        <v>0</v>
      </c>
      <c r="I342" s="857">
        <f t="shared" si="23"/>
        <v>0</v>
      </c>
      <c r="J342" s="859">
        <f t="shared" si="24"/>
        <v>3500</v>
      </c>
      <c r="K342" s="1106">
        <f t="shared" si="21"/>
        <v>0</v>
      </c>
      <c r="L342" s="1107">
        <f t="shared" si="25"/>
        <v>3500</v>
      </c>
      <c r="M342" s="857">
        <f t="shared" si="28"/>
        <v>3500</v>
      </c>
      <c r="N342" s="997">
        <f t="shared" si="22"/>
        <v>48358.297175856191</v>
      </c>
    </row>
    <row r="343" spans="1:14" s="15" customFormat="1" ht="12" x14ac:dyDescent="0.2">
      <c r="A343" s="850">
        <f t="shared" si="26"/>
        <v>91</v>
      </c>
      <c r="B343" s="851">
        <f t="shared" si="27"/>
        <v>86</v>
      </c>
      <c r="C343" s="857">
        <f>IF('S. Setup'!$K$35="used",'3. WorkData'!F100,0)</f>
        <v>0</v>
      </c>
      <c r="D343" s="858">
        <f>IF('S. Setup'!$K$35="used",'3. WorkData'!J100,0)</f>
        <v>0</v>
      </c>
      <c r="E343" s="857">
        <f>IF('S. Setup'!$K$38="used",'6. AnnuityData'!C134,0)</f>
        <v>0</v>
      </c>
      <c r="F343" s="859">
        <f>IF('S. Setup'!$K$38="used",'6. AnnuityData'!D134,0)</f>
        <v>3500</v>
      </c>
      <c r="G343" s="859">
        <f>IF('S. Setup'!$K$38="used",'6. AnnuityData'!E134,0)</f>
        <v>0</v>
      </c>
      <c r="H343" s="858">
        <f>IF('S. Setup'!$K$38="used",'6. AnnuityData'!F134,0)</f>
        <v>0</v>
      </c>
      <c r="I343" s="857">
        <f t="shared" si="23"/>
        <v>0</v>
      </c>
      <c r="J343" s="859">
        <f t="shared" si="24"/>
        <v>3500</v>
      </c>
      <c r="K343" s="1106">
        <f t="shared" si="21"/>
        <v>0</v>
      </c>
      <c r="L343" s="1107">
        <f t="shared" si="25"/>
        <v>3500</v>
      </c>
      <c r="M343" s="857">
        <f t="shared" si="28"/>
        <v>3500</v>
      </c>
      <c r="N343" s="997">
        <f t="shared" si="22"/>
        <v>49255.463119373308</v>
      </c>
    </row>
    <row r="344" spans="1:14" s="15" customFormat="1" ht="12" x14ac:dyDescent="0.2">
      <c r="A344" s="850">
        <f t="shared" si="26"/>
        <v>92</v>
      </c>
      <c r="B344" s="851">
        <f t="shared" si="27"/>
        <v>87</v>
      </c>
      <c r="C344" s="857">
        <f>IF('S. Setup'!$K$35="used",'3. WorkData'!F101,0)</f>
        <v>0</v>
      </c>
      <c r="D344" s="858">
        <f>IF('S. Setup'!$K$35="used",'3. WorkData'!J101,0)</f>
        <v>0</v>
      </c>
      <c r="E344" s="857">
        <f>IF('S. Setup'!$K$38="used",'6. AnnuityData'!C135,0)</f>
        <v>0</v>
      </c>
      <c r="F344" s="859">
        <f>IF('S. Setup'!$K$38="used",'6. AnnuityData'!D135,0)</f>
        <v>3500</v>
      </c>
      <c r="G344" s="859">
        <f>IF('S. Setup'!$K$38="used",'6. AnnuityData'!E135,0)</f>
        <v>0</v>
      </c>
      <c r="H344" s="858">
        <f>IF('S. Setup'!$K$38="used",'6. AnnuityData'!F135,0)</f>
        <v>0</v>
      </c>
      <c r="I344" s="857">
        <f t="shared" si="23"/>
        <v>0</v>
      </c>
      <c r="J344" s="859">
        <f t="shared" si="24"/>
        <v>3500</v>
      </c>
      <c r="K344" s="1106">
        <f t="shared" si="21"/>
        <v>0</v>
      </c>
      <c r="L344" s="1107">
        <f t="shared" si="25"/>
        <v>3500</v>
      </c>
      <c r="M344" s="857">
        <f t="shared" si="28"/>
        <v>3500</v>
      </c>
      <c r="N344" s="997">
        <f t="shared" si="22"/>
        <v>3500</v>
      </c>
    </row>
    <row r="345" spans="1:14" s="15" customFormat="1" ht="12" x14ac:dyDescent="0.2">
      <c r="A345" s="850">
        <f t="shared" si="26"/>
        <v>93</v>
      </c>
      <c r="B345" s="851">
        <f t="shared" si="27"/>
        <v>88</v>
      </c>
      <c r="C345" s="857">
        <f>IF('S. Setup'!$K$35="used",'3. WorkData'!F102,0)</f>
        <v>0</v>
      </c>
      <c r="D345" s="858">
        <f>IF('S. Setup'!$K$35="used",'3. WorkData'!J102,0)</f>
        <v>0</v>
      </c>
      <c r="E345" s="857">
        <f>IF('S. Setup'!$K$38="used",'6. AnnuityData'!C136,0)</f>
        <v>0</v>
      </c>
      <c r="F345" s="859">
        <f>IF('S. Setup'!$K$38="used",'6. AnnuityData'!D136,0)</f>
        <v>0</v>
      </c>
      <c r="G345" s="859">
        <f>IF('S. Setup'!$K$38="used",'6. AnnuityData'!E136,0)</f>
        <v>0</v>
      </c>
      <c r="H345" s="858">
        <f>IF('S. Setup'!$K$38="used",'6. AnnuityData'!F136,0)</f>
        <v>0</v>
      </c>
      <c r="I345" s="857">
        <f t="shared" si="23"/>
        <v>0</v>
      </c>
      <c r="J345" s="859">
        <f t="shared" si="24"/>
        <v>0</v>
      </c>
      <c r="K345" s="1106">
        <f t="shared" si="21"/>
        <v>0</v>
      </c>
      <c r="L345" s="1107">
        <f t="shared" si="25"/>
        <v>0</v>
      </c>
      <c r="M345" s="857">
        <f t="shared" si="28"/>
        <v>0</v>
      </c>
      <c r="N345" s="997">
        <f t="shared" si="22"/>
        <v>0</v>
      </c>
    </row>
    <row r="346" spans="1:14" s="15" customFormat="1" ht="12" x14ac:dyDescent="0.2">
      <c r="A346" s="850">
        <f t="shared" si="26"/>
        <v>94</v>
      </c>
      <c r="B346" s="851">
        <f t="shared" si="27"/>
        <v>89</v>
      </c>
      <c r="C346" s="857">
        <f>IF('S. Setup'!$K$35="used",'3. WorkData'!F103,0)</f>
        <v>0</v>
      </c>
      <c r="D346" s="858">
        <f>IF('S. Setup'!$K$35="used",'3. WorkData'!J103,0)</f>
        <v>0</v>
      </c>
      <c r="E346" s="857">
        <f>IF('S. Setup'!$K$38="used",'6. AnnuityData'!C137,0)</f>
        <v>0</v>
      </c>
      <c r="F346" s="859">
        <f>IF('S. Setup'!$K$38="used",'6. AnnuityData'!D137,0)</f>
        <v>0</v>
      </c>
      <c r="G346" s="859">
        <f>IF('S. Setup'!$K$38="used",'6. AnnuityData'!E137,0)</f>
        <v>0</v>
      </c>
      <c r="H346" s="858">
        <f>IF('S. Setup'!$K$38="used",'6. AnnuityData'!F137,0)</f>
        <v>0</v>
      </c>
      <c r="I346" s="857">
        <f t="shared" si="23"/>
        <v>0</v>
      </c>
      <c r="J346" s="859">
        <f t="shared" si="24"/>
        <v>0</v>
      </c>
      <c r="K346" s="1106">
        <f t="shared" si="21"/>
        <v>0</v>
      </c>
      <c r="L346" s="1107">
        <f t="shared" si="25"/>
        <v>0</v>
      </c>
      <c r="M346" s="857">
        <f t="shared" si="28"/>
        <v>0</v>
      </c>
      <c r="N346" s="997">
        <f t="shared" si="22"/>
        <v>0</v>
      </c>
    </row>
    <row r="347" spans="1:14" s="15" customFormat="1" ht="12" x14ac:dyDescent="0.2">
      <c r="A347" s="850">
        <f t="shared" si="26"/>
        <v>95</v>
      </c>
      <c r="B347" s="851">
        <f t="shared" si="27"/>
        <v>90</v>
      </c>
      <c r="C347" s="857">
        <f>IF('S. Setup'!$K$35="used",'3. WorkData'!F104,0)</f>
        <v>0</v>
      </c>
      <c r="D347" s="858">
        <f>IF('S. Setup'!$K$35="used",'3. WorkData'!J104,0)</f>
        <v>0</v>
      </c>
      <c r="E347" s="857">
        <f>IF('S. Setup'!$K$38="used",'6. AnnuityData'!C138,0)</f>
        <v>0</v>
      </c>
      <c r="F347" s="859">
        <f>IF('S. Setup'!$K$38="used",'6. AnnuityData'!D138,0)</f>
        <v>0</v>
      </c>
      <c r="G347" s="859">
        <f>IF('S. Setup'!$K$38="used",'6. AnnuityData'!E138,0)</f>
        <v>0</v>
      </c>
      <c r="H347" s="858">
        <f>IF('S. Setup'!$K$38="used",'6. AnnuityData'!F138,0)</f>
        <v>0</v>
      </c>
      <c r="I347" s="857">
        <f t="shared" si="23"/>
        <v>0</v>
      </c>
      <c r="J347" s="859">
        <f t="shared" si="24"/>
        <v>0</v>
      </c>
      <c r="K347" s="1106">
        <f t="shared" si="21"/>
        <v>0</v>
      </c>
      <c r="L347" s="1107">
        <f t="shared" si="25"/>
        <v>0</v>
      </c>
      <c r="M347" s="857">
        <f t="shared" si="28"/>
        <v>0</v>
      </c>
      <c r="N347" s="997">
        <f t="shared" si="22"/>
        <v>0</v>
      </c>
    </row>
    <row r="348" spans="1:14" s="15" customFormat="1" ht="12.75" thickBot="1" x14ac:dyDescent="0.25">
      <c r="A348" s="852">
        <f t="shared" si="26"/>
        <v>96</v>
      </c>
      <c r="B348" s="853">
        <f t="shared" si="27"/>
        <v>91</v>
      </c>
      <c r="C348" s="921">
        <f>IF('S. Setup'!$K$35="used",'3. WorkData'!F105,0)</f>
        <v>0</v>
      </c>
      <c r="D348" s="923">
        <f>IF('S. Setup'!$K$35="used",'3. WorkData'!J105,0)</f>
        <v>0</v>
      </c>
      <c r="E348" s="921">
        <f>IF('S. Setup'!$K$38="used",'6. AnnuityData'!C139,0)</f>
        <v>0</v>
      </c>
      <c r="F348" s="922">
        <f>IF('S. Setup'!$K$38="used",'6. AnnuityData'!D139,0)</f>
        <v>0</v>
      </c>
      <c r="G348" s="922">
        <f>IF('S. Setup'!$K$38="used",'6. AnnuityData'!E139,0)</f>
        <v>0</v>
      </c>
      <c r="H348" s="923">
        <f>IF('S. Setup'!$K$38="used",'6. AnnuityData'!F139,0)</f>
        <v>0</v>
      </c>
      <c r="I348" s="921">
        <f t="shared" si="23"/>
        <v>0</v>
      </c>
      <c r="J348" s="923">
        <f t="shared" si="24"/>
        <v>0</v>
      </c>
      <c r="K348" s="1108">
        <f t="shared" si="21"/>
        <v>0</v>
      </c>
      <c r="L348" s="1109">
        <f t="shared" si="25"/>
        <v>0</v>
      </c>
      <c r="M348" s="1110">
        <f t="shared" si="28"/>
        <v>0</v>
      </c>
      <c r="N348" s="998">
        <f t="shared" si="22"/>
        <v>0</v>
      </c>
    </row>
    <row r="349" spans="1:14" s="15" customFormat="1" ht="13.5" thickTop="1" x14ac:dyDescent="0.25">
      <c r="A349" s="168"/>
      <c r="B349" s="70"/>
      <c r="C349" s="71"/>
      <c r="D349" s="71"/>
      <c r="E349" s="71"/>
      <c r="F349" s="71"/>
      <c r="G349" s="72"/>
      <c r="H349" s="72"/>
      <c r="I349" s="71"/>
      <c r="J349" s="71"/>
      <c r="K349" s="71"/>
      <c r="L349" s="71"/>
      <c r="M349" s="71"/>
      <c r="N349" s="2025"/>
    </row>
    <row r="350" spans="1:14" s="15" customFormat="1" ht="13.5" thickBot="1" x14ac:dyDescent="0.3">
      <c r="A350" s="1997"/>
      <c r="B350" s="70"/>
      <c r="C350" s="71"/>
      <c r="D350" s="71"/>
      <c r="E350" s="71"/>
      <c r="F350" s="71"/>
      <c r="G350" s="72"/>
      <c r="H350" s="72"/>
      <c r="I350" s="71"/>
      <c r="J350" s="71"/>
      <c r="K350" s="71"/>
      <c r="L350" s="71"/>
      <c r="M350" s="71"/>
      <c r="N350" s="2002"/>
    </row>
    <row r="351" spans="1:14" s="15" customFormat="1" ht="19.5" thickTop="1" x14ac:dyDescent="0.3">
      <c r="A351" s="1340" t="s">
        <v>1618</v>
      </c>
      <c r="B351" s="1341"/>
      <c r="C351" s="1976"/>
      <c r="D351" s="1976"/>
      <c r="E351" s="1977"/>
      <c r="F351" s="1978"/>
      <c r="G351" s="1979"/>
      <c r="H351" s="1980"/>
      <c r="I351" s="1981"/>
      <c r="J351" s="1981"/>
      <c r="K351" s="1982"/>
      <c r="L351" s="1983"/>
      <c r="M351" s="1635"/>
      <c r="N351" s="1342"/>
    </row>
    <row r="352" spans="1:14" s="15" customFormat="1" ht="18" x14ac:dyDescent="0.25">
      <c r="A352" s="1416" t="s">
        <v>1582</v>
      </c>
      <c r="B352" s="6"/>
      <c r="C352" s="170"/>
      <c r="D352" s="170"/>
      <c r="E352" s="171"/>
      <c r="F352" s="172"/>
      <c r="G352" s="173"/>
      <c r="H352" s="174"/>
      <c r="I352" s="75"/>
      <c r="J352" s="75"/>
      <c r="K352" s="130"/>
      <c r="L352" s="175"/>
      <c r="M352" s="33"/>
      <c r="N352" s="1311"/>
    </row>
    <row r="353" spans="1:14" s="15" customFormat="1" ht="18" x14ac:dyDescent="0.25">
      <c r="A353" s="1416" t="s">
        <v>1546</v>
      </c>
      <c r="B353" s="6"/>
      <c r="C353" s="170"/>
      <c r="D353" s="170"/>
      <c r="E353" s="171"/>
      <c r="F353" s="172"/>
      <c r="G353" s="173"/>
      <c r="H353" s="174"/>
      <c r="I353" s="75"/>
      <c r="J353" s="75"/>
      <c r="K353" s="130"/>
      <c r="L353" s="175"/>
      <c r="M353" s="33"/>
      <c r="N353" s="1311"/>
    </row>
    <row r="354" spans="1:14" s="15" customFormat="1" ht="12" x14ac:dyDescent="0.2">
      <c r="A354" s="1444"/>
      <c r="B354" s="851"/>
      <c r="C354" s="837"/>
      <c r="D354" s="837"/>
      <c r="E354" s="837"/>
      <c r="F354" s="837"/>
      <c r="G354" s="837"/>
      <c r="H354" s="837"/>
      <c r="I354" s="837"/>
      <c r="J354" s="837"/>
      <c r="K354" s="837"/>
      <c r="L354" s="837"/>
      <c r="M354" s="867"/>
      <c r="N354" s="1895"/>
    </row>
    <row r="355" spans="1:14" s="15" customFormat="1" ht="12.75" x14ac:dyDescent="0.25">
      <c r="A355" s="1997"/>
      <c r="B355" s="70"/>
      <c r="C355" s="71"/>
      <c r="D355" s="71"/>
      <c r="E355" s="71"/>
      <c r="F355" s="71"/>
      <c r="G355" s="72"/>
      <c r="H355" s="72"/>
      <c r="I355" s="71"/>
      <c r="J355" s="71"/>
      <c r="K355" s="71"/>
      <c r="L355" s="71"/>
      <c r="M355" s="71"/>
      <c r="N355" s="1430"/>
    </row>
    <row r="356" spans="1:14" s="15" customFormat="1" ht="12.75" x14ac:dyDescent="0.25">
      <c r="A356" s="1997"/>
      <c r="B356" s="70"/>
      <c r="C356" s="71"/>
      <c r="D356" s="71"/>
      <c r="E356" s="71"/>
      <c r="F356" s="71"/>
      <c r="G356" s="72"/>
      <c r="H356" s="72"/>
      <c r="I356" s="71"/>
      <c r="J356" s="71"/>
      <c r="K356" s="71"/>
      <c r="L356" s="71"/>
      <c r="M356" s="71"/>
      <c r="N356" s="1430"/>
    </row>
    <row r="357" spans="1:14" s="15" customFormat="1" ht="12.75" x14ac:dyDescent="0.25">
      <c r="A357" s="1997"/>
      <c r="B357" s="70"/>
      <c r="C357" s="71"/>
      <c r="D357" s="71"/>
      <c r="E357" s="71"/>
      <c r="F357" s="71"/>
      <c r="G357" s="72"/>
      <c r="H357" s="72"/>
      <c r="I357" s="71"/>
      <c r="J357" s="71"/>
      <c r="K357" s="71"/>
      <c r="L357" s="71"/>
      <c r="M357" s="71"/>
      <c r="N357" s="1430"/>
    </row>
    <row r="358" spans="1:14" s="15" customFormat="1" ht="12.75" x14ac:dyDescent="0.25">
      <c r="A358" s="1997"/>
      <c r="B358" s="70"/>
      <c r="C358" s="71"/>
      <c r="D358" s="71"/>
      <c r="E358" s="71"/>
      <c r="F358" s="71"/>
      <c r="G358" s="72"/>
      <c r="H358" s="72"/>
      <c r="I358" s="71"/>
      <c r="J358" s="71"/>
      <c r="K358" s="71"/>
      <c r="L358" s="71"/>
      <c r="M358" s="71"/>
      <c r="N358" s="1430"/>
    </row>
    <row r="359" spans="1:14" s="15" customFormat="1" ht="12.75" x14ac:dyDescent="0.25">
      <c r="A359" s="1997"/>
      <c r="B359" s="70"/>
      <c r="C359" s="71"/>
      <c r="D359" s="71"/>
      <c r="E359" s="71"/>
      <c r="F359" s="71"/>
      <c r="G359" s="72"/>
      <c r="H359" s="72"/>
      <c r="I359" s="71"/>
      <c r="J359" s="71"/>
      <c r="K359" s="71"/>
      <c r="L359" s="71"/>
      <c r="M359" s="71"/>
      <c r="N359" s="1430"/>
    </row>
    <row r="360" spans="1:14" s="15" customFormat="1" ht="12.75" x14ac:dyDescent="0.25">
      <c r="A360" s="1997"/>
      <c r="B360" s="70"/>
      <c r="C360" s="71"/>
      <c r="D360" s="71"/>
      <c r="E360" s="71"/>
      <c r="F360" s="71"/>
      <c r="G360" s="72"/>
      <c r="H360" s="72"/>
      <c r="I360" s="71"/>
      <c r="J360" s="71"/>
      <c r="K360" s="71"/>
      <c r="L360" s="71"/>
      <c r="M360" s="71"/>
      <c r="N360" s="1430"/>
    </row>
    <row r="361" spans="1:14" s="15" customFormat="1" ht="12.75" x14ac:dyDescent="0.25">
      <c r="A361" s="1997"/>
      <c r="B361" s="70"/>
      <c r="C361" s="71"/>
      <c r="D361" s="71"/>
      <c r="E361" s="71"/>
      <c r="F361" s="71"/>
      <c r="G361" s="72"/>
      <c r="H361" s="72"/>
      <c r="I361" s="71"/>
      <c r="J361" s="71"/>
      <c r="K361" s="71"/>
      <c r="L361" s="71"/>
      <c r="M361" s="71"/>
      <c r="N361" s="1430"/>
    </row>
    <row r="362" spans="1:14" s="15" customFormat="1" ht="12.75" x14ac:dyDescent="0.25">
      <c r="A362" s="1997"/>
      <c r="B362" s="70"/>
      <c r="C362" s="71"/>
      <c r="D362" s="71"/>
      <c r="E362" s="71"/>
      <c r="F362" s="71"/>
      <c r="G362" s="72"/>
      <c r="H362" s="72"/>
      <c r="I362" s="71"/>
      <c r="J362" s="71"/>
      <c r="K362" s="71"/>
      <c r="L362" s="71"/>
      <c r="M362" s="71"/>
      <c r="N362" s="1430"/>
    </row>
    <row r="363" spans="1:14" s="15" customFormat="1" ht="12.75" x14ac:dyDescent="0.25">
      <c r="A363" s="1997"/>
      <c r="B363" s="70"/>
      <c r="C363" s="71"/>
      <c r="D363" s="71"/>
      <c r="E363" s="71"/>
      <c r="F363" s="71"/>
      <c r="G363" s="72"/>
      <c r="H363" s="72"/>
      <c r="I363" s="71"/>
      <c r="J363" s="71"/>
      <c r="K363" s="71"/>
      <c r="L363" s="71"/>
      <c r="M363" s="71"/>
      <c r="N363" s="1430"/>
    </row>
    <row r="364" spans="1:14" s="15" customFormat="1" ht="12.75" x14ac:dyDescent="0.25">
      <c r="A364" s="1997"/>
      <c r="B364" s="70"/>
      <c r="C364" s="71"/>
      <c r="D364" s="71"/>
      <c r="E364" s="71"/>
      <c r="F364" s="71"/>
      <c r="G364" s="72"/>
      <c r="H364" s="72"/>
      <c r="I364" s="71"/>
      <c r="J364" s="71"/>
      <c r="K364" s="71"/>
      <c r="L364" s="71"/>
      <c r="M364" s="71"/>
      <c r="N364" s="1430"/>
    </row>
    <row r="365" spans="1:14" s="15" customFormat="1" ht="12.75" x14ac:dyDescent="0.25">
      <c r="A365" s="1997"/>
      <c r="B365" s="70"/>
      <c r="C365" s="71"/>
      <c r="D365" s="71"/>
      <c r="E365" s="71"/>
      <c r="F365" s="71"/>
      <c r="G365" s="72"/>
      <c r="H365" s="72"/>
      <c r="I365" s="71"/>
      <c r="J365" s="71"/>
      <c r="K365" s="71"/>
      <c r="L365" s="71"/>
      <c r="M365" s="71"/>
      <c r="N365" s="1430"/>
    </row>
    <row r="366" spans="1:14" s="15" customFormat="1" ht="12.75" x14ac:dyDescent="0.25">
      <c r="A366" s="1997"/>
      <c r="B366" s="70"/>
      <c r="C366" s="71"/>
      <c r="D366" s="71"/>
      <c r="E366" s="71"/>
      <c r="F366" s="71"/>
      <c r="G366" s="72"/>
      <c r="H366" s="72"/>
      <c r="I366" s="71"/>
      <c r="J366" s="71"/>
      <c r="K366" s="71"/>
      <c r="L366" s="71"/>
      <c r="M366" s="71"/>
      <c r="N366" s="1430"/>
    </row>
    <row r="367" spans="1:14" s="15" customFormat="1" ht="12.75" x14ac:dyDescent="0.25">
      <c r="A367" s="1997"/>
      <c r="B367" s="70"/>
      <c r="C367" s="71"/>
      <c r="D367" s="71"/>
      <c r="E367" s="71"/>
      <c r="F367" s="71"/>
      <c r="G367" s="72"/>
      <c r="H367" s="72"/>
      <c r="I367" s="71"/>
      <c r="J367" s="71"/>
      <c r="K367" s="71"/>
      <c r="L367" s="71"/>
      <c r="M367" s="71"/>
      <c r="N367" s="1430"/>
    </row>
    <row r="368" spans="1:14" s="15" customFormat="1" ht="12.75" x14ac:dyDescent="0.25">
      <c r="A368" s="1997"/>
      <c r="B368" s="70"/>
      <c r="C368" s="71"/>
      <c r="D368" s="71"/>
      <c r="E368" s="71"/>
      <c r="F368" s="71"/>
      <c r="G368" s="72"/>
      <c r="H368" s="72"/>
      <c r="I368" s="71"/>
      <c r="J368" s="71"/>
      <c r="K368" s="71"/>
      <c r="L368" s="71"/>
      <c r="M368" s="71"/>
      <c r="N368" s="1430"/>
    </row>
    <row r="369" spans="1:14" s="15" customFormat="1" ht="12.75" x14ac:dyDescent="0.25">
      <c r="A369" s="1997"/>
      <c r="B369" s="70"/>
      <c r="C369" s="71"/>
      <c r="D369" s="71"/>
      <c r="E369" s="71"/>
      <c r="F369" s="71"/>
      <c r="G369" s="72"/>
      <c r="H369" s="72"/>
      <c r="I369" s="71"/>
      <c r="J369" s="71"/>
      <c r="K369" s="71"/>
      <c r="L369" s="71"/>
      <c r="M369" s="71"/>
      <c r="N369" s="1430"/>
    </row>
    <row r="370" spans="1:14" s="15" customFormat="1" ht="12.75" x14ac:dyDescent="0.25">
      <c r="A370" s="1997"/>
      <c r="B370" s="70"/>
      <c r="C370" s="71"/>
      <c r="D370" s="71"/>
      <c r="E370" s="71"/>
      <c r="F370" s="71"/>
      <c r="G370" s="72"/>
      <c r="H370" s="72"/>
      <c r="I370" s="71"/>
      <c r="J370" s="71"/>
      <c r="K370" s="71"/>
      <c r="L370" s="71"/>
      <c r="M370" s="71"/>
      <c r="N370" s="1430"/>
    </row>
    <row r="371" spans="1:14" s="15" customFormat="1" ht="12.75" x14ac:dyDescent="0.25">
      <c r="A371" s="1997"/>
      <c r="B371" s="70"/>
      <c r="C371" s="71"/>
      <c r="D371" s="71"/>
      <c r="E371" s="71"/>
      <c r="F371" s="71"/>
      <c r="G371" s="72"/>
      <c r="H371" s="72"/>
      <c r="I371" s="71"/>
      <c r="J371" s="71"/>
      <c r="K371" s="71"/>
      <c r="L371" s="71"/>
      <c r="M371" s="71"/>
      <c r="N371" s="1430"/>
    </row>
    <row r="372" spans="1:14" s="15" customFormat="1" ht="12.75" x14ac:dyDescent="0.25">
      <c r="A372" s="1997"/>
      <c r="B372" s="70"/>
      <c r="C372" s="71"/>
      <c r="D372" s="71"/>
      <c r="E372" s="71"/>
      <c r="F372" s="71"/>
      <c r="G372" s="72"/>
      <c r="H372" s="72"/>
      <c r="I372" s="71"/>
      <c r="J372" s="71"/>
      <c r="K372" s="71"/>
      <c r="L372" s="71"/>
      <c r="M372" s="71"/>
      <c r="N372" s="1430"/>
    </row>
    <row r="373" spans="1:14" s="15" customFormat="1" ht="13.5" thickBot="1" x14ac:dyDescent="0.3">
      <c r="A373" s="1998"/>
      <c r="B373" s="1999"/>
      <c r="C373" s="2000"/>
      <c r="D373" s="2000"/>
      <c r="E373" s="2000"/>
      <c r="F373" s="2000"/>
      <c r="G373" s="2001"/>
      <c r="H373" s="2001"/>
      <c r="I373" s="2000"/>
      <c r="J373" s="2000"/>
      <c r="K373" s="2000"/>
      <c r="L373" s="2000"/>
      <c r="M373" s="2000"/>
      <c r="N373" s="2002"/>
    </row>
    <row r="374" spans="1:14" s="15" customFormat="1" ht="13.5" thickTop="1" x14ac:dyDescent="0.25">
      <c r="A374" s="1997"/>
      <c r="B374" s="70"/>
      <c r="C374" s="71"/>
      <c r="D374" s="71"/>
      <c r="E374" s="71"/>
      <c r="F374" s="71"/>
      <c r="G374" s="72"/>
      <c r="H374" s="72"/>
      <c r="I374" s="71"/>
      <c r="J374" s="71"/>
      <c r="K374" s="71"/>
      <c r="L374" s="71"/>
      <c r="M374" s="71"/>
      <c r="N374" s="71"/>
    </row>
    <row r="375" spans="1:14" s="15" customFormat="1" ht="12.75" x14ac:dyDescent="0.25">
      <c r="A375" s="1997"/>
      <c r="B375" s="70"/>
      <c r="C375" s="71"/>
      <c r="D375" s="71"/>
      <c r="E375" s="71"/>
      <c r="F375" s="71"/>
      <c r="G375" s="72"/>
      <c r="H375" s="72"/>
      <c r="I375" s="71"/>
      <c r="J375" s="71"/>
      <c r="K375" s="71"/>
      <c r="L375" s="71"/>
      <c r="M375" s="71"/>
      <c r="N375" s="71"/>
    </row>
    <row r="376" spans="1:14" s="15" customFormat="1" ht="13.5" thickBot="1" x14ac:dyDescent="0.3">
      <c r="A376" s="168"/>
      <c r="B376" s="70"/>
      <c r="C376" s="71"/>
      <c r="D376" s="71"/>
      <c r="E376" s="71"/>
      <c r="F376" s="71"/>
      <c r="G376" s="72"/>
      <c r="H376" s="72"/>
      <c r="I376" s="71"/>
      <c r="J376" s="71"/>
      <c r="K376" s="71"/>
      <c r="L376" s="71"/>
      <c r="M376" s="71"/>
      <c r="N376" s="71"/>
    </row>
    <row r="377" spans="1:14" s="2" customFormat="1" ht="19.5" thickTop="1" x14ac:dyDescent="0.3">
      <c r="A377" s="1340" t="s">
        <v>889</v>
      </c>
      <c r="B377" s="1359"/>
      <c r="C377" s="1359"/>
      <c r="D377" s="1359"/>
      <c r="E377" s="1359"/>
      <c r="F377" s="1359"/>
      <c r="G377" s="1359"/>
      <c r="H377" s="1359"/>
      <c r="I377" s="1359"/>
      <c r="J377" s="1359"/>
      <c r="K377" s="1359"/>
      <c r="L377" s="1359"/>
      <c r="M377" s="1525"/>
      <c r="N377" s="1526"/>
    </row>
    <row r="378" spans="1:14" s="2" customFormat="1" ht="18.75" x14ac:dyDescent="0.3">
      <c r="A378" s="1438" t="s">
        <v>435</v>
      </c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131"/>
      <c r="N378" s="1527"/>
    </row>
    <row r="379" spans="1:14" s="2" customFormat="1" x14ac:dyDescent="0.25">
      <c r="A379" s="1435" t="s">
        <v>292</v>
      </c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131"/>
      <c r="N379" s="1527"/>
    </row>
    <row r="380" spans="1:14" s="10" customFormat="1" ht="12.75" customHeight="1" x14ac:dyDescent="0.25">
      <c r="A380" s="1435" t="s">
        <v>293</v>
      </c>
      <c r="B380" s="332"/>
      <c r="C380" s="332"/>
      <c r="D380" s="332"/>
      <c r="E380" s="332"/>
      <c r="F380" s="332"/>
      <c r="G380" s="332"/>
      <c r="H380" s="332"/>
      <c r="I380" s="363"/>
      <c r="J380" s="304"/>
      <c r="K380" s="364"/>
      <c r="L380" s="364"/>
      <c r="M380" s="365"/>
      <c r="N380" s="1528"/>
    </row>
    <row r="381" spans="1:14" s="10" customFormat="1" ht="12.75" customHeight="1" x14ac:dyDescent="0.25">
      <c r="A381" s="1435" t="s">
        <v>295</v>
      </c>
      <c r="B381" s="332"/>
      <c r="C381" s="332"/>
      <c r="D381" s="332"/>
      <c r="E381" s="332"/>
      <c r="F381" s="332"/>
      <c r="G381" s="332"/>
      <c r="H381" s="332"/>
      <c r="I381" s="363"/>
      <c r="J381" s="304"/>
      <c r="K381" s="364"/>
      <c r="L381" s="364"/>
      <c r="M381" s="365"/>
      <c r="N381" s="1528"/>
    </row>
    <row r="382" spans="1:14" s="10" customFormat="1" ht="12.75" customHeight="1" x14ac:dyDescent="0.25">
      <c r="A382" s="1435"/>
      <c r="B382" s="332"/>
      <c r="C382" s="332"/>
      <c r="D382" s="332"/>
      <c r="E382" s="332"/>
      <c r="F382" s="332"/>
      <c r="G382" s="332"/>
      <c r="H382" s="332"/>
      <c r="I382" s="363"/>
      <c r="J382" s="304"/>
      <c r="K382" s="364"/>
      <c r="L382" s="364"/>
      <c r="M382" s="365"/>
      <c r="N382" s="1528"/>
    </row>
    <row r="383" spans="1:14" s="10" customFormat="1" ht="15" customHeight="1" x14ac:dyDescent="0.25">
      <c r="A383" s="1529"/>
      <c r="B383" s="1026" t="s">
        <v>211</v>
      </c>
      <c r="C383" s="364"/>
      <c r="D383" s="364"/>
      <c r="E383" s="364"/>
      <c r="F383" s="364"/>
      <c r="G383" s="364"/>
      <c r="H383" s="3" t="s">
        <v>294</v>
      </c>
      <c r="I383" s="364"/>
      <c r="J383" s="364"/>
      <c r="K383" s="364"/>
      <c r="L383" s="364"/>
      <c r="M383" s="364"/>
      <c r="N383" s="1422"/>
    </row>
    <row r="384" spans="1:14" s="10" customFormat="1" ht="15" customHeight="1" x14ac:dyDescent="0.25">
      <c r="A384" s="1529"/>
      <c r="B384" s="1026" t="s">
        <v>210</v>
      </c>
      <c r="C384" s="364"/>
      <c r="D384" s="364"/>
      <c r="E384" s="364"/>
      <c r="F384" s="364"/>
      <c r="G384" s="364"/>
      <c r="H384" s="364"/>
      <c r="I384" s="364"/>
      <c r="J384" s="364"/>
      <c r="K384" s="364"/>
      <c r="L384" s="364"/>
      <c r="M384" s="364"/>
      <c r="N384" s="1422"/>
    </row>
    <row r="385" spans="1:14" s="10" customFormat="1" ht="15" customHeight="1" x14ac:dyDescent="0.25">
      <c r="A385" s="1529"/>
      <c r="B385" s="1026"/>
      <c r="C385" s="364"/>
      <c r="D385" s="364"/>
      <c r="E385" s="364"/>
      <c r="F385" s="364"/>
      <c r="G385" s="364"/>
      <c r="H385" s="364"/>
      <c r="I385" s="364"/>
      <c r="J385" s="364"/>
      <c r="K385" s="364"/>
      <c r="L385" s="364"/>
      <c r="M385" s="364"/>
      <c r="N385" s="1422"/>
    </row>
    <row r="386" spans="1:14" s="10" customFormat="1" ht="15" customHeight="1" x14ac:dyDescent="0.25">
      <c r="A386" s="1416" t="s">
        <v>3679</v>
      </c>
      <c r="B386" s="1026"/>
      <c r="C386" s="364"/>
      <c r="D386" s="364"/>
      <c r="E386" s="364"/>
      <c r="F386" s="364"/>
      <c r="G386" s="364"/>
      <c r="H386" s="364"/>
      <c r="I386" s="364"/>
      <c r="J386" s="364"/>
      <c r="K386" s="364"/>
      <c r="L386" s="364"/>
      <c r="M386" s="364"/>
      <c r="N386" s="1422"/>
    </row>
    <row r="387" spans="1:14" s="10" customFormat="1" ht="15" customHeight="1" x14ac:dyDescent="0.25">
      <c r="A387" s="1435" t="s">
        <v>296</v>
      </c>
      <c r="B387" s="93"/>
      <c r="C387" s="364"/>
      <c r="D387" s="364"/>
      <c r="E387" s="364"/>
      <c r="F387" s="364"/>
      <c r="G387" s="364"/>
      <c r="H387" s="364"/>
      <c r="I387" s="364"/>
      <c r="J387" s="364"/>
      <c r="K387" s="364"/>
      <c r="L387" s="364"/>
      <c r="M387" s="364"/>
      <c r="N387" s="1422"/>
    </row>
    <row r="388" spans="1:14" s="10" customFormat="1" ht="15" customHeight="1" x14ac:dyDescent="0.3">
      <c r="A388" s="1529"/>
      <c r="B388" s="93"/>
      <c r="C388" s="364"/>
      <c r="D388" s="364"/>
      <c r="E388" s="1065" t="s">
        <v>331</v>
      </c>
      <c r="F388" s="364"/>
      <c r="G388" s="364"/>
      <c r="H388" s="364"/>
      <c r="I388" s="979" t="s">
        <v>1108</v>
      </c>
      <c r="J388" s="1475"/>
      <c r="K388" s="979" t="s">
        <v>1100</v>
      </c>
      <c r="L388" s="5"/>
      <c r="M388" s="364"/>
      <c r="N388" s="1422"/>
    </row>
    <row r="389" spans="1:14" s="369" customFormat="1" ht="18.75" customHeight="1" thickBot="1" x14ac:dyDescent="0.3">
      <c r="A389" s="1530"/>
      <c r="B389" s="368"/>
      <c r="C389" s="368"/>
      <c r="D389" s="368"/>
      <c r="E389" s="368"/>
      <c r="F389" s="368"/>
      <c r="G389" s="368"/>
      <c r="H389" s="368"/>
      <c r="I389" s="109"/>
      <c r="J389" s="109"/>
      <c r="K389" s="889"/>
      <c r="L389" s="368"/>
      <c r="M389" s="368"/>
      <c r="N389" s="1531"/>
    </row>
    <row r="390" spans="1:14" s="778" customFormat="1" ht="18.75" customHeight="1" thickBot="1" x14ac:dyDescent="0.35">
      <c r="A390" s="1532"/>
      <c r="B390" s="809"/>
      <c r="C390" s="818" t="str">
        <f>IF('S. Setup'!$J$57="no","IGNORING irregular IRA (Contributions - Withdrawals) by using $0","USING irregular IRA (Contributions - Withdrawals)")</f>
        <v>USING irregular IRA (Contributions - Withdrawals)</v>
      </c>
      <c r="D390" s="819"/>
      <c r="E390" s="819"/>
      <c r="F390" s="819"/>
      <c r="G390" s="819"/>
      <c r="H390" s="819"/>
      <c r="I390" s="715"/>
      <c r="J390" s="715"/>
      <c r="K390" s="716"/>
      <c r="L390" s="659"/>
      <c r="M390" s="368"/>
      <c r="N390" s="1533"/>
    </row>
    <row r="391" spans="1:14" s="778" customFormat="1" ht="18.75" customHeight="1" thickBot="1" x14ac:dyDescent="0.35">
      <c r="A391" s="1532"/>
      <c r="B391" s="809"/>
      <c r="C391" s="881"/>
      <c r="D391" s="881"/>
      <c r="E391" s="881"/>
      <c r="F391" s="881"/>
      <c r="G391" s="881"/>
      <c r="H391" s="881"/>
      <c r="I391" s="712"/>
      <c r="J391" s="712"/>
      <c r="K391" s="890"/>
      <c r="L391" s="659"/>
      <c r="M391" s="368"/>
      <c r="N391" s="1533"/>
    </row>
    <row r="392" spans="1:14" s="778" customFormat="1" ht="18.75" customHeight="1" thickBot="1" x14ac:dyDescent="0.35">
      <c r="A392" s="1532"/>
      <c r="B392" s="809"/>
      <c r="C392" s="818" t="str">
        <f>IF('S. Setup'!$J$59="no","IGNORING irregular Roth (Contributions - Withdrawals) by using $0","USING irregular Roth (Contributions - Withdrawals)")</f>
        <v>USING irregular Roth (Contributions - Withdrawals)</v>
      </c>
      <c r="D392" s="820"/>
      <c r="E392" s="820"/>
      <c r="F392" s="820"/>
      <c r="G392" s="820"/>
      <c r="H392" s="820"/>
      <c r="I392" s="715"/>
      <c r="J392" s="715"/>
      <c r="K392" s="716"/>
      <c r="L392" s="659"/>
      <c r="M392" s="368"/>
      <c r="N392" s="1533"/>
    </row>
    <row r="393" spans="1:14" s="778" customFormat="1" ht="18.75" customHeight="1" x14ac:dyDescent="0.3">
      <c r="A393" s="1532"/>
      <c r="B393" s="809"/>
      <c r="C393" s="881"/>
      <c r="D393" s="881"/>
      <c r="E393" s="881"/>
      <c r="F393" s="881"/>
      <c r="G393" s="881"/>
      <c r="H393" s="881"/>
      <c r="I393" s="712"/>
      <c r="J393" s="712"/>
      <c r="K393" s="712"/>
      <c r="L393" s="1066"/>
      <c r="M393" s="809"/>
      <c r="N393" s="1533"/>
    </row>
    <row r="394" spans="1:14" s="368" customFormat="1" ht="18.75" customHeight="1" x14ac:dyDescent="0.25">
      <c r="A394" s="1534"/>
      <c r="B394" s="75"/>
      <c r="C394" s="6" t="s">
        <v>70</v>
      </c>
      <c r="D394" s="6"/>
      <c r="E394" s="6"/>
      <c r="F394" s="6"/>
      <c r="G394" s="6"/>
      <c r="H394" s="6"/>
      <c r="I394" s="6"/>
      <c r="J394" s="6"/>
      <c r="K394" s="1025" t="s">
        <v>611</v>
      </c>
      <c r="L394" s="75"/>
      <c r="M394" s="109"/>
      <c r="N394" s="1535"/>
    </row>
    <row r="395" spans="1:14" s="369" customFormat="1" ht="18" customHeight="1" thickBot="1" x14ac:dyDescent="0.25">
      <c r="A395" s="1536"/>
      <c r="B395" s="48"/>
      <c r="C395" s="1537"/>
      <c r="D395" s="48"/>
      <c r="E395" s="48"/>
      <c r="F395" s="48"/>
      <c r="G395" s="48"/>
      <c r="H395" s="48"/>
      <c r="I395" s="1538"/>
      <c r="J395" s="1539"/>
      <c r="K395" s="1540"/>
      <c r="L395" s="1540"/>
      <c r="M395" s="2620"/>
      <c r="N395" s="2621"/>
    </row>
    <row r="396" spans="1:14" s="443" customFormat="1" ht="75.75" customHeight="1" thickTop="1" thickBot="1" x14ac:dyDescent="0.25">
      <c r="A396" s="1519" t="s">
        <v>142</v>
      </c>
      <c r="B396" s="1520" t="s">
        <v>143</v>
      </c>
      <c r="C396" s="1521" t="s">
        <v>601</v>
      </c>
      <c r="D396" s="1521" t="s">
        <v>602</v>
      </c>
      <c r="E396" s="1522" t="s">
        <v>603</v>
      </c>
      <c r="F396" s="1522" t="s">
        <v>494</v>
      </c>
      <c r="G396" s="1523" t="s">
        <v>1583</v>
      </c>
      <c r="H396" s="1523" t="s">
        <v>1584</v>
      </c>
      <c r="I396" s="1524" t="s">
        <v>495</v>
      </c>
      <c r="J396" s="1524" t="s">
        <v>496</v>
      </c>
      <c r="K396" s="1521" t="s">
        <v>497</v>
      </c>
      <c r="L396" s="2619" t="s">
        <v>498</v>
      </c>
      <c r="M396" s="2622"/>
      <c r="N396" s="2623"/>
    </row>
    <row r="397" spans="1:14" s="383" customFormat="1" ht="16.5" customHeight="1" thickTop="1" x14ac:dyDescent="0.2">
      <c r="A397" s="848">
        <f>'1. AgeData'!$D$30</f>
        <v>60</v>
      </c>
      <c r="B397" s="849">
        <f>'1. AgeData'!$D$31</f>
        <v>55</v>
      </c>
      <c r="C397" s="854">
        <f>'7. IRAdata'!L363</f>
        <v>215000</v>
      </c>
      <c r="D397" s="854">
        <f>'7. IRAdata'!M363</f>
        <v>90000</v>
      </c>
      <c r="E397" s="854">
        <f>'7. IRAdata'!I407</f>
        <v>500</v>
      </c>
      <c r="F397" s="854">
        <f>'7. IRAdata'!J407</f>
        <v>2500</v>
      </c>
      <c r="G397" s="3039">
        <f>IF('S. Setup'!$K$40&lt;&gt;"used",0,'8. RothData'!$L294)</f>
        <v>33000</v>
      </c>
      <c r="H397" s="1432">
        <f>IF('S. Setup'!$K$40&lt;&gt;"used",0,'8. RothData'!$M294)</f>
        <v>26000</v>
      </c>
      <c r="I397" s="854">
        <f>IF('S. Setup'!$K$40&lt;&gt;"used",0,'8. RothData'!$I338)</f>
        <v>123</v>
      </c>
      <c r="J397" s="2009">
        <f>IF('S. Setup'!$K$40&lt;&gt;"used",0,'8. RothData'!$J338)</f>
        <v>0</v>
      </c>
      <c r="K397" s="3035">
        <f t="shared" ref="K397:K433" si="29">$E397+$F397</f>
        <v>3000</v>
      </c>
      <c r="L397" s="854">
        <f t="shared" ref="L397:L433" si="30">I397+J397</f>
        <v>123</v>
      </c>
      <c r="M397" s="2332"/>
      <c r="N397" s="1387"/>
    </row>
    <row r="398" spans="1:14" s="383" customFormat="1" ht="12" customHeight="1" x14ac:dyDescent="0.2">
      <c r="A398" s="850">
        <f>A397+1</f>
        <v>61</v>
      </c>
      <c r="B398" s="851">
        <f>B397+1</f>
        <v>56</v>
      </c>
      <c r="C398" s="857">
        <f>'7. IRAdata'!L364</f>
        <v>215000</v>
      </c>
      <c r="D398" s="857">
        <f>'7. IRAdata'!M364</f>
        <v>90826.87040392877</v>
      </c>
      <c r="E398" s="857">
        <f>'7. IRAdata'!I408</f>
        <v>2500</v>
      </c>
      <c r="F398" s="857">
        <f>'7. IRAdata'!J408</f>
        <v>2589.75</v>
      </c>
      <c r="G398" s="3040">
        <f>IF('S. Setup'!$K$40&lt;&gt;"used",0,'8. RothData'!$L295)</f>
        <v>32954.312845802677</v>
      </c>
      <c r="H398" s="858">
        <f>IF('S. Setup'!$K$40&lt;&gt;"used",0,'8. RothData'!$M295)</f>
        <v>25900.850276642141</v>
      </c>
      <c r="I398" s="857">
        <f>IF('S. Setup'!$K$40&lt;&gt;"used",0,'8. RothData'!$I339)</f>
        <v>1644.845</v>
      </c>
      <c r="J398" s="859">
        <f>IF('S. Setup'!$K$40&lt;&gt;"used",0,'8. RothData'!$J339)</f>
        <v>2009.9999999999998</v>
      </c>
      <c r="K398" s="3036">
        <f t="shared" si="29"/>
        <v>5089.75</v>
      </c>
      <c r="L398" s="857">
        <f t="shared" si="30"/>
        <v>3654.8449999999998</v>
      </c>
      <c r="M398" s="2332"/>
      <c r="N398" s="1387"/>
    </row>
    <row r="399" spans="1:14" s="383" customFormat="1" ht="15.75" customHeight="1" x14ac:dyDescent="0.2">
      <c r="A399" s="850">
        <f t="shared" ref="A399:A433" si="31">A398+1</f>
        <v>62</v>
      </c>
      <c r="B399" s="871">
        <f t="shared" ref="B399:B433" si="32">B398+1</f>
        <v>57</v>
      </c>
      <c r="C399" s="857">
        <f>'7. IRAdata'!L365</f>
        <v>213500</v>
      </c>
      <c r="D399" s="857">
        <f>'7. IRAdata'!M365</f>
        <v>93416.62040392877</v>
      </c>
      <c r="E399" s="857">
        <f>'7. IRAdata'!I409</f>
        <v>2500</v>
      </c>
      <c r="F399" s="857">
        <f>'7. IRAdata'!J409</f>
        <v>2682.722025</v>
      </c>
      <c r="G399" s="3040">
        <f>IF('S. Setup'!$K$40&lt;&gt;"used",0,'8. RothData'!$L296)</f>
        <v>33731.147105257092</v>
      </c>
      <c r="H399" s="858">
        <f>IF('S. Setup'!$K$40&lt;&gt;"used",0,'8. RothData'!$M296)</f>
        <v>27296.059802913489</v>
      </c>
      <c r="I399" s="857">
        <f>IF('S. Setup'!$K$40&lt;&gt;"used",0,'8. RothData'!$I340)</f>
        <v>2187.2176749999999</v>
      </c>
      <c r="J399" s="859">
        <f>IF('S. Setup'!$K$40&lt;&gt;"used",0,'8. RothData'!$J340)</f>
        <v>2020.0499999999995</v>
      </c>
      <c r="K399" s="3036">
        <f t="shared" si="29"/>
        <v>5182.722025</v>
      </c>
      <c r="L399" s="857">
        <f t="shared" si="30"/>
        <v>4207.2676749999991</v>
      </c>
      <c r="M399" s="2332"/>
      <c r="N399" s="1387"/>
    </row>
    <row r="400" spans="1:14" s="383" customFormat="1" ht="13.5" customHeight="1" x14ac:dyDescent="0.2">
      <c r="A400" s="872">
        <f t="shared" si="31"/>
        <v>63</v>
      </c>
      <c r="B400" s="851">
        <f t="shared" si="32"/>
        <v>58</v>
      </c>
      <c r="C400" s="857">
        <f>'7. IRAdata'!L366</f>
        <v>211386.2636757291</v>
      </c>
      <c r="D400" s="857">
        <f>'7. IRAdata'!M366</f>
        <v>100385.60610465785</v>
      </c>
      <c r="E400" s="857">
        <f>'7. IRAdata'!I410</f>
        <v>3667.3288000000002</v>
      </c>
      <c r="F400" s="857">
        <f>'7. IRAdata'!J410</f>
        <v>1179.0317456974999</v>
      </c>
      <c r="G400" s="3040">
        <f>IF('S. Setup'!$K$40&lt;&gt;"used",0,'8. RothData'!$L297)</f>
        <v>34865.970633048448</v>
      </c>
      <c r="H400" s="858">
        <f>IF('S. Setup'!$K$40&lt;&gt;"used",0,'8. RothData'!$M297)</f>
        <v>31034.676767778954</v>
      </c>
      <c r="I400" s="857">
        <f>IF('S. Setup'!$K$40&lt;&gt;"used",0,'8. RothData'!$I341)</f>
        <v>1158.9194401249999</v>
      </c>
      <c r="J400" s="859">
        <f>IF('S. Setup'!$K$40&lt;&gt;"used",0,'8. RothData'!$J341)</f>
        <v>3303.5998499999992</v>
      </c>
      <c r="K400" s="3036">
        <f t="shared" si="29"/>
        <v>4846.3605456975001</v>
      </c>
      <c r="L400" s="857">
        <f t="shared" si="30"/>
        <v>4462.5192901249993</v>
      </c>
      <c r="M400" s="2332"/>
      <c r="N400" s="1387"/>
    </row>
    <row r="401" spans="1:14" s="383" customFormat="1" ht="13.5" customHeight="1" x14ac:dyDescent="0.2">
      <c r="A401" s="850">
        <f t="shared" si="31"/>
        <v>64</v>
      </c>
      <c r="B401" s="851">
        <f t="shared" si="32"/>
        <v>59</v>
      </c>
      <c r="C401" s="857">
        <f>'7. IRAdata'!L367</f>
        <v>208021.59282991878</v>
      </c>
      <c r="D401" s="857">
        <f>'7. IRAdata'!M367</f>
        <v>110334.36700454503</v>
      </c>
      <c r="E401" s="857">
        <f>'7. IRAdata'!I411</f>
        <v>2500</v>
      </c>
      <c r="F401" s="857">
        <f>'7. IRAdata'!J411</f>
        <v>2188.7095373680399</v>
      </c>
      <c r="G401" s="3040">
        <f>IF('S. Setup'!$K$40&lt;&gt;"used",0,'8. RothData'!$L298)</f>
        <v>36135.686074340949</v>
      </c>
      <c r="H401" s="858">
        <f>IF('S. Setup'!$K$40&lt;&gt;"used",0,'8. RothData'!$M298)</f>
        <v>33645.282316772558</v>
      </c>
      <c r="I401" s="857">
        <f>IF('S. Setup'!$K$40&lt;&gt;"used",0,'8. RothData'!$I342)</f>
        <v>1171.151726726875</v>
      </c>
      <c r="J401" s="859">
        <f>IF('S. Setup'!$K$40&lt;&gt;"used",0,'8. RothData'!$J342)</f>
        <v>0</v>
      </c>
      <c r="K401" s="3036">
        <f t="shared" si="29"/>
        <v>4688.7095373680404</v>
      </c>
      <c r="L401" s="857">
        <f t="shared" si="30"/>
        <v>1171.151726726875</v>
      </c>
      <c r="M401" s="2332"/>
      <c r="N401" s="1387"/>
    </row>
    <row r="402" spans="1:14" s="383" customFormat="1" ht="13.5" customHeight="1" x14ac:dyDescent="0.2">
      <c r="A402" s="850">
        <f t="shared" si="31"/>
        <v>65</v>
      </c>
      <c r="B402" s="851">
        <f t="shared" si="32"/>
        <v>60</v>
      </c>
      <c r="C402" s="857">
        <f>'7. IRAdata'!L368</f>
        <v>206558.79952592507</v>
      </c>
      <c r="D402" s="857">
        <f>'7. IRAdata'!M368</f>
        <v>110848.58713616997</v>
      </c>
      <c r="E402" s="857">
        <f>'7. IRAdata'!I412</f>
        <v>0</v>
      </c>
      <c r="F402" s="857">
        <f>'7. IRAdata'!J412</f>
        <v>-2780.7131205040464</v>
      </c>
      <c r="G402" s="3040">
        <f>IF('S. Setup'!$K$40&lt;&gt;"used",0,'8. RothData'!$L299)</f>
        <v>38905.574783017226</v>
      </c>
      <c r="H402" s="858">
        <f>IF('S. Setup'!$K$40&lt;&gt;"used",0,'8. RothData'!$M299)</f>
        <v>34320.241536639718</v>
      </c>
      <c r="I402" s="857">
        <f>IF('S. Setup'!$K$40&lt;&gt;"used",0,'8. RothData'!$I343)</f>
        <v>-357</v>
      </c>
      <c r="J402" s="859">
        <f>IF('S. Setup'!$K$40&lt;&gt;"used",0,'8. RothData'!$J343)</f>
        <v>0</v>
      </c>
      <c r="K402" s="3036">
        <f t="shared" si="29"/>
        <v>-2780.7131205040464</v>
      </c>
      <c r="L402" s="857">
        <f t="shared" si="30"/>
        <v>-357</v>
      </c>
      <c r="M402" s="2332"/>
      <c r="N402" s="1387"/>
    </row>
    <row r="403" spans="1:14" s="383" customFormat="1" ht="12" customHeight="1" x14ac:dyDescent="0.2">
      <c r="A403" s="850">
        <f t="shared" si="31"/>
        <v>66</v>
      </c>
      <c r="B403" s="851">
        <f t="shared" si="32"/>
        <v>61</v>
      </c>
      <c r="C403" s="857">
        <f>'7. IRAdata'!L369</f>
        <v>204809.17068610369</v>
      </c>
      <c r="D403" s="857">
        <f>'7. IRAdata'!M369</f>
        <v>113422.57502751272</v>
      </c>
      <c r="E403" s="857">
        <f>'7. IRAdata'!I413</f>
        <v>0</v>
      </c>
      <c r="F403" s="857">
        <f>'7. IRAdata'!J413</f>
        <v>-2860.7197632467114</v>
      </c>
      <c r="G403" s="3040">
        <f>IF('S. Setup'!$K$40&lt;&gt;"used",0,'8. RothData'!$L300)</f>
        <v>40204.175475205848</v>
      </c>
      <c r="H403" s="858">
        <f>IF('S. Setup'!$K$40&lt;&gt;"used",0,'8. RothData'!$M300)</f>
        <v>37419.63428026608</v>
      </c>
      <c r="I403" s="857">
        <f>IF('S. Setup'!$K$40&lt;&gt;"used",0,'8. RothData'!$I344)</f>
        <v>-357</v>
      </c>
      <c r="J403" s="859">
        <f>IF('S. Setup'!$K$40&lt;&gt;"used",0,'8. RothData'!$J344)</f>
        <v>-600</v>
      </c>
      <c r="K403" s="3036">
        <f t="shared" si="29"/>
        <v>-2860.7197632467114</v>
      </c>
      <c r="L403" s="857">
        <f t="shared" si="30"/>
        <v>-957</v>
      </c>
      <c r="M403" s="2332"/>
      <c r="N403" s="1387"/>
    </row>
    <row r="404" spans="1:14" s="383" customFormat="1" ht="12" customHeight="1" x14ac:dyDescent="0.2">
      <c r="A404" s="873">
        <f t="shared" si="31"/>
        <v>67</v>
      </c>
      <c r="B404" s="874">
        <f t="shared" si="32"/>
        <v>62</v>
      </c>
      <c r="C404" s="857">
        <f>'7. IRAdata'!L370</f>
        <v>204309.17068610369</v>
      </c>
      <c r="D404" s="857">
        <f>'7. IRAdata'!M370</f>
        <v>114972.84906732893</v>
      </c>
      <c r="E404" s="857">
        <f>'7. IRAdata'!I414</f>
        <v>0</v>
      </c>
      <c r="F404" s="857">
        <f>'7. IRAdata'!J414</f>
        <v>-2917.9740359566076</v>
      </c>
      <c r="G404" s="3040">
        <f>IF('S. Setup'!$K$40&lt;&gt;"used",0,'8. RothData'!$L301)</f>
        <v>41039.525792313259</v>
      </c>
      <c r="H404" s="858">
        <f>IF('S. Setup'!$K$40&lt;&gt;"used",0,'8. RothData'!$M301)</f>
        <v>42139.145041211712</v>
      </c>
      <c r="I404" s="857">
        <f>IF('S. Setup'!$K$40&lt;&gt;"used",0,'8. RothData'!$I345)</f>
        <v>-357</v>
      </c>
      <c r="J404" s="859">
        <f>IF('S. Setup'!$K$40&lt;&gt;"used",0,'8. RothData'!$J345)</f>
        <v>-600</v>
      </c>
      <c r="K404" s="3037">
        <f t="shared" si="29"/>
        <v>-2917.9740359566076</v>
      </c>
      <c r="L404" s="993">
        <f t="shared" si="30"/>
        <v>-957</v>
      </c>
      <c r="M404" s="2332"/>
      <c r="N404" s="1387"/>
    </row>
    <row r="405" spans="1:14" s="383" customFormat="1" ht="12.75" customHeight="1" x14ac:dyDescent="0.2">
      <c r="A405" s="873">
        <f t="shared" si="31"/>
        <v>68</v>
      </c>
      <c r="B405" s="874">
        <f t="shared" si="32"/>
        <v>63</v>
      </c>
      <c r="C405" s="857">
        <f>'7. IRAdata'!L371</f>
        <v>205476.49948610368</v>
      </c>
      <c r="D405" s="857">
        <f>'7. IRAdata'!M371</f>
        <v>118330.6170811191</v>
      </c>
      <c r="E405" s="857">
        <f>'7. IRAdata'!I415</f>
        <v>0</v>
      </c>
      <c r="F405" s="857">
        <f>'7. IRAdata'!J415</f>
        <v>-1134.6594498498612</v>
      </c>
      <c r="G405" s="3040">
        <f>IF('S. Setup'!$K$40&lt;&gt;"used",0,'8. RothData'!$L302)</f>
        <v>41904.948720836539</v>
      </c>
      <c r="H405" s="858">
        <f>IF('S. Setup'!$K$40&lt;&gt;"used",0,'8. RothData'!$M302)</f>
        <v>42368.031131703581</v>
      </c>
      <c r="I405" s="857">
        <f>IF('S. Setup'!$K$40&lt;&gt;"used",0,'8. RothData'!$I346)</f>
        <v>-357</v>
      </c>
      <c r="J405" s="859">
        <f>IF('S. Setup'!$K$40&lt;&gt;"used",0,'8. RothData'!$J346)</f>
        <v>-747.65380000000005</v>
      </c>
      <c r="K405" s="3037">
        <f t="shared" si="29"/>
        <v>-1134.6594498498612</v>
      </c>
      <c r="L405" s="993">
        <f t="shared" si="30"/>
        <v>-1104.6538</v>
      </c>
      <c r="M405" s="2332"/>
      <c r="N405" s="1387"/>
    </row>
    <row r="406" spans="1:14" s="383" customFormat="1" ht="15" customHeight="1" x14ac:dyDescent="0.2">
      <c r="A406" s="873">
        <f t="shared" si="31"/>
        <v>69</v>
      </c>
      <c r="B406" s="874">
        <f t="shared" si="32"/>
        <v>64</v>
      </c>
      <c r="C406" s="857">
        <f>'7. IRAdata'!L372</f>
        <v>205476.49948610368</v>
      </c>
      <c r="D406" s="857">
        <f>'7. IRAdata'!M372</f>
        <v>121843.41342068046</v>
      </c>
      <c r="E406" s="857">
        <f>'7. IRAdata'!I416</f>
        <v>0</v>
      </c>
      <c r="F406" s="857">
        <f>'7. IRAdata'!J416</f>
        <v>1531.1655137651755</v>
      </c>
      <c r="G406" s="3040">
        <f>IF('S. Setup'!$K$40&lt;&gt;"used",0,'8. RothData'!$L303)</f>
        <v>42801.52687478665</v>
      </c>
      <c r="H406" s="858">
        <f>IF('S. Setup'!$K$40&lt;&gt;"used",0,'8. RothData'!$M303)</f>
        <v>42592.85917351125</v>
      </c>
      <c r="I406" s="857">
        <f>IF('S. Setup'!$K$40&lt;&gt;"used",0,'8. RothData'!$I347)</f>
        <v>-357</v>
      </c>
      <c r="J406" s="859">
        <f>IF('S. Setup'!$K$40&lt;&gt;"used",0,'8. RothData'!$J347)</f>
        <v>-757.85622980000028</v>
      </c>
      <c r="K406" s="3037">
        <f t="shared" si="29"/>
        <v>1531.1655137651755</v>
      </c>
      <c r="L406" s="993">
        <f t="shared" si="30"/>
        <v>-1114.8562298000002</v>
      </c>
      <c r="M406" s="2332"/>
      <c r="N406" s="1387"/>
    </row>
    <row r="407" spans="1:14" s="383" customFormat="1" ht="14.25" customHeight="1" x14ac:dyDescent="0.2">
      <c r="A407" s="850">
        <f t="shared" si="31"/>
        <v>70</v>
      </c>
      <c r="B407" s="871">
        <f t="shared" si="32"/>
        <v>65</v>
      </c>
      <c r="C407" s="857">
        <f>'7. IRAdata'!L373</f>
        <v>205476.49948610368</v>
      </c>
      <c r="D407" s="857">
        <f>'7. IRAdata'!M373</f>
        <v>125478.28396966598</v>
      </c>
      <c r="E407" s="857">
        <f>'7. IRAdata'!I417</f>
        <v>-8961.9356210047918</v>
      </c>
      <c r="F407" s="857">
        <f>'7. IRAdata'!J417</f>
        <v>-233.26704610091437</v>
      </c>
      <c r="G407" s="3040">
        <f>IF('S. Setup'!$K$40&lt;&gt;"used",0,'8. RothData'!$L304)</f>
        <v>43109.943886074594</v>
      </c>
      <c r="H407" s="858">
        <f>IF('S. Setup'!$K$40&lt;&gt;"used",0,'8. RothData'!$M304)</f>
        <v>42806.483794761501</v>
      </c>
      <c r="I407" s="857">
        <f>IF('S. Setup'!$K$40&lt;&gt;"used",0,'8. RothData'!$I348)</f>
        <v>-1108.0357242022824</v>
      </c>
      <c r="J407" s="859">
        <f>IF('S. Setup'!$K$40&lt;&gt;"used",0,'8. RothData'!$J348)</f>
        <v>-774.94754387580053</v>
      </c>
      <c r="K407" s="3036">
        <f t="shared" si="29"/>
        <v>-9195.2026671057065</v>
      </c>
      <c r="L407" s="857">
        <f t="shared" si="30"/>
        <v>-1882.9832680780828</v>
      </c>
      <c r="M407" s="2332"/>
      <c r="N407" s="1387"/>
    </row>
    <row r="408" spans="1:14" s="383" customFormat="1" ht="13.5" customHeight="1" x14ac:dyDescent="0.2">
      <c r="A408" s="850">
        <f t="shared" si="31"/>
        <v>71</v>
      </c>
      <c r="B408" s="851">
        <f t="shared" si="32"/>
        <v>66</v>
      </c>
      <c r="C408" s="857">
        <f>'7. IRAdata'!L374</f>
        <v>205977.3571690926</v>
      </c>
      <c r="D408" s="857">
        <f>'7. IRAdata'!M374</f>
        <v>125919.14896733646</v>
      </c>
      <c r="E408" s="857">
        <f>'7. IRAdata'!I418</f>
        <v>-11584.579991029121</v>
      </c>
      <c r="F408" s="857">
        <f>'7. IRAdata'!J418</f>
        <v>-2113.7363242709084</v>
      </c>
      <c r="G408" s="3040">
        <f>IF('S. Setup'!$K$40&lt;&gt;"used",0,'8. RothData'!$L305)</f>
        <v>47274.578907703071</v>
      </c>
      <c r="H408" s="858">
        <f>IF('S. Setup'!$K$40&lt;&gt;"used",0,'8. RothData'!$M305)</f>
        <v>43700.757458038803</v>
      </c>
      <c r="I408" s="857">
        <f>IF('S. Setup'!$K$40&lt;&gt;"used",0,'8. RothData'!$I349)</f>
        <v>-2039.7838350952738</v>
      </c>
      <c r="J408" s="859">
        <f>IF('S. Setup'!$K$40&lt;&gt;"used",0,'8. RothData'!$J349)</f>
        <v>-582.17490574173576</v>
      </c>
      <c r="K408" s="3036">
        <f t="shared" si="29"/>
        <v>-13698.31631530003</v>
      </c>
      <c r="L408" s="857">
        <f t="shared" si="30"/>
        <v>-2621.9587408370098</v>
      </c>
      <c r="M408" s="2332"/>
      <c r="N408" s="1387"/>
    </row>
    <row r="409" spans="1:14" s="383" customFormat="1" ht="12" customHeight="1" x14ac:dyDescent="0.2">
      <c r="A409" s="873">
        <f t="shared" si="31"/>
        <v>72</v>
      </c>
      <c r="B409" s="874">
        <f t="shared" si="32"/>
        <v>67</v>
      </c>
      <c r="C409" s="857">
        <f>'7. IRAdata'!L375</f>
        <v>202810.51350233439</v>
      </c>
      <c r="D409" s="857">
        <f>'7. IRAdata'!M375</f>
        <v>126374.78294242889</v>
      </c>
      <c r="E409" s="857">
        <f>'7. IRAdata'!I419</f>
        <v>-9441.6606836849369</v>
      </c>
      <c r="F409" s="857">
        <f>'7. IRAdata'!J419</f>
        <v>0</v>
      </c>
      <c r="G409" s="3040">
        <f>IF('S. Setup'!$K$40&lt;&gt;"used",0,'8. RothData'!$L306)</f>
        <v>49570.333811388235</v>
      </c>
      <c r="H409" s="858">
        <f>IF('S. Setup'!$K$40&lt;&gt;"used",0,'8. RothData'!$M306)</f>
        <v>44640.663909402356</v>
      </c>
      <c r="I409" s="857">
        <f>IF('S. Setup'!$K$40&lt;&gt;"used",0,'8. RothData'!$I350)</f>
        <v>-1439.9180984024238</v>
      </c>
      <c r="J409" s="859">
        <f>IF('S. Setup'!$K$40&lt;&gt;"used",0,'8. RothData'!$J350)</f>
        <v>-86.139972710825063</v>
      </c>
      <c r="K409" s="3036">
        <f t="shared" si="29"/>
        <v>-9441.6606836849369</v>
      </c>
      <c r="L409" s="857">
        <f t="shared" si="30"/>
        <v>-1526.0580711132488</v>
      </c>
      <c r="M409" s="2332"/>
      <c r="N409" s="1387"/>
    </row>
    <row r="410" spans="1:14" s="383" customFormat="1" ht="13.5" customHeight="1" x14ac:dyDescent="0.2">
      <c r="A410" s="850">
        <f t="shared" si="31"/>
        <v>73</v>
      </c>
      <c r="B410" s="851">
        <f t="shared" si="32"/>
        <v>68</v>
      </c>
      <c r="C410" s="857">
        <f>'7. IRAdata'!L376</f>
        <v>193456.15650555908</v>
      </c>
      <c r="D410" s="857">
        <f>'7. IRAdata'!M376</f>
        <v>126845.68065568691</v>
      </c>
      <c r="E410" s="857">
        <f>'7. IRAdata'!I420</f>
        <v>-9755.780815869748</v>
      </c>
      <c r="F410" s="857">
        <f>'7. IRAdata'!J420</f>
        <v>0</v>
      </c>
      <c r="G410" s="3040">
        <f>IF('S. Setup'!$K$40&lt;&gt;"used",0,'8. RothData'!$L307)</f>
        <v>49817.969579298959</v>
      </c>
      <c r="H410" s="858">
        <f>IF('S. Setup'!$K$40&lt;&gt;"used",0,'8. RothData'!$M307)</f>
        <v>45700.534671579546</v>
      </c>
      <c r="I410" s="857">
        <f>IF('S. Setup'!$K$40&lt;&gt;"used",0,'8. RothData'!$I351)</f>
        <v>-1583.5364872441664</v>
      </c>
      <c r="J410" s="859">
        <f>IF('S. Setup'!$K$40&lt;&gt;"used",0,'8. RothData'!$J351)</f>
        <v>0</v>
      </c>
      <c r="K410" s="3036">
        <f t="shared" si="29"/>
        <v>-9755.780815869748</v>
      </c>
      <c r="L410" s="857">
        <f t="shared" si="30"/>
        <v>-1583.5364872441664</v>
      </c>
      <c r="M410" s="2332"/>
      <c r="N410" s="1387"/>
    </row>
    <row r="411" spans="1:14" s="383" customFormat="1" ht="12.75" customHeight="1" x14ac:dyDescent="0.2">
      <c r="A411" s="850">
        <f t="shared" si="31"/>
        <v>74</v>
      </c>
      <c r="B411" s="851">
        <f t="shared" si="32"/>
        <v>69</v>
      </c>
      <c r="C411" s="857">
        <f>'7. IRAdata'!L377</f>
        <v>183932.72814395512</v>
      </c>
      <c r="D411" s="857">
        <f>'7. IRAdata'!M377</f>
        <v>127332.3534423391</v>
      </c>
      <c r="E411" s="857">
        <f>'7. IRAdata'!I421</f>
        <v>-9851.4624987162351</v>
      </c>
      <c r="F411" s="857">
        <f>'7. IRAdata'!J421</f>
        <v>0</v>
      </c>
      <c r="G411" s="3040">
        <f>IF('S. Setup'!$K$40&lt;&gt;"used",0,'8. RothData'!$L308)</f>
        <v>50022.627937897531</v>
      </c>
      <c r="H411" s="858">
        <f>IF('S. Setup'!$K$40&lt;&gt;"used",0,'8. RothData'!$M308)</f>
        <v>46798.333192757549</v>
      </c>
      <c r="I411" s="857">
        <f>IF('S. Setup'!$K$40&lt;&gt;"used",0,'8. RothData'!$I352)</f>
        <v>-1657.4785253202735</v>
      </c>
      <c r="J411" s="859">
        <f>IF('S. Setup'!$K$40&lt;&gt;"used",0,'8. RothData'!$J352)</f>
        <v>0</v>
      </c>
      <c r="K411" s="3036">
        <f t="shared" si="29"/>
        <v>-9851.4624987162351</v>
      </c>
      <c r="L411" s="857">
        <f t="shared" si="30"/>
        <v>-1657.4785253202735</v>
      </c>
      <c r="M411" s="2332"/>
      <c r="N411" s="1387"/>
    </row>
    <row r="412" spans="1:14" s="383" customFormat="1" ht="13.5" customHeight="1" x14ac:dyDescent="0.2">
      <c r="A412" s="850">
        <f t="shared" si="31"/>
        <v>75</v>
      </c>
      <c r="B412" s="851">
        <f t="shared" si="32"/>
        <v>70</v>
      </c>
      <c r="C412" s="857">
        <f>'7. IRAdata'!L378</f>
        <v>174184.52027153099</v>
      </c>
      <c r="D412" s="857">
        <f>'7. IRAdata'!M378</f>
        <v>127287.36558278695</v>
      </c>
      <c r="E412" s="857">
        <f>'7. IRAdata'!I422</f>
        <v>-15109.559306087787</v>
      </c>
      <c r="F412" s="857">
        <f>'7. IRAdata'!J422</f>
        <v>-9021.2382835803946</v>
      </c>
      <c r="G412" s="3040">
        <f>IF('S. Setup'!$K$40&lt;&gt;"used",0,'8. RothData'!$L309)</f>
        <v>50163.077508045608</v>
      </c>
      <c r="H412" s="858">
        <f>IF('S. Setup'!$K$40&lt;&gt;"used",0,'8. RothData'!$M309)</f>
        <v>47198.527736926997</v>
      </c>
      <c r="I412" s="857">
        <f>IF('S. Setup'!$K$40&lt;&gt;"used",0,'8. RothData'!$I353)</f>
        <v>-3602.0206728167805</v>
      </c>
      <c r="J412" s="859">
        <f>IF('S. Setup'!$K$40&lt;&gt;"used",0,'8. RothData'!$J353)</f>
        <v>-1746.2912492815417</v>
      </c>
      <c r="K412" s="3036">
        <f t="shared" si="29"/>
        <v>-24130.797589668182</v>
      </c>
      <c r="L412" s="857">
        <f t="shared" si="30"/>
        <v>-5348.3119220983226</v>
      </c>
      <c r="M412" s="2332"/>
      <c r="N412" s="1387"/>
    </row>
    <row r="413" spans="1:14" s="383" customFormat="1" ht="14.25" customHeight="1" x14ac:dyDescent="0.2">
      <c r="A413" s="850">
        <f t="shared" si="31"/>
        <v>76</v>
      </c>
      <c r="B413" s="851">
        <f t="shared" si="32"/>
        <v>71</v>
      </c>
      <c r="C413" s="857">
        <f>'7. IRAdata'!L379</f>
        <v>166667.22484776023</v>
      </c>
      <c r="D413" s="857">
        <f>'7. IRAdata'!M379</f>
        <v>123124.75618116626</v>
      </c>
      <c r="E413" s="857">
        <f>'7. IRAdata'!I423</f>
        <v>-7579.3427603419041</v>
      </c>
      <c r="F413" s="857">
        <f>'7. IRAdata'!J423</f>
        <v>-4648.6099465402694</v>
      </c>
      <c r="G413" s="3040">
        <f>IF('S. Setup'!$K$40&lt;&gt;"used",0,'8. RothData'!$L310)</f>
        <v>51220.894250629935</v>
      </c>
      <c r="H413" s="858">
        <f>IF('S. Setup'!$K$40&lt;&gt;"used",0,'8. RothData'!$M310)</f>
        <v>48176.732871633496</v>
      </c>
      <c r="I413" s="857">
        <f>IF('S. Setup'!$K$40&lt;&gt;"used",0,'8. RothData'!$I354)</f>
        <v>-1489.4478578814353</v>
      </c>
      <c r="J413" s="859">
        <f>IF('S. Setup'!$K$40&lt;&gt;"used",0,'8. RothData'!$J354)</f>
        <v>-740.67121543847838</v>
      </c>
      <c r="K413" s="3036">
        <f t="shared" si="29"/>
        <v>-12227.952706882174</v>
      </c>
      <c r="L413" s="857">
        <f t="shared" si="30"/>
        <v>-2230.1190733199137</v>
      </c>
      <c r="M413" s="2332"/>
      <c r="N413" s="1387"/>
    </row>
    <row r="414" spans="1:14" s="383" customFormat="1" ht="10.5" customHeight="1" x14ac:dyDescent="0.2">
      <c r="A414" s="850">
        <f t="shared" si="31"/>
        <v>77</v>
      </c>
      <c r="B414" s="851">
        <f t="shared" si="32"/>
        <v>72</v>
      </c>
      <c r="C414" s="857">
        <f>'7. IRAdata'!L380</f>
        <v>159265.35074323634</v>
      </c>
      <c r="D414" s="857">
        <f>'7. IRAdata'!M380</f>
        <v>118958.10922585131</v>
      </c>
      <c r="E414" s="857">
        <f>'7. IRAdata'!I424</f>
        <v>-7516.6256019947541</v>
      </c>
      <c r="F414" s="857">
        <f>'7. IRAdata'!J424</f>
        <v>-4650.03995580027</v>
      </c>
      <c r="G414" s="3040">
        <f>IF('S. Setup'!$K$40&lt;&gt;"used",0,'8. RothData'!$L311)</f>
        <v>52354.478773316529</v>
      </c>
      <c r="H414" s="858">
        <f>IF('S. Setup'!$K$40&lt;&gt;"used",0,'8. RothData'!$M311)</f>
        <v>49163.00399582088</v>
      </c>
      <c r="I414" s="857">
        <f>IF('S. Setup'!$K$40&lt;&gt;"used",0,'8. RothData'!$I355)</f>
        <v>-1541.929290336393</v>
      </c>
      <c r="J414" s="859">
        <f>IF('S. Setup'!$K$40&lt;&gt;"used",0,'8. RothData'!$J355)</f>
        <v>-1950.0545033826211</v>
      </c>
      <c r="K414" s="3036">
        <f t="shared" si="29"/>
        <v>-12166.665557795024</v>
      </c>
      <c r="L414" s="857">
        <f t="shared" si="30"/>
        <v>-3491.9837937190141</v>
      </c>
      <c r="M414" s="2332"/>
      <c r="N414" s="1387"/>
    </row>
    <row r="415" spans="1:14" s="383" customFormat="1" ht="14.25" customHeight="1" x14ac:dyDescent="0.2">
      <c r="A415" s="850">
        <f t="shared" si="31"/>
        <v>78</v>
      </c>
      <c r="B415" s="851">
        <f t="shared" si="32"/>
        <v>73</v>
      </c>
      <c r="C415" s="857">
        <f>'7. IRAdata'!L381</f>
        <v>151921.97842997473</v>
      </c>
      <c r="D415" s="857">
        <f>'7. IRAdata'!M381</f>
        <v>114786.77766938822</v>
      </c>
      <c r="E415" s="857">
        <f>'7. IRAdata'!I425</f>
        <v>-7488.650041736475</v>
      </c>
      <c r="F415" s="857">
        <f>'7. IRAdata'!J425</f>
        <v>-4651.430283256057</v>
      </c>
      <c r="G415" s="3040">
        <f>IF('S. Setup'!$K$40&lt;&gt;"used",0,'8. RothData'!$L312)</f>
        <v>53521.342959598653</v>
      </c>
      <c r="H415" s="858">
        <f>IF('S. Setup'!$K$40&lt;&gt;"used",0,'8. RothData'!$M312)</f>
        <v>50179.038228342084</v>
      </c>
      <c r="I415" s="857">
        <f>IF('S. Setup'!$K$40&lt;&gt;"used",0,'8. RothData'!$I356)</f>
        <v>-1601.8148448412101</v>
      </c>
      <c r="J415" s="859">
        <f>IF('S. Setup'!$K$40&lt;&gt;"used",0,'8. RothData'!$J356)</f>
        <v>-2018.8881320302469</v>
      </c>
      <c r="K415" s="3036">
        <f t="shared" si="29"/>
        <v>-12140.080324992532</v>
      </c>
      <c r="L415" s="857">
        <f t="shared" si="30"/>
        <v>-3620.7029768714569</v>
      </c>
      <c r="M415" s="2332"/>
      <c r="N415" s="1387"/>
    </row>
    <row r="416" spans="1:14" s="383" customFormat="1" ht="14.25" customHeight="1" x14ac:dyDescent="0.2">
      <c r="A416" s="850">
        <f t="shared" si="31"/>
        <v>79</v>
      </c>
      <c r="B416" s="851">
        <f t="shared" si="32"/>
        <v>74</v>
      </c>
      <c r="C416" s="857">
        <f>'7. IRAdata'!L382</f>
        <v>144604.75248203106</v>
      </c>
      <c r="D416" s="857">
        <f>'7. IRAdata'!M382</f>
        <v>110610.10325056952</v>
      </c>
      <c r="E416" s="857">
        <f>'7. IRAdata'!I426</f>
        <v>-7421.1239439928586</v>
      </c>
      <c r="F416" s="857">
        <f>'7. IRAdata'!J426</f>
        <v>-4652.7506382301772</v>
      </c>
      <c r="G416" s="3040">
        <f>IF('S. Setup'!$K$40&lt;&gt;"used",0,'8. RothData'!$L313)</f>
        <v>54730.986618156552</v>
      </c>
      <c r="H416" s="858">
        <f>IF('S. Setup'!$K$40&lt;&gt;"used",0,'8. RothData'!$M313)</f>
        <v>51224.850243044435</v>
      </c>
      <c r="I416" s="857">
        <f>IF('S. Setup'!$K$40&lt;&gt;"used",0,'8. RothData'!$I357)</f>
        <v>-1660.5933364700297</v>
      </c>
      <c r="J416" s="859">
        <f>IF('S. Setup'!$K$40&lt;&gt;"used",0,'8. RothData'!$J357)</f>
        <v>-2090.9150205556411</v>
      </c>
      <c r="K416" s="3036">
        <f t="shared" si="29"/>
        <v>-12073.874582223036</v>
      </c>
      <c r="L416" s="857">
        <f t="shared" si="30"/>
        <v>-3751.5083570256711</v>
      </c>
      <c r="M416" s="2332"/>
      <c r="N416" s="1387"/>
    </row>
    <row r="417" spans="1:14" s="383" customFormat="1" ht="15" customHeight="1" x14ac:dyDescent="0.2">
      <c r="A417" s="850">
        <f t="shared" si="31"/>
        <v>80</v>
      </c>
      <c r="B417" s="851">
        <f t="shared" si="32"/>
        <v>75</v>
      </c>
      <c r="C417" s="857">
        <f>'7. IRAdata'!L383</f>
        <v>137351.58432243075</v>
      </c>
      <c r="D417" s="857">
        <f>'7. IRAdata'!M383</f>
        <v>106427.41954154361</v>
      </c>
      <c r="E417" s="857">
        <f>'7. IRAdata'!I427</f>
        <v>-7351.2641876396683</v>
      </c>
      <c r="F417" s="857">
        <f>'7. IRAdata'!J427</f>
        <v>-4653.9656372227955</v>
      </c>
      <c r="G417" s="3040">
        <f>IF('S. Setup'!$K$40&lt;&gt;"used",0,'8. RothData'!$L314)</f>
        <v>55980.586262366945</v>
      </c>
      <c r="H417" s="858">
        <f>IF('S. Setup'!$K$40&lt;&gt;"used",0,'8. RothData'!$M314)</f>
        <v>52301.289531168775</v>
      </c>
      <c r="I417" s="857">
        <f>IF('S. Setup'!$K$40&lt;&gt;"used",0,'8. RothData'!$I358)</f>
        <v>-1723.0499501712466</v>
      </c>
      <c r="J417" s="859">
        <f>IF('S. Setup'!$K$40&lt;&gt;"used",0,'8. RothData'!$J358)</f>
        <v>-2166.3263451926978</v>
      </c>
      <c r="K417" s="3036">
        <f t="shared" si="29"/>
        <v>-12005.229824862465</v>
      </c>
      <c r="L417" s="857">
        <f t="shared" si="30"/>
        <v>-3889.3762953639443</v>
      </c>
      <c r="M417" s="2332"/>
      <c r="N417" s="1387"/>
    </row>
    <row r="418" spans="1:14" s="383" customFormat="1" ht="13.5" customHeight="1" x14ac:dyDescent="0.2">
      <c r="A418" s="850">
        <f t="shared" si="31"/>
        <v>81</v>
      </c>
      <c r="B418" s="851">
        <f t="shared" si="32"/>
        <v>76</v>
      </c>
      <c r="C418" s="857">
        <f>'7. IRAdata'!L384</f>
        <v>130164.5050931062</v>
      </c>
      <c r="D418" s="857">
        <f>'7. IRAdata'!M384</f>
        <v>102238.05574210314</v>
      </c>
      <c r="E418" s="857">
        <f>'7. IRAdata'!I428</f>
        <v>-7278.8711846139395</v>
      </c>
      <c r="F418" s="857">
        <f>'7. IRAdata'!J428</f>
        <v>-4655.0339259530156</v>
      </c>
      <c r="G418" s="3040">
        <f>IF('S. Setup'!$K$40&lt;&gt;"used",0,'8. RothData'!$L315)</f>
        <v>57271.558724853101</v>
      </c>
      <c r="H418" s="858">
        <f>IF('S. Setup'!$K$40&lt;&gt;"used",0,'8. RothData'!$M315)</f>
        <v>53409.182507655016</v>
      </c>
      <c r="I418" s="857">
        <f>IF('S. Setup'!$K$40&lt;&gt;"used",0,'8. RothData'!$I359)</f>
        <v>-1789.3406855675075</v>
      </c>
      <c r="J418" s="859">
        <f>IF('S. Setup'!$K$40&lt;&gt;"used",0,'8. RothData'!$J359)</f>
        <v>-880.25588745493837</v>
      </c>
      <c r="K418" s="3036">
        <f t="shared" si="29"/>
        <v>-11933.905110566955</v>
      </c>
      <c r="L418" s="857">
        <f t="shared" si="30"/>
        <v>-2669.5965730224461</v>
      </c>
      <c r="M418" s="2332"/>
      <c r="N418" s="1387"/>
    </row>
    <row r="419" spans="1:14" s="383" customFormat="1" ht="14.25" customHeight="1" x14ac:dyDescent="0.2">
      <c r="A419" s="850">
        <f t="shared" si="31"/>
        <v>82</v>
      </c>
      <c r="B419" s="851">
        <f t="shared" si="32"/>
        <v>77</v>
      </c>
      <c r="C419" s="857">
        <f>'7. IRAdata'!L385</f>
        <v>123045.7370416419</v>
      </c>
      <c r="D419" s="857">
        <f>'7. IRAdata'!M385</f>
        <v>98044.532144949888</v>
      </c>
      <c r="E419" s="857">
        <f>'7. IRAdata'!I429</f>
        <v>-7203.7190240805339</v>
      </c>
      <c r="F419" s="857">
        <f>'7. IRAdata'!J429</f>
        <v>-4633.9452913606929</v>
      </c>
      <c r="G419" s="3040">
        <f>IF('S. Setup'!$K$40&lt;&gt;"used",0,'8. RothData'!$L316)</f>
        <v>58605.113985531381</v>
      </c>
      <c r="H419" s="858">
        <f>IF('S. Setup'!$K$40&lt;&gt;"used",0,'8. RothData'!$M316)</f>
        <v>54553.673017309251</v>
      </c>
      <c r="I419" s="857">
        <f>IF('S. Setup'!$K$40&lt;&gt;"used",0,'8. RothData'!$I360)</f>
        <v>-1859.8903415298621</v>
      </c>
      <c r="J419" s="859">
        <f>IF('S. Setup'!$K$40&lt;&gt;"used",0,'8. RothData'!$J360)</f>
        <v>-909.49300038847559</v>
      </c>
      <c r="K419" s="3036">
        <f t="shared" si="29"/>
        <v>-11837.664315441227</v>
      </c>
      <c r="L419" s="857">
        <f t="shared" si="30"/>
        <v>-2769.3833419183375</v>
      </c>
      <c r="M419" s="2332"/>
      <c r="N419" s="1387"/>
    </row>
    <row r="420" spans="1:14" s="383" customFormat="1" ht="13.5" customHeight="1" x14ac:dyDescent="0.2">
      <c r="A420" s="850">
        <f t="shared" si="31"/>
        <v>83</v>
      </c>
      <c r="B420" s="851">
        <f t="shared" si="32"/>
        <v>78</v>
      </c>
      <c r="C420" s="857">
        <f>'7. IRAdata'!L386</f>
        <v>115997.72046565666</v>
      </c>
      <c r="D420" s="857">
        <f>'7. IRAdata'!M386</f>
        <v>93861.956013390532</v>
      </c>
      <c r="E420" s="857">
        <f>'7. IRAdata'!I430</f>
        <v>-7125.5506336153812</v>
      </c>
      <c r="F420" s="857">
        <f>'7. IRAdata'!J430</f>
        <v>-4634.6717971060316</v>
      </c>
      <c r="G420" s="3040">
        <f>IF('S. Setup'!$K$40&lt;&gt;"used",0,'8. RothData'!$L317)</f>
        <v>59982.465477700433</v>
      </c>
      <c r="H420" s="858">
        <f>IF('S. Setup'!$K$40&lt;&gt;"used",0,'8. RothData'!$M317)</f>
        <v>55728.270845108513</v>
      </c>
      <c r="I420" s="857">
        <f>IF('S. Setup'!$K$40&lt;&gt;"used",0,'8. RothData'!$I361)</f>
        <v>-1935.185270019887</v>
      </c>
      <c r="J420" s="859">
        <f>IF('S. Setup'!$K$40&lt;&gt;"used",0,'8. RothData'!$J361)</f>
        <v>-945.33551819364209</v>
      </c>
      <c r="K420" s="3036">
        <f t="shared" si="29"/>
        <v>-11760.222430721413</v>
      </c>
      <c r="L420" s="857">
        <f t="shared" si="30"/>
        <v>-2880.5207882135292</v>
      </c>
      <c r="M420" s="2332"/>
      <c r="N420" s="1387"/>
    </row>
    <row r="421" spans="1:14" s="383" customFormat="1" ht="14.25" customHeight="1" x14ac:dyDescent="0.2">
      <c r="A421" s="850">
        <f t="shared" si="31"/>
        <v>84</v>
      </c>
      <c r="B421" s="851">
        <f t="shared" si="32"/>
        <v>79</v>
      </c>
      <c r="C421" s="857">
        <f>'7. IRAdata'!L387</f>
        <v>109023.14569797268</v>
      </c>
      <c r="D421" s="857">
        <f>'7. IRAdata'!M387</f>
        <v>89674.385413153344</v>
      </c>
      <c r="E421" s="857">
        <f>'7. IRAdata'!I431</f>
        <v>-7044.0717593487179</v>
      </c>
      <c r="F421" s="857">
        <f>'7. IRAdata'!J431</f>
        <v>-4611.3216492740676</v>
      </c>
      <c r="G421" s="3040">
        <f>IF('S. Setup'!$K$40&lt;&gt;"used",0,'8. RothData'!$L318)</f>
        <v>61404.804365464646</v>
      </c>
      <c r="H421" s="858">
        <f>IF('S. Setup'!$K$40&lt;&gt;"used",0,'8. RothData'!$M318)</f>
        <v>56942.116559639879</v>
      </c>
      <c r="I421" s="857">
        <f>IF('S. Setup'!$K$40&lt;&gt;"used",0,'8. RothData'!$I362)</f>
        <v>-2015.8024163824475</v>
      </c>
      <c r="J421" s="859">
        <f>IF('S. Setup'!$K$40&lt;&gt;"used",0,'8. RothData'!$J362)</f>
        <v>-978.70539193863488</v>
      </c>
      <c r="K421" s="3036">
        <f t="shared" si="29"/>
        <v>-11655.393408622786</v>
      </c>
      <c r="L421" s="857">
        <f t="shared" si="30"/>
        <v>-2994.5078083210824</v>
      </c>
      <c r="M421" s="2332"/>
      <c r="N421" s="1387"/>
    </row>
    <row r="422" spans="1:14" s="383" customFormat="1" ht="15" customHeight="1" x14ac:dyDescent="0.2">
      <c r="A422" s="873">
        <f t="shared" si="31"/>
        <v>85</v>
      </c>
      <c r="B422" s="874">
        <f t="shared" si="32"/>
        <v>80</v>
      </c>
      <c r="C422" s="857">
        <f>'7. IRAdata'!L388</f>
        <v>102127.17910248008</v>
      </c>
      <c r="D422" s="857">
        <f>'7. IRAdata'!M388</f>
        <v>85501.76072014324</v>
      </c>
      <c r="E422" s="857">
        <f>'7. IRAdata'!I432</f>
        <v>-6911.9235088211781</v>
      </c>
      <c r="F422" s="857">
        <f>'7. IRAdata'!J432</f>
        <v>-4586.824810646779</v>
      </c>
      <c r="G422" s="3040">
        <f>IF('S. Setup'!$K$40&lt;&gt;"used",0,'8. RothData'!$L319)</f>
        <v>62881.346314989685</v>
      </c>
      <c r="H422" s="858">
        <f>IF('S. Setup'!$K$40&lt;&gt;"used",0,'8. RothData'!$M319)</f>
        <v>58192.749672958365</v>
      </c>
      <c r="I422" s="857">
        <f>IF('S. Setup'!$K$40&lt;&gt;"used",0,'8. RothData'!$I363)</f>
        <v>-2094.3661674300292</v>
      </c>
      <c r="J422" s="859">
        <f>IF('S. Setup'!$K$40&lt;&gt;"used",0,'8. RothData'!$J363)</f>
        <v>-1014.5511010112991</v>
      </c>
      <c r="K422" s="3036">
        <f t="shared" si="29"/>
        <v>-11498.748319467957</v>
      </c>
      <c r="L422" s="857">
        <f t="shared" si="30"/>
        <v>-3108.9172684413284</v>
      </c>
      <c r="M422" s="2332"/>
      <c r="N422" s="1387"/>
    </row>
    <row r="423" spans="1:14" s="383" customFormat="1" ht="14.25" customHeight="1" x14ac:dyDescent="0.2">
      <c r="A423" s="850">
        <f t="shared" si="31"/>
        <v>86</v>
      </c>
      <c r="B423" s="851">
        <f t="shared" si="32"/>
        <v>81</v>
      </c>
      <c r="C423" s="857">
        <f>'7. IRAdata'!L389</f>
        <v>95358.187316432712</v>
      </c>
      <c r="D423" s="857">
        <f>'7. IRAdata'!M389</f>
        <v>81344.409270435441</v>
      </c>
      <c r="E423" s="857">
        <f>'7. IRAdata'!I433</f>
        <v>-6775.6633270515913</v>
      </c>
      <c r="F423" s="857">
        <f>'7. IRAdata'!J433</f>
        <v>-4561.0457340740159</v>
      </c>
      <c r="G423" s="3040">
        <f>IF('S. Setup'!$K$40&lt;&gt;"used",0,'8. RothData'!$L320)</f>
        <v>64406.948273373499</v>
      </c>
      <c r="H423" s="858">
        <f>IF('S. Setup'!$K$40&lt;&gt;"used",0,'8. RothData'!$M320)</f>
        <v>59481.460677958683</v>
      </c>
      <c r="I423" s="857">
        <f>IF('S. Setup'!$K$40&lt;&gt;"used",0,'8. RothData'!$I364)</f>
        <v>-1237.2481942145641</v>
      </c>
      <c r="J423" s="859">
        <f>IF('S. Setup'!$K$40&lt;&gt;"used",0,'8. RothData'!$J364)</f>
        <v>-1052.9734248653303</v>
      </c>
      <c r="K423" s="3036">
        <f t="shared" si="29"/>
        <v>-11336.709061125606</v>
      </c>
      <c r="L423" s="857">
        <f t="shared" si="30"/>
        <v>-2290.2216190798945</v>
      </c>
      <c r="M423" s="2332"/>
      <c r="N423" s="1387"/>
    </row>
    <row r="424" spans="1:14" s="383" customFormat="1" ht="14.25" customHeight="1" x14ac:dyDescent="0.2">
      <c r="A424" s="850">
        <f t="shared" si="31"/>
        <v>87</v>
      </c>
      <c r="B424" s="851">
        <f t="shared" si="32"/>
        <v>82</v>
      </c>
      <c r="C424" s="857">
        <f>'7. IRAdata'!L390</f>
        <v>88720.024490184442</v>
      </c>
      <c r="D424" s="857">
        <f>'7. IRAdata'!M390</f>
        <v>77202.767755135079</v>
      </c>
      <c r="E424" s="857">
        <f>'7. IRAdata'!I434</f>
        <v>-6634.9314053412454</v>
      </c>
      <c r="F424" s="857">
        <f>'7. IRAdata'!J434</f>
        <v>-4533.8295309253135</v>
      </c>
      <c r="G424" s="3040">
        <f>IF('S. Setup'!$K$40&lt;&gt;"used",0,'8. RothData'!$L321)</f>
        <v>65983.448175858604</v>
      </c>
      <c r="H424" s="858">
        <f>IF('S. Setup'!$K$40&lt;&gt;"used",0,'8. RothData'!$M321)</f>
        <v>60809.368891881364</v>
      </c>
      <c r="I424" s="857">
        <f>IF('S. Setup'!$K$40&lt;&gt;"used",0,'8. RothData'!$I365)</f>
        <v>-1293.6641949890191</v>
      </c>
      <c r="J424" s="859">
        <f>IF('S. Setup'!$K$40&lt;&gt;"used",0,'8. RothData'!$J365)</f>
        <v>-1094.3078065364252</v>
      </c>
      <c r="K424" s="3036">
        <f t="shared" si="29"/>
        <v>-11168.760936266559</v>
      </c>
      <c r="L424" s="857">
        <f t="shared" si="30"/>
        <v>-2387.9720015254443</v>
      </c>
      <c r="M424" s="2332"/>
      <c r="N424" s="1387"/>
    </row>
    <row r="425" spans="1:14" s="383" customFormat="1" ht="13.5" customHeight="1" x14ac:dyDescent="0.2">
      <c r="A425" s="850">
        <f t="shared" si="31"/>
        <v>88</v>
      </c>
      <c r="B425" s="851">
        <f t="shared" si="32"/>
        <v>83</v>
      </c>
      <c r="C425" s="857">
        <f>'7. IRAdata'!L391</f>
        <v>82216.910264619612</v>
      </c>
      <c r="D425" s="857">
        <f>'7. IRAdata'!M391</f>
        <v>73077.402981614767</v>
      </c>
      <c r="E425" s="857">
        <f>'7. IRAdata'!I435</f>
        <v>-6489.316801132949</v>
      </c>
      <c r="F425" s="857">
        <f>'7. IRAdata'!J435</f>
        <v>-4504.9984145393655</v>
      </c>
      <c r="G425" s="3040">
        <f>IF('S. Setup'!$K$40&lt;&gt;"used",0,'8. RothData'!$L322)</f>
        <v>67612.184992935086</v>
      </c>
      <c r="H425" s="858">
        <f>IF('S. Setup'!$K$40&lt;&gt;"used",0,'8. RothData'!$M322)</f>
        <v>62177.610172611603</v>
      </c>
      <c r="I425" s="857">
        <f>IF('S. Setup'!$K$40&lt;&gt;"used",0,'8. RothData'!$I366)</f>
        <v>-1355.6703610361587</v>
      </c>
      <c r="J425" s="859">
        <f>IF('S. Setup'!$K$40&lt;&gt;"used",0,'8. RothData'!$J366)</f>
        <v>-1138.9411808316336</v>
      </c>
      <c r="K425" s="3036">
        <f t="shared" si="29"/>
        <v>-10994.315215672315</v>
      </c>
      <c r="L425" s="857">
        <f t="shared" si="30"/>
        <v>-2494.6115418677923</v>
      </c>
      <c r="M425" s="2332"/>
      <c r="N425" s="1387"/>
    </row>
    <row r="426" spans="1:14" s="383" customFormat="1" ht="15.75" customHeight="1" x14ac:dyDescent="0.2">
      <c r="A426" s="850">
        <f t="shared" si="31"/>
        <v>89</v>
      </c>
      <c r="B426" s="851">
        <f t="shared" si="32"/>
        <v>84</v>
      </c>
      <c r="C426" s="857">
        <f>'7. IRAdata'!L392</f>
        <v>75853.483608478942</v>
      </c>
      <c r="D426" s="857">
        <f>'7. IRAdata'!M392</f>
        <v>68969.036718955351</v>
      </c>
      <c r="E426" s="857">
        <f>'7. IRAdata'!I436</f>
        <v>-6338.3468932073392</v>
      </c>
      <c r="F426" s="857">
        <f>'7. IRAdata'!J436</f>
        <v>-4474.3472854550237</v>
      </c>
      <c r="G426" s="3040">
        <f>IF('S. Setup'!$K$40&lt;&gt;"used",0,'8. RothData'!$L323)</f>
        <v>69294.456372651111</v>
      </c>
      <c r="H426" s="858">
        <f>IF('S. Setup'!$K$40&lt;&gt;"used",0,'8. RothData'!$M323)</f>
        <v>63587.316782133537</v>
      </c>
      <c r="I426" s="857">
        <f>IF('S. Setup'!$K$40&lt;&gt;"used",0,'8. RothData'!$I367)</f>
        <v>-1424.1798964142099</v>
      </c>
      <c r="J426" s="859">
        <f>IF('S. Setup'!$K$40&lt;&gt;"used",0,'8. RothData'!$J367)</f>
        <v>-1187.3372262942755</v>
      </c>
      <c r="K426" s="3036">
        <f t="shared" si="29"/>
        <v>-10812.694178662363</v>
      </c>
      <c r="L426" s="857">
        <f t="shared" si="30"/>
        <v>-2611.5171227084857</v>
      </c>
      <c r="M426" s="2332"/>
      <c r="N426" s="1387"/>
    </row>
    <row r="427" spans="1:14" s="383" customFormat="1" ht="12" customHeight="1" x14ac:dyDescent="0.2">
      <c r="A427" s="850">
        <f t="shared" si="31"/>
        <v>90</v>
      </c>
      <c r="B427" s="851">
        <f t="shared" si="32"/>
        <v>85</v>
      </c>
      <c r="C427" s="857">
        <f>'7. IRAdata'!L393</f>
        <v>69637.832811977583</v>
      </c>
      <c r="D427" s="857">
        <f>'7. IRAdata'!M393</f>
        <v>64884.080417343081</v>
      </c>
      <c r="E427" s="857">
        <f>'7. IRAdata'!I437</f>
        <v>-6127.2504167544475</v>
      </c>
      <c r="F427" s="857">
        <f>'7. IRAdata'!J437</f>
        <v>-4411.6271241096811</v>
      </c>
      <c r="G427" s="3040">
        <f>IF('S. Setup'!$K$40&lt;&gt;"used",0,'8. RothData'!$L324)</f>
        <v>71044.603313343687</v>
      </c>
      <c r="H427" s="858">
        <f>IF('S. Setup'!$K$40&lt;&gt;"used",0,'8. RothData'!$M324)</f>
        <v>65047.982591071661</v>
      </c>
      <c r="I427" s="857">
        <f>IF('S. Setup'!$K$40&lt;&gt;"used",0,'8. RothData'!$I368)</f>
        <v>-1487.1611572098077</v>
      </c>
      <c r="J427" s="859">
        <f>IF('S. Setup'!$K$40&lt;&gt;"used",0,'8. RothData'!$J368)</f>
        <v>-1231.6769626019181</v>
      </c>
      <c r="K427" s="3036">
        <f t="shared" si="29"/>
        <v>-10538.877540864129</v>
      </c>
      <c r="L427" s="857">
        <f t="shared" si="30"/>
        <v>-2718.8381198117258</v>
      </c>
      <c r="M427" s="2332"/>
      <c r="N427" s="1387"/>
    </row>
    <row r="428" spans="1:14" s="383" customFormat="1" ht="13.5" customHeight="1" x14ac:dyDescent="0.2">
      <c r="A428" s="850">
        <f t="shared" si="31"/>
        <v>91</v>
      </c>
      <c r="B428" s="851">
        <f t="shared" si="32"/>
        <v>86</v>
      </c>
      <c r="C428" s="857">
        <f>'7. IRAdata'!L394</f>
        <v>63627.089292845318</v>
      </c>
      <c r="D428" s="857">
        <f>'7. IRAdata'!M394</f>
        <v>60848.751917497291</v>
      </c>
      <c r="E428" s="857">
        <f>'7. IRAdata'!I438</f>
        <v>-5911.632363744995</v>
      </c>
      <c r="F428" s="857">
        <f>'7. IRAdata'!J438</f>
        <v>-4346.2168803228033</v>
      </c>
      <c r="G428" s="3040">
        <f>IF('S. Setup'!$K$40&lt;&gt;"used",0,'8. RothData'!$L325)</f>
        <v>72853.306134492159</v>
      </c>
      <c r="H428" s="858">
        <f>IF('S. Setup'!$K$40&lt;&gt;"used",0,'8. RothData'!$M325)</f>
        <v>66555.330312308608</v>
      </c>
      <c r="I428" s="857">
        <f>IF('S. Setup'!$K$40&lt;&gt;"used",0,'8. RothData'!$I369)</f>
        <v>-1557.3624668877642</v>
      </c>
      <c r="J428" s="859">
        <f>IF('S. Setup'!$K$40&lt;&gt;"used",0,'8. RothData'!$J369)</f>
        <v>-1279.9650522990696</v>
      </c>
      <c r="K428" s="3036">
        <f t="shared" si="29"/>
        <v>-10257.849244067798</v>
      </c>
      <c r="L428" s="857">
        <f t="shared" si="30"/>
        <v>-2837.3275191868338</v>
      </c>
      <c r="M428" s="2332"/>
      <c r="N428" s="1387"/>
    </row>
    <row r="429" spans="1:14" s="383" customFormat="1" ht="15" customHeight="1" x14ac:dyDescent="0.2">
      <c r="A429" s="850">
        <f t="shared" si="31"/>
        <v>92</v>
      </c>
      <c r="B429" s="851">
        <f t="shared" si="32"/>
        <v>87</v>
      </c>
      <c r="C429" s="857">
        <f>'7. IRAdata'!L395</f>
        <v>57825.659627726716</v>
      </c>
      <c r="D429" s="857">
        <f>'7. IRAdata'!M395</f>
        <v>56865.015875730482</v>
      </c>
      <c r="E429" s="857">
        <f>'7. IRAdata'!I439</f>
        <v>-5691.1188291031267</v>
      </c>
      <c r="F429" s="857">
        <f>'7. IRAdata'!J439</f>
        <v>-4277.8340893965724</v>
      </c>
      <c r="G429" s="3040">
        <f>IF('S. Setup'!$K$40&lt;&gt;"used",0,'8. RothData'!$L326)</f>
        <v>74723.024748095035</v>
      </c>
      <c r="H429" s="858">
        <f>IF('S. Setup'!$K$40&lt;&gt;"used",0,'8. RothData'!$M326)</f>
        <v>68111.277633452934</v>
      </c>
      <c r="I429" s="857">
        <f>IF('S. Setup'!$K$40&lt;&gt;"used",0,'8. RothData'!$I370)</f>
        <v>-1634.9131638609717</v>
      </c>
      <c r="J429" s="859">
        <f>IF('S. Setup'!$K$40&lt;&gt;"used",0,'8. RothData'!$J370)</f>
        <v>-1332.3461008098152</v>
      </c>
      <c r="K429" s="3036">
        <f t="shared" si="29"/>
        <v>-9968.9529184996991</v>
      </c>
      <c r="L429" s="857">
        <f t="shared" si="30"/>
        <v>-2967.2592646707872</v>
      </c>
      <c r="M429" s="2332"/>
      <c r="N429" s="1387"/>
    </row>
    <row r="430" spans="1:14" s="383" customFormat="1" ht="12.75" customHeight="1" x14ac:dyDescent="0.2">
      <c r="A430" s="850">
        <f t="shared" si="31"/>
        <v>93</v>
      </c>
      <c r="B430" s="851">
        <f t="shared" si="32"/>
        <v>88</v>
      </c>
      <c r="C430" s="857">
        <f>'7. IRAdata'!L396</f>
        <v>52238.348993095293</v>
      </c>
      <c r="D430" s="857">
        <f>'7. IRAdata'!M396</f>
        <v>52935.130490296455</v>
      </c>
      <c r="E430" s="857">
        <f>'7. IRAdata'!I440</f>
        <v>-5465.2827950375513</v>
      </c>
      <c r="F430" s="857">
        <f>'7. IRAdata'!J440</f>
        <v>-4206.1555921274421</v>
      </c>
      <c r="G430" s="3040">
        <f>IF('S. Setup'!$K$40&lt;&gt;"used",0,'8. RothData'!$L327)</f>
        <v>76655.084169321286</v>
      </c>
      <c r="H430" s="858">
        <f>IF('S. Setup'!$K$40&lt;&gt;"used",0,'8. RothData'!$M327)</f>
        <v>69717.342291216191</v>
      </c>
      <c r="I430" s="857">
        <f>IF('S. Setup'!$K$40&lt;&gt;"used",0,'8. RothData'!$I371)</f>
        <v>-1721.1931226992508</v>
      </c>
      <c r="J430" s="859">
        <f>IF('S. Setup'!$K$40&lt;&gt;"used",0,'8. RothData'!$J371)</f>
        <v>-1389.4784693914255</v>
      </c>
      <c r="K430" s="3036">
        <f t="shared" si="29"/>
        <v>-9671.4383871649934</v>
      </c>
      <c r="L430" s="857">
        <f t="shared" si="30"/>
        <v>-3110.6715920906763</v>
      </c>
      <c r="M430" s="2332"/>
      <c r="N430" s="1387"/>
    </row>
    <row r="431" spans="1:14" s="383" customFormat="1" ht="13.5" customHeight="1" x14ac:dyDescent="0.2">
      <c r="A431" s="850">
        <f t="shared" si="31"/>
        <v>94</v>
      </c>
      <c r="B431" s="851">
        <f t="shared" si="32"/>
        <v>89</v>
      </c>
      <c r="C431" s="857">
        <f>'7. IRAdata'!L397</f>
        <v>46874.003771508746</v>
      </c>
      <c r="D431" s="857">
        <f>'7. IRAdata'!M397</f>
        <v>49061.695287238792</v>
      </c>
      <c r="E431" s="857">
        <f>'7. IRAdata'!I441</f>
        <v>-5176.1201718904013</v>
      </c>
      <c r="F431" s="857">
        <f>'7. IRAdata'!J441</f>
        <v>-4130.8093373749125</v>
      </c>
      <c r="G431" s="3040">
        <f>IF('S. Setup'!$K$40&lt;&gt;"used",0,'8. RothData'!$L328)</f>
        <v>78670.675855754569</v>
      </c>
      <c r="H431" s="858">
        <f>IF('S. Setup'!$K$40&lt;&gt;"used",0,'8. RothData'!$M328)</f>
        <v>71375.051803097624</v>
      </c>
      <c r="I431" s="857">
        <f>IF('S. Setup'!$K$40&lt;&gt;"used",0,'8. RothData'!$I372)</f>
        <v>-1797.8383353200554</v>
      </c>
      <c r="J431" s="859">
        <f>IF('S. Setup'!$K$40&lt;&gt;"used",0,'8. RothData'!$J372)</f>
        <v>-1452.1343166851145</v>
      </c>
      <c r="K431" s="3036">
        <f t="shared" si="29"/>
        <v>-9306.9295092653138</v>
      </c>
      <c r="L431" s="857">
        <f t="shared" si="30"/>
        <v>-3249.9726520051699</v>
      </c>
      <c r="M431" s="2332"/>
      <c r="N431" s="1387"/>
    </row>
    <row r="432" spans="1:14" s="383" customFormat="1" ht="15.75" customHeight="1" x14ac:dyDescent="0.2">
      <c r="A432" s="850">
        <f t="shared" si="31"/>
        <v>95</v>
      </c>
      <c r="B432" s="851">
        <f t="shared" si="32"/>
        <v>90</v>
      </c>
      <c r="C432" s="857">
        <f>'7. IRAdata'!L398</f>
        <v>41792.352833058547</v>
      </c>
      <c r="D432" s="857">
        <f>'7. IRAdata'!M398</f>
        <v>45255.227944012149</v>
      </c>
      <c r="E432" s="857">
        <f>'7. IRAdata'!I442</f>
        <v>-4886.107815387847</v>
      </c>
      <c r="F432" s="857">
        <f>'7. IRAdata'!J442</f>
        <v>-4015.8256409198434</v>
      </c>
      <c r="G432" s="3040">
        <f>IF('S. Setup'!$K$40&lt;&gt;"used",0,'8. RothData'!$L329)</f>
        <v>80754.492861848426</v>
      </c>
      <c r="H432" s="858">
        <f>IF('S. Setup'!$K$40&lt;&gt;"used",0,'8. RothData'!$M329)</f>
        <v>73099.227897693359</v>
      </c>
      <c r="I432" s="857">
        <f>IF('S. Setup'!$K$40&lt;&gt;"used",0,'8. RothData'!$I373)</f>
        <v>-1884.3382960931476</v>
      </c>
      <c r="J432" s="859">
        <f>IF('S. Setup'!$K$40&lt;&gt;"used",0,'8. RothData'!$J373)</f>
        <v>-1507.9263744148057</v>
      </c>
      <c r="K432" s="3036">
        <f t="shared" si="29"/>
        <v>-8901.93345630769</v>
      </c>
      <c r="L432" s="857">
        <f t="shared" si="30"/>
        <v>-3392.2646705079533</v>
      </c>
      <c r="M432" s="2332"/>
      <c r="N432" s="1387"/>
    </row>
    <row r="433" spans="1:14" s="383" customFormat="1" ht="13.5" customHeight="1" thickBot="1" x14ac:dyDescent="0.25">
      <c r="A433" s="852">
        <f t="shared" si="31"/>
        <v>96</v>
      </c>
      <c r="B433" s="853">
        <f t="shared" si="32"/>
        <v>91</v>
      </c>
      <c r="C433" s="1969">
        <f>'7. IRAdata'!L399</f>
        <v>36994.316136821719</v>
      </c>
      <c r="D433" s="1969">
        <f>'7. IRAdata'!M399</f>
        <v>41547.723653834735</v>
      </c>
      <c r="E433" s="1969">
        <f>'7. IRAdata'!I443</f>
        <v>-4595.1919930376125</v>
      </c>
      <c r="F433" s="1969">
        <f>'7. IRAdata'!J443</f>
        <v>-3897.1368240209572</v>
      </c>
      <c r="G433" s="3041">
        <f>IF('S. Setup'!$K$40&lt;&gt;"used",0,'8. RothData'!$L330)</f>
        <v>82910.035250181885</v>
      </c>
      <c r="H433" s="1433">
        <f>IF('S. Setup'!$K$40&lt;&gt;"used",0,'8. RothData'!$M330)</f>
        <v>74882.267177152375</v>
      </c>
      <c r="I433" s="1969">
        <f>IF('S. Setup'!$K$40&lt;&gt;"used",0,'8. RothData'!$I374)</f>
        <v>-1980.2929824886655</v>
      </c>
      <c r="J433" s="2007">
        <f>IF('S. Setup'!$K$40&lt;&gt;"used",0,'8. RothData'!$J374)</f>
        <v>-1569.7269392449907</v>
      </c>
      <c r="K433" s="3038">
        <f t="shared" si="29"/>
        <v>-8492.3288170585693</v>
      </c>
      <c r="L433" s="1969">
        <f t="shared" si="30"/>
        <v>-3550.0199217336562</v>
      </c>
      <c r="M433" s="2624"/>
      <c r="N433" s="2348"/>
    </row>
    <row r="434" spans="1:14" s="2" customFormat="1" ht="15.75" thickTop="1" x14ac:dyDescent="0.3">
      <c r="A434" s="52"/>
      <c r="B434" s="3"/>
      <c r="C434" s="131"/>
      <c r="D434" s="131"/>
      <c r="E434" s="131"/>
      <c r="F434" s="131"/>
      <c r="G434" s="370"/>
      <c r="H434" s="370"/>
      <c r="I434" s="131"/>
      <c r="J434" s="131"/>
      <c r="K434" s="131"/>
      <c r="L434" s="131"/>
      <c r="M434" s="372"/>
      <c r="N434" s="372"/>
    </row>
    <row r="435" spans="1:14" s="2" customFormat="1" ht="15.75" thickBot="1" x14ac:dyDescent="0.35">
      <c r="A435" s="1323"/>
      <c r="B435" s="3"/>
      <c r="C435" s="131"/>
      <c r="D435" s="131"/>
      <c r="E435" s="131"/>
      <c r="F435" s="131"/>
      <c r="G435" s="370"/>
      <c r="H435" s="370"/>
      <c r="I435" s="131"/>
      <c r="J435" s="131"/>
      <c r="K435" s="131"/>
      <c r="L435" s="131"/>
      <c r="M435" s="131"/>
      <c r="N435" s="131"/>
    </row>
    <row r="436" spans="1:14" s="2" customFormat="1" ht="19.5" thickTop="1" x14ac:dyDescent="0.3">
      <c r="A436" s="1340" t="s">
        <v>1619</v>
      </c>
      <c r="B436" s="1341"/>
      <c r="C436" s="1976"/>
      <c r="D436" s="1976"/>
      <c r="E436" s="1977"/>
      <c r="F436" s="1978"/>
      <c r="G436" s="1979"/>
      <c r="H436" s="1980"/>
      <c r="I436" s="1981"/>
      <c r="J436" s="1981"/>
      <c r="K436" s="1982"/>
      <c r="L436" s="1983"/>
      <c r="M436" s="1635"/>
      <c r="N436" s="1342"/>
    </row>
    <row r="437" spans="1:14" s="2" customFormat="1" ht="18" x14ac:dyDescent="0.25">
      <c r="A437" s="1416" t="s">
        <v>1585</v>
      </c>
      <c r="B437" s="6"/>
      <c r="C437" s="170"/>
      <c r="D437" s="170"/>
      <c r="E437" s="171"/>
      <c r="F437" s="172"/>
      <c r="G437" s="173"/>
      <c r="H437" s="174"/>
      <c r="I437" s="75"/>
      <c r="J437" s="75"/>
      <c r="K437" s="130"/>
      <c r="L437" s="175"/>
      <c r="M437" s="33"/>
      <c r="N437" s="1311"/>
    </row>
    <row r="438" spans="1:14" s="2" customFormat="1" ht="18" x14ac:dyDescent="0.25">
      <c r="A438" s="1416" t="s">
        <v>1546</v>
      </c>
      <c r="B438" s="6"/>
      <c r="C438" s="170"/>
      <c r="D438" s="170"/>
      <c r="E438" s="171"/>
      <c r="F438" s="172"/>
      <c r="G438" s="173"/>
      <c r="H438" s="174"/>
      <c r="I438" s="75"/>
      <c r="J438" s="75"/>
      <c r="K438" s="130"/>
      <c r="L438" s="175"/>
      <c r="M438" s="33"/>
      <c r="N438" s="1311"/>
    </row>
    <row r="439" spans="1:14" s="2" customFormat="1" x14ac:dyDescent="0.3">
      <c r="A439" s="1323"/>
      <c r="B439" s="3"/>
      <c r="C439" s="131"/>
      <c r="D439" s="131"/>
      <c r="E439" s="131"/>
      <c r="F439" s="131"/>
      <c r="G439" s="370"/>
      <c r="H439" s="370"/>
      <c r="I439" s="131"/>
      <c r="J439" s="131"/>
      <c r="K439" s="131"/>
      <c r="L439" s="131"/>
      <c r="M439" s="131"/>
      <c r="N439" s="1527"/>
    </row>
    <row r="440" spans="1:14" s="2" customFormat="1" x14ac:dyDescent="0.3">
      <c r="A440" s="1323"/>
      <c r="B440" s="3"/>
      <c r="C440" s="131"/>
      <c r="D440" s="131"/>
      <c r="E440" s="131"/>
      <c r="F440" s="131"/>
      <c r="G440" s="370"/>
      <c r="H440" s="370"/>
      <c r="I440" s="131"/>
      <c r="J440" s="131"/>
      <c r="K440" s="131"/>
      <c r="L440" s="131"/>
      <c r="M440" s="131"/>
      <c r="N440" s="1527"/>
    </row>
    <row r="441" spans="1:14" s="2" customFormat="1" x14ac:dyDescent="0.3">
      <c r="A441" s="1323"/>
      <c r="B441" s="3"/>
      <c r="C441" s="131"/>
      <c r="D441" s="131"/>
      <c r="E441" s="131"/>
      <c r="F441" s="131"/>
      <c r="G441" s="370"/>
      <c r="H441" s="370"/>
      <c r="I441" s="131"/>
      <c r="J441" s="131"/>
      <c r="K441" s="131"/>
      <c r="L441" s="131"/>
      <c r="M441" s="131"/>
      <c r="N441" s="1527"/>
    </row>
    <row r="442" spans="1:14" s="2" customFormat="1" x14ac:dyDescent="0.3">
      <c r="A442" s="1323"/>
      <c r="B442" s="3"/>
      <c r="C442" s="131"/>
      <c r="D442" s="131"/>
      <c r="E442" s="131"/>
      <c r="F442" s="131"/>
      <c r="G442" s="370"/>
      <c r="H442" s="370"/>
      <c r="I442" s="131"/>
      <c r="J442" s="131"/>
      <c r="K442" s="131"/>
      <c r="L442" s="131"/>
      <c r="M442" s="131"/>
      <c r="N442" s="1527"/>
    </row>
    <row r="443" spans="1:14" s="2" customFormat="1" x14ac:dyDescent="0.3">
      <c r="A443" s="1323"/>
      <c r="B443" s="3"/>
      <c r="C443" s="131"/>
      <c r="D443" s="131"/>
      <c r="E443" s="131"/>
      <c r="F443" s="131"/>
      <c r="G443" s="370"/>
      <c r="H443" s="370"/>
      <c r="I443" s="131"/>
      <c r="J443" s="131"/>
      <c r="K443" s="131"/>
      <c r="L443" s="131"/>
      <c r="M443" s="131"/>
      <c r="N443" s="1527"/>
    </row>
    <row r="444" spans="1:14" s="2" customFormat="1" x14ac:dyDescent="0.3">
      <c r="A444" s="1323"/>
      <c r="B444" s="3"/>
      <c r="C444" s="131"/>
      <c r="D444" s="131"/>
      <c r="E444" s="131"/>
      <c r="F444" s="131"/>
      <c r="G444" s="370"/>
      <c r="H444" s="370"/>
      <c r="I444" s="131"/>
      <c r="J444" s="131"/>
      <c r="K444" s="131"/>
      <c r="L444" s="131"/>
      <c r="M444" s="131"/>
      <c r="N444" s="1527"/>
    </row>
    <row r="445" spans="1:14" s="2" customFormat="1" x14ac:dyDescent="0.3">
      <c r="A445" s="1323"/>
      <c r="B445" s="3"/>
      <c r="C445" s="131"/>
      <c r="D445" s="131"/>
      <c r="E445" s="131"/>
      <c r="F445" s="131"/>
      <c r="G445" s="370"/>
      <c r="H445" s="370"/>
      <c r="I445" s="131"/>
      <c r="J445" s="131"/>
      <c r="K445" s="131"/>
      <c r="L445" s="131"/>
      <c r="M445" s="131"/>
      <c r="N445" s="1527"/>
    </row>
    <row r="446" spans="1:14" s="2" customFormat="1" x14ac:dyDescent="0.3">
      <c r="A446" s="1323"/>
      <c r="B446" s="3"/>
      <c r="C446" s="131"/>
      <c r="D446" s="131"/>
      <c r="E446" s="131"/>
      <c r="F446" s="131"/>
      <c r="G446" s="370"/>
      <c r="H446" s="370"/>
      <c r="I446" s="131"/>
      <c r="J446" s="131"/>
      <c r="K446" s="131"/>
      <c r="L446" s="131"/>
      <c r="M446" s="131"/>
      <c r="N446" s="1527"/>
    </row>
    <row r="447" spans="1:14" s="2" customFormat="1" x14ac:dyDescent="0.3">
      <c r="A447" s="1323"/>
      <c r="B447" s="3"/>
      <c r="C447" s="131"/>
      <c r="D447" s="131"/>
      <c r="E447" s="131"/>
      <c r="F447" s="131"/>
      <c r="G447" s="370"/>
      <c r="H447" s="370"/>
      <c r="I447" s="131"/>
      <c r="J447" s="131"/>
      <c r="K447" s="131"/>
      <c r="L447" s="131"/>
      <c r="M447" s="131"/>
      <c r="N447" s="1527"/>
    </row>
    <row r="448" spans="1:14" s="2" customFormat="1" x14ac:dyDescent="0.3">
      <c r="A448" s="1323"/>
      <c r="B448" s="3"/>
      <c r="C448" s="131"/>
      <c r="D448" s="131"/>
      <c r="E448" s="131"/>
      <c r="F448" s="131"/>
      <c r="G448" s="370"/>
      <c r="H448" s="370"/>
      <c r="I448" s="131"/>
      <c r="J448" s="131"/>
      <c r="K448" s="131"/>
      <c r="L448" s="131"/>
      <c r="M448" s="131"/>
      <c r="N448" s="1527"/>
    </row>
    <row r="449" spans="1:17" s="2" customFormat="1" x14ac:dyDescent="0.3">
      <c r="A449" s="1323"/>
      <c r="B449" s="3"/>
      <c r="C449" s="131"/>
      <c r="D449" s="131"/>
      <c r="E449" s="131"/>
      <c r="F449" s="131"/>
      <c r="G449" s="370"/>
      <c r="H449" s="370"/>
      <c r="I449" s="131"/>
      <c r="J449" s="131"/>
      <c r="K449" s="131"/>
      <c r="L449" s="131"/>
      <c r="M449" s="131"/>
      <c r="N449" s="1527"/>
    </row>
    <row r="450" spans="1:17" s="2" customFormat="1" x14ac:dyDescent="0.3">
      <c r="A450" s="1323"/>
      <c r="B450" s="3"/>
      <c r="C450" s="131"/>
      <c r="D450" s="131"/>
      <c r="E450" s="131"/>
      <c r="F450" s="131"/>
      <c r="G450" s="370"/>
      <c r="H450" s="370"/>
      <c r="I450" s="131"/>
      <c r="J450" s="131"/>
      <c r="K450" s="131"/>
      <c r="L450" s="131"/>
      <c r="M450" s="131"/>
      <c r="N450" s="1527"/>
    </row>
    <row r="451" spans="1:17" s="2" customFormat="1" x14ac:dyDescent="0.3">
      <c r="A451" s="1323"/>
      <c r="B451" s="3"/>
      <c r="C451" s="131"/>
      <c r="D451" s="131"/>
      <c r="E451" s="131"/>
      <c r="F451" s="131"/>
      <c r="G451" s="370"/>
      <c r="H451" s="370"/>
      <c r="I451" s="131"/>
      <c r="J451" s="131"/>
      <c r="K451" s="131"/>
      <c r="L451" s="131"/>
      <c r="M451" s="131"/>
      <c r="N451" s="1527"/>
    </row>
    <row r="452" spans="1:17" s="2" customFormat="1" x14ac:dyDescent="0.3">
      <c r="A452" s="1323"/>
      <c r="B452" s="3"/>
      <c r="C452" s="131"/>
      <c r="D452" s="131"/>
      <c r="E452" s="131"/>
      <c r="F452" s="131"/>
      <c r="G452" s="370"/>
      <c r="H452" s="370"/>
      <c r="I452" s="131"/>
      <c r="J452" s="131"/>
      <c r="K452" s="131"/>
      <c r="L452" s="131"/>
      <c r="M452" s="131"/>
      <c r="N452" s="1527"/>
    </row>
    <row r="453" spans="1:17" s="2" customFormat="1" x14ac:dyDescent="0.3">
      <c r="A453" s="1323"/>
      <c r="B453" s="3"/>
      <c r="C453" s="131"/>
      <c r="D453" s="131"/>
      <c r="E453" s="131"/>
      <c r="F453" s="131"/>
      <c r="G453" s="370"/>
      <c r="H453" s="370"/>
      <c r="I453" s="131"/>
      <c r="J453" s="131"/>
      <c r="K453" s="131"/>
      <c r="L453" s="131"/>
      <c r="M453" s="131"/>
      <c r="N453" s="1527"/>
    </row>
    <row r="454" spans="1:17" s="2" customFormat="1" x14ac:dyDescent="0.3">
      <c r="A454" s="1323"/>
      <c r="B454" s="3"/>
      <c r="C454" s="131"/>
      <c r="D454" s="131"/>
      <c r="E454" s="131"/>
      <c r="F454" s="131"/>
      <c r="G454" s="370"/>
      <c r="H454" s="370"/>
      <c r="I454" s="131"/>
      <c r="J454" s="131"/>
      <c r="K454" s="131"/>
      <c r="L454" s="131"/>
      <c r="M454" s="131"/>
      <c r="N454" s="1527"/>
    </row>
    <row r="455" spans="1:17" s="2" customFormat="1" ht="15.75" thickBot="1" x14ac:dyDescent="0.35">
      <c r="A455" s="1777"/>
      <c r="B455" s="2003"/>
      <c r="C455" s="2004"/>
      <c r="D455" s="2004"/>
      <c r="E455" s="2004"/>
      <c r="F455" s="2004"/>
      <c r="G455" s="2005"/>
      <c r="H455" s="2005"/>
      <c r="I455" s="2004"/>
      <c r="J455" s="2004"/>
      <c r="K455" s="2004"/>
      <c r="L455" s="2004"/>
      <c r="M455" s="2004"/>
      <c r="N455" s="1778"/>
    </row>
    <row r="456" spans="1:17" s="2" customFormat="1" ht="15.75" thickTop="1" x14ac:dyDescent="0.3">
      <c r="A456" s="1323"/>
      <c r="B456" s="3"/>
      <c r="C456" s="131"/>
      <c r="D456" s="131"/>
      <c r="E456" s="131"/>
      <c r="F456" s="131"/>
      <c r="G456" s="370"/>
      <c r="H456" s="370"/>
      <c r="I456" s="131"/>
      <c r="J456" s="131"/>
      <c r="K456" s="131"/>
      <c r="L456" s="131"/>
      <c r="M456" s="131"/>
      <c r="N456" s="131"/>
    </row>
    <row r="457" spans="1:17" s="2" customFormat="1" ht="15.75" thickBot="1" x14ac:dyDescent="0.35">
      <c r="A457" s="1323"/>
      <c r="B457" s="3"/>
      <c r="C457" s="131"/>
      <c r="D457" s="131"/>
      <c r="E457" s="131"/>
      <c r="F457" s="131"/>
      <c r="G457" s="370"/>
      <c r="H457" s="370"/>
      <c r="I457" s="131"/>
      <c r="J457" s="131"/>
      <c r="K457" s="131"/>
      <c r="L457" s="131"/>
      <c r="M457" s="131"/>
      <c r="N457" s="131"/>
    </row>
    <row r="458" spans="1:17" s="2" customFormat="1" ht="19.5" thickTop="1" x14ac:dyDescent="0.3">
      <c r="A458" s="1340" t="s">
        <v>1620</v>
      </c>
      <c r="B458" s="1341"/>
      <c r="C458" s="1976"/>
      <c r="D458" s="1976"/>
      <c r="E458" s="1977"/>
      <c r="F458" s="1978"/>
      <c r="G458" s="1979"/>
      <c r="H458" s="1980"/>
      <c r="I458" s="1981"/>
      <c r="J458" s="1981"/>
      <c r="K458" s="1982"/>
      <c r="L458" s="1983"/>
      <c r="M458" s="1635"/>
      <c r="N458" s="1342"/>
    </row>
    <row r="459" spans="1:17" s="2" customFormat="1" ht="18" x14ac:dyDescent="0.25">
      <c r="A459" s="1416" t="s">
        <v>1594</v>
      </c>
      <c r="B459" s="6"/>
      <c r="C459" s="170"/>
      <c r="D459" s="170"/>
      <c r="E459" s="171"/>
      <c r="F459" s="172"/>
      <c r="G459" s="173"/>
      <c r="H459" s="174"/>
      <c r="I459" s="75"/>
      <c r="J459" s="75"/>
      <c r="K459" s="130"/>
      <c r="L459" s="175"/>
      <c r="M459" s="33"/>
      <c r="N459" s="1311"/>
      <c r="Q459" s="447"/>
    </row>
    <row r="460" spans="1:17" s="2" customFormat="1" ht="18" x14ac:dyDescent="0.25">
      <c r="A460" s="1416" t="s">
        <v>1546</v>
      </c>
      <c r="B460" s="6"/>
      <c r="C460" s="170"/>
      <c r="D460" s="170"/>
      <c r="E460" s="171"/>
      <c r="F460" s="172"/>
      <c r="G460" s="173"/>
      <c r="H460" s="174"/>
      <c r="I460" s="75"/>
      <c r="J460" s="75"/>
      <c r="K460" s="130"/>
      <c r="L460" s="175"/>
      <c r="M460" s="33"/>
      <c r="N460" s="1311"/>
    </row>
    <row r="461" spans="1:17" s="2" customFormat="1" x14ac:dyDescent="0.3">
      <c r="A461" s="1323"/>
      <c r="B461" s="3"/>
      <c r="C461" s="131"/>
      <c r="D461" s="131"/>
      <c r="E461" s="131"/>
      <c r="F461" s="131"/>
      <c r="G461" s="370"/>
      <c r="H461" s="370"/>
      <c r="I461" s="131"/>
      <c r="J461" s="131"/>
      <c r="K461" s="131"/>
      <c r="L461" s="131"/>
      <c r="M461" s="131"/>
      <c r="N461" s="1527"/>
    </row>
    <row r="462" spans="1:17" s="2" customFormat="1" x14ac:dyDescent="0.3">
      <c r="A462" s="1323"/>
      <c r="B462" s="3"/>
      <c r="C462" s="131"/>
      <c r="D462" s="131"/>
      <c r="E462" s="131"/>
      <c r="F462" s="131"/>
      <c r="G462" s="370"/>
      <c r="H462" s="370"/>
      <c r="I462" s="131"/>
      <c r="J462" s="131"/>
      <c r="K462" s="131"/>
      <c r="L462" s="131"/>
      <c r="M462" s="131"/>
      <c r="N462" s="1527"/>
    </row>
    <row r="463" spans="1:17" s="2" customFormat="1" x14ac:dyDescent="0.3">
      <c r="A463" s="1323"/>
      <c r="B463" s="3"/>
      <c r="C463" s="131"/>
      <c r="D463" s="131"/>
      <c r="E463" s="131"/>
      <c r="F463" s="131"/>
      <c r="G463" s="370"/>
      <c r="H463" s="370"/>
      <c r="I463" s="131"/>
      <c r="J463" s="131"/>
      <c r="K463" s="131"/>
      <c r="L463" s="131"/>
      <c r="M463" s="131"/>
      <c r="N463" s="1527"/>
    </row>
    <row r="464" spans="1:17" s="2" customFormat="1" x14ac:dyDescent="0.3">
      <c r="A464" s="1323"/>
      <c r="B464" s="3"/>
      <c r="C464" s="131"/>
      <c r="D464" s="131"/>
      <c r="E464" s="131"/>
      <c r="F464" s="131"/>
      <c r="G464" s="370"/>
      <c r="H464" s="370"/>
      <c r="I464" s="131"/>
      <c r="J464" s="131"/>
      <c r="K464" s="131"/>
      <c r="L464" s="131"/>
      <c r="M464" s="131"/>
      <c r="N464" s="1527"/>
    </row>
    <row r="465" spans="1:14" s="2" customFormat="1" x14ac:dyDescent="0.3">
      <c r="A465" s="1323"/>
      <c r="B465" s="3"/>
      <c r="C465" s="131"/>
      <c r="D465" s="131"/>
      <c r="E465" s="131"/>
      <c r="F465" s="131"/>
      <c r="G465" s="370"/>
      <c r="H465" s="370"/>
      <c r="I465" s="131"/>
      <c r="J465" s="131"/>
      <c r="K465" s="131"/>
      <c r="L465" s="131"/>
      <c r="M465" s="131"/>
      <c r="N465" s="1527"/>
    </row>
    <row r="466" spans="1:14" s="2" customFormat="1" x14ac:dyDescent="0.3">
      <c r="A466" s="1323"/>
      <c r="B466" s="3"/>
      <c r="C466" s="131"/>
      <c r="D466" s="131"/>
      <c r="E466" s="131"/>
      <c r="F466" s="131"/>
      <c r="G466" s="370"/>
      <c r="H466" s="370"/>
      <c r="I466" s="131"/>
      <c r="J466" s="131"/>
      <c r="K466" s="131"/>
      <c r="L466" s="131"/>
      <c r="M466" s="131"/>
      <c r="N466" s="1527"/>
    </row>
    <row r="467" spans="1:14" s="2" customFormat="1" x14ac:dyDescent="0.3">
      <c r="A467" s="1323"/>
      <c r="B467" s="3"/>
      <c r="C467" s="131"/>
      <c r="D467" s="131"/>
      <c r="E467" s="131"/>
      <c r="F467" s="131"/>
      <c r="G467" s="370"/>
      <c r="H467" s="370"/>
      <c r="I467" s="131"/>
      <c r="J467" s="131"/>
      <c r="K467" s="131"/>
      <c r="L467" s="131"/>
      <c r="M467" s="131"/>
      <c r="N467" s="1527"/>
    </row>
    <row r="468" spans="1:14" s="2" customFormat="1" x14ac:dyDescent="0.3">
      <c r="A468" s="1323"/>
      <c r="B468" s="3"/>
      <c r="C468" s="131"/>
      <c r="D468" s="131"/>
      <c r="E468" s="131"/>
      <c r="F468" s="131"/>
      <c r="G468" s="370"/>
      <c r="H468" s="370"/>
      <c r="I468" s="131"/>
      <c r="J468" s="131"/>
      <c r="K468" s="131"/>
      <c r="L468" s="131"/>
      <c r="M468" s="131"/>
      <c r="N468" s="1527"/>
    </row>
    <row r="469" spans="1:14" s="2" customFormat="1" x14ac:dyDescent="0.3">
      <c r="A469" s="1323"/>
      <c r="B469" s="3"/>
      <c r="C469" s="131"/>
      <c r="D469" s="131"/>
      <c r="E469" s="131"/>
      <c r="F469" s="131"/>
      <c r="G469" s="370"/>
      <c r="H469" s="370"/>
      <c r="I469" s="131"/>
      <c r="J469" s="131"/>
      <c r="K469" s="131"/>
      <c r="L469" s="131"/>
      <c r="M469" s="131"/>
      <c r="N469" s="1527"/>
    </row>
    <row r="470" spans="1:14" s="2" customFormat="1" x14ac:dyDescent="0.3">
      <c r="A470" s="1323"/>
      <c r="B470" s="3"/>
      <c r="C470" s="131"/>
      <c r="D470" s="131"/>
      <c r="E470" s="131"/>
      <c r="F470" s="131"/>
      <c r="G470" s="370"/>
      <c r="H470" s="370"/>
      <c r="I470" s="131"/>
      <c r="J470" s="131"/>
      <c r="K470" s="131"/>
      <c r="L470" s="131"/>
      <c r="M470" s="131"/>
      <c r="N470" s="1527"/>
    </row>
    <row r="471" spans="1:14" s="2" customFormat="1" x14ac:dyDescent="0.3">
      <c r="A471" s="1323"/>
      <c r="B471" s="3"/>
      <c r="C471" s="131"/>
      <c r="D471" s="131"/>
      <c r="E471" s="131"/>
      <c r="F471" s="131"/>
      <c r="G471" s="370"/>
      <c r="H471" s="370"/>
      <c r="I471" s="131"/>
      <c r="J471" s="131"/>
      <c r="K471" s="131"/>
      <c r="L471" s="131"/>
      <c r="M471" s="131"/>
      <c r="N471" s="1527"/>
    </row>
    <row r="472" spans="1:14" s="2" customFormat="1" x14ac:dyDescent="0.3">
      <c r="A472" s="1323"/>
      <c r="B472" s="3"/>
      <c r="C472" s="131"/>
      <c r="D472" s="131"/>
      <c r="E472" s="131"/>
      <c r="F472" s="131"/>
      <c r="G472" s="370"/>
      <c r="H472" s="370"/>
      <c r="I472" s="131"/>
      <c r="J472" s="131"/>
      <c r="K472" s="131"/>
      <c r="L472" s="131"/>
      <c r="M472" s="131"/>
      <c r="N472" s="1527"/>
    </row>
    <row r="473" spans="1:14" s="2" customFormat="1" x14ac:dyDescent="0.3">
      <c r="A473" s="1323"/>
      <c r="B473" s="3"/>
      <c r="C473" s="131"/>
      <c r="D473" s="131"/>
      <c r="E473" s="131"/>
      <c r="F473" s="131"/>
      <c r="G473" s="370"/>
      <c r="H473" s="370"/>
      <c r="I473" s="131"/>
      <c r="J473" s="131"/>
      <c r="K473" s="131"/>
      <c r="L473" s="131"/>
      <c r="M473" s="131"/>
      <c r="N473" s="1527"/>
    </row>
    <row r="474" spans="1:14" s="2" customFormat="1" x14ac:dyDescent="0.3">
      <c r="A474" s="1323"/>
      <c r="B474" s="3"/>
      <c r="C474" s="131"/>
      <c r="D474" s="131"/>
      <c r="E474" s="131"/>
      <c r="F474" s="131"/>
      <c r="G474" s="370"/>
      <c r="H474" s="370"/>
      <c r="I474" s="131"/>
      <c r="J474" s="131"/>
      <c r="K474" s="131"/>
      <c r="L474" s="131"/>
      <c r="M474" s="131"/>
      <c r="N474" s="1527"/>
    </row>
    <row r="475" spans="1:14" s="2" customFormat="1" x14ac:dyDescent="0.3">
      <c r="A475" s="1323"/>
      <c r="B475" s="3"/>
      <c r="C475" s="131"/>
      <c r="D475" s="131"/>
      <c r="E475" s="131"/>
      <c r="F475" s="131"/>
      <c r="G475" s="370"/>
      <c r="H475" s="370"/>
      <c r="I475" s="131"/>
      <c r="J475" s="131"/>
      <c r="K475" s="131"/>
      <c r="L475" s="131"/>
      <c r="M475" s="131"/>
      <c r="N475" s="1527"/>
    </row>
    <row r="476" spans="1:14" s="2" customFormat="1" x14ac:dyDescent="0.3">
      <c r="A476" s="1323"/>
      <c r="B476" s="3"/>
      <c r="C476" s="131"/>
      <c r="D476" s="131"/>
      <c r="E476" s="131"/>
      <c r="F476" s="131"/>
      <c r="G476" s="370"/>
      <c r="H476" s="370"/>
      <c r="I476" s="131"/>
      <c r="J476" s="131"/>
      <c r="K476" s="131"/>
      <c r="L476" s="131"/>
      <c r="M476" s="131"/>
      <c r="N476" s="1527"/>
    </row>
    <row r="477" spans="1:14" s="2" customFormat="1" x14ac:dyDescent="0.3">
      <c r="A477" s="1323"/>
      <c r="B477" s="3"/>
      <c r="C477" s="131"/>
      <c r="D477" s="131"/>
      <c r="E477" s="131"/>
      <c r="F477" s="131"/>
      <c r="G477" s="370"/>
      <c r="H477" s="370"/>
      <c r="I477" s="131"/>
      <c r="J477" s="131"/>
      <c r="K477" s="131"/>
      <c r="L477" s="131"/>
      <c r="M477" s="131"/>
      <c r="N477" s="1527"/>
    </row>
    <row r="478" spans="1:14" s="2" customFormat="1" ht="15.75" thickBot="1" x14ac:dyDescent="0.35">
      <c r="A478" s="1777"/>
      <c r="B478" s="2003"/>
      <c r="C478" s="2004"/>
      <c r="D478" s="2004"/>
      <c r="E478" s="2004"/>
      <c r="F478" s="2004"/>
      <c r="G478" s="2005"/>
      <c r="H478" s="2005"/>
      <c r="I478" s="2004"/>
      <c r="J478" s="2004"/>
      <c r="K478" s="2004"/>
      <c r="L478" s="2004"/>
      <c r="M478" s="2004"/>
      <c r="N478" s="1778"/>
    </row>
    <row r="479" spans="1:14" s="2" customFormat="1" ht="15.75" thickTop="1" x14ac:dyDescent="0.3">
      <c r="A479" s="1323"/>
      <c r="B479" s="3"/>
      <c r="C479" s="131"/>
      <c r="D479" s="131"/>
      <c r="E479" s="131"/>
      <c r="F479" s="131"/>
      <c r="G479" s="370"/>
      <c r="H479" s="370"/>
      <c r="I479" s="131"/>
      <c r="J479" s="131"/>
      <c r="K479" s="131"/>
      <c r="L479" s="131"/>
      <c r="M479" s="131"/>
      <c r="N479" s="131"/>
    </row>
    <row r="480" spans="1:14" s="2" customFormat="1" x14ac:dyDescent="0.3">
      <c r="A480" s="1323"/>
      <c r="B480" s="3"/>
      <c r="C480" s="131"/>
      <c r="D480" s="131"/>
      <c r="E480" s="131"/>
      <c r="F480" s="131"/>
      <c r="G480" s="370"/>
      <c r="H480" s="370"/>
      <c r="I480" s="131"/>
      <c r="J480" s="131"/>
      <c r="K480" s="131"/>
      <c r="L480" s="131"/>
      <c r="M480" s="131"/>
      <c r="N480" s="131"/>
    </row>
    <row r="481" spans="1:14" s="2" customFormat="1" ht="15.75" thickBot="1" x14ac:dyDescent="0.35">
      <c r="A481" s="52"/>
      <c r="B481" s="3"/>
      <c r="C481" s="131"/>
      <c r="D481" s="131"/>
      <c r="E481" s="131"/>
      <c r="F481" s="131"/>
      <c r="G481" s="370"/>
      <c r="H481" s="370"/>
      <c r="I481" s="131"/>
      <c r="J481" s="131"/>
      <c r="K481" s="131"/>
      <c r="L481" s="131"/>
      <c r="M481" s="143"/>
      <c r="N481" s="143"/>
    </row>
    <row r="482" spans="1:14" s="15" customFormat="1" ht="19.5" thickTop="1" x14ac:dyDescent="0.3">
      <c r="A482" s="265" t="s">
        <v>3</v>
      </c>
      <c r="B482" s="260"/>
      <c r="C482" s="201"/>
      <c r="D482" s="201"/>
      <c r="E482" s="201"/>
      <c r="F482" s="201"/>
      <c r="G482" s="201"/>
      <c r="H482" s="261"/>
      <c r="I482" s="261"/>
      <c r="J482" s="201"/>
      <c r="K482" s="201"/>
      <c r="L482" s="201"/>
      <c r="M482" s="201"/>
      <c r="N482" s="256"/>
    </row>
    <row r="483" spans="1:14" s="15" customFormat="1" ht="18.75" x14ac:dyDescent="0.3">
      <c r="A483" s="144" t="s">
        <v>4</v>
      </c>
      <c r="B483" s="70"/>
      <c r="C483" s="71"/>
      <c r="D483" s="71"/>
      <c r="E483" s="71"/>
      <c r="F483" s="71"/>
      <c r="G483" s="71"/>
      <c r="H483" s="72"/>
      <c r="I483" s="72"/>
      <c r="J483" s="71"/>
      <c r="K483" s="71"/>
      <c r="L483" s="71"/>
      <c r="M483" s="71"/>
      <c r="N483" s="200"/>
    </row>
    <row r="484" spans="1:14" s="15" customFormat="1" ht="18" customHeight="1" x14ac:dyDescent="0.25">
      <c r="A484" s="91" t="s">
        <v>298</v>
      </c>
      <c r="C484" s="71"/>
      <c r="E484" s="70"/>
      <c r="F484" s="71"/>
      <c r="G484" s="71"/>
      <c r="H484" s="72"/>
      <c r="I484" s="72"/>
      <c r="J484" s="71"/>
      <c r="K484" s="71"/>
      <c r="L484" s="71"/>
      <c r="M484" s="71"/>
      <c r="N484" s="200"/>
    </row>
    <row r="485" spans="1:14" s="15" customFormat="1" ht="18" customHeight="1" x14ac:dyDescent="0.25">
      <c r="A485" s="91" t="s">
        <v>297</v>
      </c>
      <c r="C485" s="71"/>
      <c r="E485" s="70"/>
      <c r="F485" s="71"/>
      <c r="G485" s="71"/>
      <c r="L485" s="956"/>
      <c r="N485" s="200"/>
    </row>
    <row r="486" spans="1:14" s="15" customFormat="1" ht="18" customHeight="1" x14ac:dyDescent="0.25">
      <c r="A486" s="91"/>
      <c r="C486" s="71"/>
      <c r="E486" s="70"/>
      <c r="F486" s="71"/>
      <c r="G486" s="71"/>
      <c r="L486" s="956"/>
      <c r="N486" s="200"/>
    </row>
    <row r="487" spans="1:14" s="15" customFormat="1" ht="16.5" customHeight="1" x14ac:dyDescent="0.25">
      <c r="C487" s="1026" t="s">
        <v>273</v>
      </c>
      <c r="E487" s="70"/>
      <c r="F487" s="71"/>
      <c r="G487" s="71"/>
      <c r="H487" s="72"/>
      <c r="I487" s="72"/>
      <c r="J487" s="71"/>
      <c r="K487" s="71"/>
      <c r="L487" s="71"/>
      <c r="M487" s="71"/>
      <c r="N487" s="200"/>
    </row>
    <row r="488" spans="1:14" s="15" customFormat="1" ht="16.5" customHeight="1" x14ac:dyDescent="0.25">
      <c r="A488" s="93"/>
      <c r="B488" s="70"/>
      <c r="C488" s="1026" t="s">
        <v>155</v>
      </c>
      <c r="E488" s="71"/>
      <c r="F488" s="71"/>
      <c r="G488" s="71"/>
      <c r="H488" s="72"/>
      <c r="I488" s="72"/>
      <c r="J488" s="71"/>
      <c r="K488" s="71"/>
      <c r="L488" s="71"/>
      <c r="M488" s="71"/>
      <c r="N488" s="200"/>
    </row>
    <row r="489" spans="1:14" s="15" customFormat="1" ht="16.5" customHeight="1" x14ac:dyDescent="0.25">
      <c r="A489" s="93"/>
      <c r="B489" s="70"/>
      <c r="C489" s="1026"/>
      <c r="E489" s="71"/>
      <c r="F489" s="71"/>
      <c r="G489" s="71"/>
      <c r="H489" s="72"/>
      <c r="I489" s="72"/>
      <c r="J489" s="71"/>
      <c r="K489" s="71"/>
      <c r="L489" s="71"/>
      <c r="M489" s="71"/>
      <c r="N489" s="1423"/>
    </row>
    <row r="490" spans="1:14" s="15" customFormat="1" ht="16.5" customHeight="1" x14ac:dyDescent="0.25">
      <c r="A490" s="1416" t="s">
        <v>3680</v>
      </c>
      <c r="B490" s="70"/>
      <c r="C490" s="1026"/>
      <c r="E490" s="71"/>
      <c r="F490" s="71"/>
      <c r="G490" s="71"/>
      <c r="H490" s="72"/>
      <c r="I490" s="72"/>
      <c r="J490" s="71"/>
      <c r="K490" s="71"/>
      <c r="L490" s="71"/>
      <c r="M490" s="71"/>
      <c r="N490" s="1423"/>
    </row>
    <row r="491" spans="1:14" s="15" customFormat="1" ht="16.5" customHeight="1" x14ac:dyDescent="0.25">
      <c r="A491" s="64" t="s">
        <v>296</v>
      </c>
      <c r="B491" s="70"/>
      <c r="C491" s="93"/>
      <c r="E491" s="71"/>
      <c r="F491" s="71"/>
      <c r="G491" s="71"/>
      <c r="H491" s="72"/>
      <c r="I491" s="72"/>
      <c r="J491" s="71"/>
      <c r="K491" s="71"/>
      <c r="L491" s="71"/>
      <c r="M491" s="71"/>
      <c r="N491" s="200"/>
    </row>
    <row r="492" spans="1:14" s="15" customFormat="1" ht="16.5" customHeight="1" x14ac:dyDescent="0.3">
      <c r="A492" s="93"/>
      <c r="B492" s="70"/>
      <c r="C492" s="93"/>
      <c r="E492" s="71"/>
      <c r="F492" s="71"/>
      <c r="G492" s="1065" t="s">
        <v>331</v>
      </c>
      <c r="I492" s="131"/>
      <c r="J492" s="980"/>
      <c r="K492" s="979" t="s">
        <v>1099</v>
      </c>
      <c r="L492" s="1474"/>
      <c r="M492" s="71"/>
      <c r="N492" s="200"/>
    </row>
    <row r="493" spans="1:14" s="15" customFormat="1" ht="16.5" customHeight="1" thickBot="1" x14ac:dyDescent="0.3">
      <c r="A493" s="64"/>
      <c r="B493" s="70"/>
      <c r="C493" s="93"/>
      <c r="E493" s="71"/>
      <c r="F493" s="71"/>
      <c r="G493" s="71"/>
      <c r="H493" s="72"/>
      <c r="I493" s="72"/>
      <c r="J493" s="71"/>
      <c r="K493" s="71"/>
      <c r="L493" s="71"/>
      <c r="M493" s="71"/>
      <c r="N493" s="200"/>
    </row>
    <row r="494" spans="1:14" s="15" customFormat="1" ht="16.5" customHeight="1" thickBot="1" x14ac:dyDescent="0.35">
      <c r="A494" s="93"/>
      <c r="B494" s="70"/>
      <c r="C494" s="818" t="str">
        <f>IF('S. Setup'!$J$61="no","IGNORING irregular Savings (Contributions - Withdrawals) by using $0","USING irregular Savings (Contributions - Withdrawals)")</f>
        <v>USING irregular Savings (Contributions - Withdrawals)</v>
      </c>
      <c r="D494" s="716"/>
      <c r="E494" s="716"/>
      <c r="F494" s="716"/>
      <c r="G494" s="716"/>
      <c r="H494" s="715"/>
      <c r="I494" s="715"/>
      <c r="J494" s="715"/>
      <c r="K494" s="715"/>
      <c r="L494" s="716"/>
      <c r="N494" s="200"/>
    </row>
    <row r="495" spans="1:14" s="15" customFormat="1" ht="16.5" customHeight="1" x14ac:dyDescent="0.3">
      <c r="A495" s="93"/>
      <c r="B495" s="70"/>
      <c r="C495" s="881"/>
      <c r="D495" s="712"/>
      <c r="E495" s="712"/>
      <c r="F495" s="712"/>
      <c r="G495" s="712"/>
      <c r="H495" s="712"/>
      <c r="I495" s="712"/>
      <c r="J495" s="712"/>
      <c r="K495" s="712"/>
      <c r="L495" s="712"/>
      <c r="N495" s="200"/>
    </row>
    <row r="496" spans="1:14" s="15" customFormat="1" ht="18.75" x14ac:dyDescent="0.3">
      <c r="A496" s="163"/>
      <c r="B496" s="70"/>
      <c r="C496" s="6" t="s">
        <v>70</v>
      </c>
      <c r="D496" s="6"/>
      <c r="E496" s="6"/>
      <c r="F496" s="6"/>
      <c r="G496" s="6"/>
      <c r="H496" s="6"/>
      <c r="I496" s="6"/>
      <c r="J496" s="6"/>
      <c r="K496" s="1025" t="s">
        <v>1104</v>
      </c>
      <c r="M496" s="712"/>
      <c r="N496" s="200"/>
    </row>
    <row r="497" spans="1:16" s="15" customFormat="1" ht="15" customHeight="1" thickBot="1" x14ac:dyDescent="0.3">
      <c r="A497" s="262"/>
      <c r="B497" s="70"/>
      <c r="C497" s="108"/>
      <c r="D497" s="108"/>
      <c r="E497" s="71"/>
      <c r="G497" s="71"/>
      <c r="H497" s="72"/>
      <c r="I497" s="108"/>
      <c r="J497" s="108"/>
      <c r="K497" s="108"/>
      <c r="L497" s="108"/>
      <c r="M497" s="108"/>
      <c r="N497" s="269"/>
    </row>
    <row r="498" spans="1:16" s="860" customFormat="1" ht="61.5" thickTop="1" thickBot="1" x14ac:dyDescent="0.25">
      <c r="A498" s="325" t="s">
        <v>142</v>
      </c>
      <c r="B498" s="326" t="s">
        <v>143</v>
      </c>
      <c r="C498" s="431" t="s">
        <v>597</v>
      </c>
      <c r="D498" s="431" t="s">
        <v>598</v>
      </c>
      <c r="E498" s="238" t="s">
        <v>1588</v>
      </c>
      <c r="F498" s="238" t="s">
        <v>1589</v>
      </c>
      <c r="G498" s="238" t="s">
        <v>1590</v>
      </c>
      <c r="H498" s="238" t="s">
        <v>1591</v>
      </c>
      <c r="I498" s="238" t="s">
        <v>599</v>
      </c>
      <c r="J498" s="238" t="s">
        <v>600</v>
      </c>
      <c r="K498" s="431" t="s">
        <v>1597</v>
      </c>
      <c r="L498" s="431" t="s">
        <v>1598</v>
      </c>
      <c r="M498" s="683" t="s">
        <v>36</v>
      </c>
      <c r="N498" s="862" t="s">
        <v>37</v>
      </c>
    </row>
    <row r="499" spans="1:16" s="15" customFormat="1" ht="12.75" thickTop="1" x14ac:dyDescent="0.2">
      <c r="A499" s="848">
        <f>'1. AgeData'!$D$30</f>
        <v>60</v>
      </c>
      <c r="B499" s="849">
        <f>'1. AgeData'!$D$31</f>
        <v>55</v>
      </c>
      <c r="C499" s="854">
        <f>IF(A499&gt;'1. AgeData'!$I$30,0,'9. SavingsData'!C533)</f>
        <v>110000</v>
      </c>
      <c r="D499" s="1432">
        <f>IF(B499&gt;'1. AgeData'!$I$31,0,'9. SavingsData'!D533)</f>
        <v>80000</v>
      </c>
      <c r="E499" s="992">
        <f>IF(A499&gt;'1. AgeData'!$I$30,0,'9. SavingsData'!E533)</f>
        <v>550</v>
      </c>
      <c r="F499" s="1970">
        <f>IF(B499&gt;'1. AgeData'!$I$30,0,'9. SavingsData'!F533)</f>
        <v>400</v>
      </c>
      <c r="G499" s="1970">
        <f>IF(A499&gt;'1. AgeData'!$I$30,0,'9. SavingsData'!G533)</f>
        <v>1100</v>
      </c>
      <c r="H499" s="1970">
        <f>IF(B499&gt;'1. AgeData'!$I$30,0,'9. SavingsData'!H533)</f>
        <v>1600</v>
      </c>
      <c r="I499" s="1970">
        <f>IF(A499&gt;'1. AgeData'!$I$30,0,'9. SavingsData'!I533)</f>
        <v>715</v>
      </c>
      <c r="J499" s="1971">
        <f>IF(B499&gt;'1. AgeData'!$I$30,0,'9. SavingsData'!J533)</f>
        <v>200</v>
      </c>
      <c r="K499" s="857">
        <f>'9. SavingsData'!$G316</f>
        <v>-9100</v>
      </c>
      <c r="L499" s="859">
        <f>'9. SavingsData'!$H316</f>
        <v>-1500</v>
      </c>
      <c r="M499" s="859">
        <f>'9. SavingsData'!$I316</f>
        <v>1000</v>
      </c>
      <c r="N499" s="994">
        <f>'9. SavingsData'!$J316</f>
        <v>0</v>
      </c>
      <c r="O499" s="1103"/>
      <c r="P499" s="447"/>
    </row>
    <row r="500" spans="1:16" s="15" customFormat="1" ht="12" x14ac:dyDescent="0.2">
      <c r="A500" s="850">
        <f>A499+1</f>
        <v>61</v>
      </c>
      <c r="B500" s="851">
        <f>B499+1</f>
        <v>56</v>
      </c>
      <c r="C500" s="857">
        <f>IF(A500&gt;'1. AgeData'!$I$30,0,'9. SavingsData'!C534)</f>
        <v>114380.25</v>
      </c>
      <c r="D500" s="858">
        <f>IF(B500&gt;'1. AgeData'!$I$31,0,'9. SavingsData'!D534)</f>
        <v>83215.25</v>
      </c>
      <c r="E500" s="993">
        <f>IF(A500&gt;'1. AgeData'!$I$30,0,'9. SavingsData'!E534)</f>
        <v>571.90125</v>
      </c>
      <c r="F500" s="924">
        <f>IF(B500&gt;'1. AgeData'!$I$30,0,'9. SavingsData'!F534)</f>
        <v>416.07625000000002</v>
      </c>
      <c r="G500" s="924">
        <f>IF(A500&gt;'1. AgeData'!$I$30,0,'9. SavingsData'!G534)</f>
        <v>1143.8025</v>
      </c>
      <c r="H500" s="924">
        <f>IF(B500&gt;'1. AgeData'!$I$30,0,'9. SavingsData'!H534)</f>
        <v>1664.3050000000001</v>
      </c>
      <c r="I500" s="924">
        <f>IF(A500&gt;'1. AgeData'!$I$30,0,'9. SavingsData'!I534)</f>
        <v>743.47162500000002</v>
      </c>
      <c r="J500" s="996">
        <f>IF(B500&gt;'1. AgeData'!$I$30,0,'9. SavingsData'!J534)</f>
        <v>208.03812500000001</v>
      </c>
      <c r="K500" s="857">
        <f>'9. SavingsData'!$G317</f>
        <v>-22618.68</v>
      </c>
      <c r="L500" s="859">
        <f>'9. SavingsData'!$H317</f>
        <v>-17340</v>
      </c>
      <c r="M500" s="859">
        <f>'9. SavingsData'!$I317</f>
        <v>1010</v>
      </c>
      <c r="N500" s="994">
        <f>'9. SavingsData'!$J317</f>
        <v>0</v>
      </c>
      <c r="O500" s="1103"/>
      <c r="P500" s="447"/>
    </row>
    <row r="501" spans="1:16" s="15" customFormat="1" ht="12" x14ac:dyDescent="0.2">
      <c r="A501" s="850">
        <f t="shared" ref="A501:A535" si="33">A500+1</f>
        <v>62</v>
      </c>
      <c r="B501" s="851">
        <f t="shared" ref="B501:B535" si="34">B500+1</f>
        <v>57</v>
      </c>
      <c r="C501" s="857">
        <f>IF(A501&gt;'1. AgeData'!$I$30,0,'9. SavingsData'!C535)</f>
        <v>118099.66731617646</v>
      </c>
      <c r="D501" s="858">
        <f>IF(B501&gt;'1. AgeData'!$I$31,0,'9. SavingsData'!D535)</f>
        <v>85753.911316176469</v>
      </c>
      <c r="E501" s="993">
        <f>IF(A501&gt;'1. AgeData'!$I$30,0,'9. SavingsData'!E535)</f>
        <v>590.49833658088232</v>
      </c>
      <c r="F501" s="924">
        <f>IF(B501&gt;'1. AgeData'!$I$30,0,'9. SavingsData'!F535)</f>
        <v>428.76955658088235</v>
      </c>
      <c r="G501" s="924">
        <f>IF(A501&gt;'1. AgeData'!$I$30,0,'9. SavingsData'!G535)</f>
        <v>1180.9966731617646</v>
      </c>
      <c r="H501" s="924">
        <f>IF(B501&gt;'1. AgeData'!$I$30,0,'9. SavingsData'!H535)</f>
        <v>1715.0782263235294</v>
      </c>
      <c r="I501" s="924">
        <f>IF(A501&gt;'1. AgeData'!$I$30,0,'9. SavingsData'!I535)</f>
        <v>767.64783755514702</v>
      </c>
      <c r="J501" s="996">
        <f>IF(B501&gt;'1. AgeData'!$I$30,0,'9. SavingsData'!J535)</f>
        <v>214.38477829044118</v>
      </c>
      <c r="K501" s="857">
        <f>'9. SavingsData'!$G318</f>
        <v>-19686.8</v>
      </c>
      <c r="L501" s="859">
        <f>'9. SavingsData'!$H318</f>
        <v>-16646.399999999998</v>
      </c>
      <c r="M501" s="859">
        <f>'9. SavingsData'!$I318</f>
        <v>1020.1</v>
      </c>
      <c r="N501" s="994">
        <f>'9. SavingsData'!$J318</f>
        <v>0</v>
      </c>
      <c r="O501" s="1103"/>
    </row>
    <row r="502" spans="1:16" s="15" customFormat="1" ht="12" x14ac:dyDescent="0.2">
      <c r="A502" s="850">
        <f t="shared" si="33"/>
        <v>63</v>
      </c>
      <c r="B502" s="851">
        <f t="shared" si="34"/>
        <v>58</v>
      </c>
      <c r="C502" s="857">
        <f>IF(A502&gt;'1. AgeData'!$I$30,0,'9. SavingsData'!C536)</f>
        <v>120715.60383069771</v>
      </c>
      <c r="D502" s="858">
        <f>IF(B502&gt;'1. AgeData'!$I$31,0,'9. SavingsData'!D536)</f>
        <v>87168.83754459476</v>
      </c>
      <c r="E502" s="993">
        <f>IF(A502&gt;'1. AgeData'!$I$30,0,'9. SavingsData'!E536)</f>
        <v>603.57801915348853</v>
      </c>
      <c r="F502" s="924">
        <f>IF(B502&gt;'1. AgeData'!$I$30,0,'9. SavingsData'!F536)</f>
        <v>435.8441877229738</v>
      </c>
      <c r="G502" s="924">
        <f>IF(A502&gt;'1. AgeData'!$I$30,0,'9. SavingsData'!G536)</f>
        <v>1207.1560383069771</v>
      </c>
      <c r="H502" s="924">
        <f>IF(B502&gt;'1. AgeData'!$I$30,0,'9. SavingsData'!H536)</f>
        <v>1743.3767508918952</v>
      </c>
      <c r="I502" s="924">
        <f>IF(A502&gt;'1. AgeData'!$I$30,0,'9. SavingsData'!I536)</f>
        <v>784.65142489953507</v>
      </c>
      <c r="J502" s="996">
        <f>IF(B502&gt;'1. AgeData'!$I$30,0,'9. SavingsData'!J536)</f>
        <v>217.9220938614869</v>
      </c>
      <c r="K502" s="857">
        <f>'9. SavingsData'!$G319</f>
        <v>-39081.072</v>
      </c>
      <c r="L502" s="859">
        <f>'9. SavingsData'!$H319</f>
        <v>-36081.072</v>
      </c>
      <c r="M502" s="859">
        <f>'9. SavingsData'!$I319</f>
        <v>1030.3009999999999</v>
      </c>
      <c r="N502" s="994">
        <f>'9. SavingsData'!$J319</f>
        <v>1200</v>
      </c>
      <c r="O502" s="1103"/>
    </row>
    <row r="503" spans="1:16" s="15" customFormat="1" ht="12" x14ac:dyDescent="0.2">
      <c r="A503" s="850">
        <f t="shared" si="33"/>
        <v>64</v>
      </c>
      <c r="B503" s="851">
        <f t="shared" si="34"/>
        <v>59</v>
      </c>
      <c r="C503" s="857">
        <f>IF(A503&gt;'1. AgeData'!$I$30,0,'9. SavingsData'!C537)</f>
        <v>110082.19358668009</v>
      </c>
      <c r="D503" s="858">
        <f>IF(B503&gt;'1. AgeData'!$I$31,0,'9. SavingsData'!D537)</f>
        <v>76506.883850693499</v>
      </c>
      <c r="E503" s="993">
        <f>IF(A503&gt;'1. AgeData'!$I$30,0,'9. SavingsData'!E537)</f>
        <v>550.41096793340046</v>
      </c>
      <c r="F503" s="924">
        <f>IF(B503&gt;'1. AgeData'!$I$30,0,'9. SavingsData'!F537)</f>
        <v>382.53441925346749</v>
      </c>
      <c r="G503" s="924">
        <f>IF(A503&gt;'1. AgeData'!$I$30,0,'9. SavingsData'!G537)</f>
        <v>1100.8219358668009</v>
      </c>
      <c r="H503" s="924">
        <f>IF(B503&gt;'1. AgeData'!$I$30,0,'9. SavingsData'!H537)</f>
        <v>1530.13767701387</v>
      </c>
      <c r="I503" s="924">
        <f>IF(A503&gt;'1. AgeData'!$I$30,0,'9. SavingsData'!I537)</f>
        <v>715.53425831342054</v>
      </c>
      <c r="J503" s="996">
        <f>IF(B503&gt;'1. AgeData'!$I$30,0,'9. SavingsData'!J537)</f>
        <v>191.26720962673375</v>
      </c>
      <c r="K503" s="857">
        <f>'9. SavingsData'!$G320</f>
        <v>-39802.693440000003</v>
      </c>
      <c r="L503" s="859">
        <f>'9. SavingsData'!$H320</f>
        <v>-36802.693440000003</v>
      </c>
      <c r="M503" s="859">
        <f>'9. SavingsData'!$I320</f>
        <v>0</v>
      </c>
      <c r="N503" s="994">
        <f>'9. SavingsData'!$J320</f>
        <v>1200</v>
      </c>
      <c r="O503" s="1103"/>
    </row>
    <row r="504" spans="1:16" s="15" customFormat="1" ht="12" x14ac:dyDescent="0.2">
      <c r="A504" s="850">
        <f t="shared" si="33"/>
        <v>65</v>
      </c>
      <c r="B504" s="851">
        <f t="shared" si="34"/>
        <v>60</v>
      </c>
      <c r="C504" s="857">
        <f>IF(A504&gt;'1. AgeData'!$I$30,0,'9. SavingsData'!C538)</f>
        <v>99482.42286685959</v>
      </c>
      <c r="D504" s="858">
        <f>IF(B504&gt;'1. AgeData'!$I$31,0,'9. SavingsData'!D538)</f>
        <v>66844.285274653463</v>
      </c>
      <c r="E504" s="993">
        <f>IF(A504&gt;'1. AgeData'!$I$30,0,'9. SavingsData'!E538)</f>
        <v>497.41211433429794</v>
      </c>
      <c r="F504" s="924">
        <f>IF(B504&gt;'1. AgeData'!$I$30,0,'9. SavingsData'!F538)</f>
        <v>334.22142637326732</v>
      </c>
      <c r="G504" s="924">
        <f>IF(A504&gt;'1. AgeData'!$I$30,0,'9. SavingsData'!G538)</f>
        <v>994.82422866859588</v>
      </c>
      <c r="H504" s="924">
        <f>IF(B504&gt;'1. AgeData'!$I$30,0,'9. SavingsData'!H538)</f>
        <v>1336.8857054930693</v>
      </c>
      <c r="I504" s="924">
        <f>IF(A504&gt;'1. AgeData'!$I$30,0,'9. SavingsData'!I538)</f>
        <v>646.63574863458734</v>
      </c>
      <c r="J504" s="996">
        <f>IF(B504&gt;'1. AgeData'!$I$30,0,'9. SavingsData'!J538)</f>
        <v>167.11071318663366</v>
      </c>
      <c r="K504" s="857">
        <f>'9. SavingsData'!$G321</f>
        <v>-20769.373654399998</v>
      </c>
      <c r="L504" s="859">
        <f>'9. SavingsData'!$H321</f>
        <v>-17269.373654399998</v>
      </c>
      <c r="M504" s="859">
        <f>'9. SavingsData'!$I321</f>
        <v>0</v>
      </c>
      <c r="N504" s="994">
        <f>'9. SavingsData'!$J321</f>
        <v>531.55714725346536</v>
      </c>
      <c r="O504" s="1104"/>
    </row>
    <row r="505" spans="1:16" s="15" customFormat="1" ht="12" x14ac:dyDescent="0.2">
      <c r="A505" s="850">
        <f t="shared" si="33"/>
        <v>66</v>
      </c>
      <c r="B505" s="851">
        <f t="shared" si="34"/>
        <v>61</v>
      </c>
      <c r="C505" s="857">
        <f>IF(A505&gt;'1. AgeData'!$I$30,0,'9. SavingsData'!C539)</f>
        <v>92900.494561736996</v>
      </c>
      <c r="D505" s="858">
        <f>IF(B505&gt;'1. AgeData'!$I$31,0,'9. SavingsData'!D539)</f>
        <v>60493.259870199829</v>
      </c>
      <c r="E505" s="993">
        <f>IF(A505&gt;'1. AgeData'!$I$30,0,'9. SavingsData'!E539)</f>
        <v>464.50247280868501</v>
      </c>
      <c r="F505" s="924">
        <f>IF(B505&gt;'1. AgeData'!$I$30,0,'9. SavingsData'!F539)</f>
        <v>302.46629935099912</v>
      </c>
      <c r="G505" s="924">
        <f>IF(A505&gt;'1. AgeData'!$I$30,0,'9. SavingsData'!G539)</f>
        <v>929.00494561737003</v>
      </c>
      <c r="H505" s="924">
        <f>IF(B505&gt;'1. AgeData'!$I$30,0,'9. SavingsData'!H539)</f>
        <v>1209.8651974039965</v>
      </c>
      <c r="I505" s="924">
        <f>IF(A505&gt;'1. AgeData'!$I$30,0,'9. SavingsData'!I539)</f>
        <v>603.8532146512905</v>
      </c>
      <c r="J505" s="996">
        <f>IF(B505&gt;'1. AgeData'!$I$30,0,'9. SavingsData'!J539)</f>
        <v>151.23314967549956</v>
      </c>
      <c r="K505" s="857">
        <f>'9. SavingsData'!$G322</f>
        <v>-26649.410804544001</v>
      </c>
      <c r="L505" s="859">
        <f>'9. SavingsData'!$H322</f>
        <v>-21960.167175647999</v>
      </c>
      <c r="M505" s="859">
        <f>'9. SavingsData'!$I322</f>
        <v>0</v>
      </c>
      <c r="N505" s="994">
        <f>'9. SavingsData'!$J322</f>
        <v>595.06740129800176</v>
      </c>
      <c r="O505" s="1104"/>
    </row>
    <row r="506" spans="1:16" s="15" customFormat="1" ht="12" x14ac:dyDescent="0.2">
      <c r="A506" s="873">
        <f t="shared" si="33"/>
        <v>67</v>
      </c>
      <c r="B506" s="874">
        <f t="shared" si="34"/>
        <v>62</v>
      </c>
      <c r="C506" s="857">
        <f>IF(A506&gt;'1. AgeData'!$I$30,0,'9. SavingsData'!C540)</f>
        <v>127827.51420785117</v>
      </c>
      <c r="D506" s="858">
        <f>IF(B506&gt;'1. AgeData'!$I$31,0,'9. SavingsData'!D540)</f>
        <v>67939.833085934879</v>
      </c>
      <c r="E506" s="993">
        <f>IF(A506&gt;'1. AgeData'!$I$30,0,'9. SavingsData'!E540)</f>
        <v>639.13757103925582</v>
      </c>
      <c r="F506" s="924">
        <f>IF(B506&gt;'1. AgeData'!$I$30,0,'9. SavingsData'!F540)</f>
        <v>339.69916542967439</v>
      </c>
      <c r="G506" s="924">
        <f>IF(A506&gt;'1. AgeData'!$I$30,0,'9. SavingsData'!G540)</f>
        <v>1278.2751420785116</v>
      </c>
      <c r="H506" s="924">
        <f>IF(B506&gt;'1. AgeData'!$I$30,0,'9. SavingsData'!H540)</f>
        <v>1358.7966617186976</v>
      </c>
      <c r="I506" s="924">
        <f>IF(A506&gt;'1. AgeData'!$I$30,0,'9. SavingsData'!I540)</f>
        <v>830.87884235103252</v>
      </c>
      <c r="J506" s="996">
        <f>IF(B506&gt;'1. AgeData'!$I$30,0,'9. SavingsData'!J540)</f>
        <v>169.8495827148372</v>
      </c>
      <c r="K506" s="857">
        <f>'9. SavingsData'!$G323</f>
        <v>-10006.982572660607</v>
      </c>
      <c r="L506" s="859">
        <f>'9. SavingsData'!$H323</f>
        <v>0</v>
      </c>
      <c r="M506" s="859">
        <f>'9. SavingsData'!$I323</f>
        <v>-1278.2751420785116</v>
      </c>
      <c r="N506" s="994">
        <f>'9. SavingsData'!$J323</f>
        <v>520.60166914065121</v>
      </c>
      <c r="O506" s="1104"/>
    </row>
    <row r="507" spans="1:16" s="15" customFormat="1" ht="12" x14ac:dyDescent="0.2">
      <c r="A507" s="873">
        <f t="shared" si="33"/>
        <v>68</v>
      </c>
      <c r="B507" s="874">
        <f t="shared" si="34"/>
        <v>63</v>
      </c>
      <c r="C507" s="857">
        <f>IF(A507&gt;'1. AgeData'!$I$30,0,'9. SavingsData'!C541)</f>
        <v>166245.36363174769</v>
      </c>
      <c r="D507" s="858">
        <f>IF(B507&gt;'1. AgeData'!$I$31,0,'9. SavingsData'!D541)</f>
        <v>73095.596978717731</v>
      </c>
      <c r="E507" s="993">
        <f>IF(A507&gt;'1. AgeData'!$I$30,0,'9. SavingsData'!E541)</f>
        <v>831.22681815873852</v>
      </c>
      <c r="F507" s="924">
        <f>IF(B507&gt;'1. AgeData'!$I$30,0,'9. SavingsData'!F541)</f>
        <v>365.47798489358865</v>
      </c>
      <c r="G507" s="924">
        <f>IF(A507&gt;'1. AgeData'!$I$30,0,'9. SavingsData'!G541)</f>
        <v>1662.453636317477</v>
      </c>
      <c r="H507" s="924">
        <f>IF(B507&gt;'1. AgeData'!$I$30,0,'9. SavingsData'!H541)</f>
        <v>1461.9119395743546</v>
      </c>
      <c r="I507" s="924">
        <f>IF(A507&gt;'1. AgeData'!$I$30,0,'9. SavingsData'!I541)</f>
        <v>1080.5948636063599</v>
      </c>
      <c r="J507" s="996">
        <f>IF(B507&gt;'1. AgeData'!$I$30,0,'9. SavingsData'!J541)</f>
        <v>182.73899244679433</v>
      </c>
      <c r="K507" s="857">
        <f>'9. SavingsData'!$G324</f>
        <v>-6514.978143006796</v>
      </c>
      <c r="L507" s="859">
        <f>'9. SavingsData'!$H324</f>
        <v>0</v>
      </c>
      <c r="M507" s="859">
        <f>'9. SavingsData'!$I324</f>
        <v>-1662.453636317477</v>
      </c>
      <c r="N507" s="994">
        <f>'9. SavingsData'!$J324</f>
        <v>469.04403021282269</v>
      </c>
    </row>
    <row r="508" spans="1:16" s="15" customFormat="1" ht="12" x14ac:dyDescent="0.2">
      <c r="A508" s="873">
        <f t="shared" si="33"/>
        <v>69</v>
      </c>
      <c r="B508" s="874">
        <f t="shared" si="34"/>
        <v>64</v>
      </c>
      <c r="C508" s="857">
        <f>IF(A508&gt;'1. AgeData'!$I$30,0,'9. SavingsData'!C542)</f>
        <v>185044.84077425019</v>
      </c>
      <c r="D508" s="858">
        <f>IF(B508&gt;'1. AgeData'!$I$31,0,'9. SavingsData'!D542)</f>
        <v>92462.425386582705</v>
      </c>
      <c r="E508" s="993">
        <f>IF(A508&gt;'1. AgeData'!$I$30,0,'9. SavingsData'!E542)</f>
        <v>925.22420387125101</v>
      </c>
      <c r="F508" s="924">
        <f>IF(B508&gt;'1. AgeData'!$I$30,0,'9. SavingsData'!F542)</f>
        <v>462.31212693291354</v>
      </c>
      <c r="G508" s="924">
        <f>IF(A508&gt;'1. AgeData'!$I$30,0,'9. SavingsData'!G542)</f>
        <v>1850.448407742502</v>
      </c>
      <c r="H508" s="924">
        <f>IF(B508&gt;'1. AgeData'!$I$30,0,'9. SavingsData'!H542)</f>
        <v>1849.2485077316542</v>
      </c>
      <c r="I508" s="924">
        <f>IF(A508&gt;'1. AgeData'!$I$30,0,'9. SavingsData'!I542)</f>
        <v>1202.7914650326261</v>
      </c>
      <c r="J508" s="996">
        <f>IF(B508&gt;'1. AgeData'!$I$30,0,'9. SavingsData'!J542)</f>
        <v>231.15606346645677</v>
      </c>
      <c r="K508" s="857">
        <f>'9. SavingsData'!$G325</f>
        <v>-3000</v>
      </c>
      <c r="L508" s="859">
        <f>'9. SavingsData'!$H325</f>
        <v>-5670.5554117338652</v>
      </c>
      <c r="M508" s="859">
        <f>'9. SavingsData'!$I325</f>
        <v>-1850.448407742502</v>
      </c>
      <c r="N508" s="994">
        <f>'9. SavingsData'!$J325</f>
        <v>275.37574613417291</v>
      </c>
    </row>
    <row r="509" spans="1:16" s="15" customFormat="1" ht="12" x14ac:dyDescent="0.2">
      <c r="A509" s="850">
        <f t="shared" si="33"/>
        <v>70</v>
      </c>
      <c r="B509" s="851">
        <f t="shared" si="34"/>
        <v>65</v>
      </c>
      <c r="C509" s="857">
        <f>IF(A509&gt;'1. AgeData'!$I$30,0,'9. SavingsData'!C543)</f>
        <v>225980.81113839117</v>
      </c>
      <c r="D509" s="858">
        <f>IF(B509&gt;'1. AgeData'!$I$31,0,'9. SavingsData'!D543)</f>
        <v>100853.32669059877</v>
      </c>
      <c r="E509" s="993">
        <f>IF(A509&gt;'1. AgeData'!$I$30,0,'9. SavingsData'!E543)</f>
        <v>1129.9040556919558</v>
      </c>
      <c r="F509" s="924">
        <f>IF(B509&gt;'1. AgeData'!$I$30,0,'9. SavingsData'!F543)</f>
        <v>504.26663345299386</v>
      </c>
      <c r="G509" s="924">
        <f>IF(A509&gt;'1. AgeData'!$I$30,0,'9. SavingsData'!G543)</f>
        <v>2259.8081113839116</v>
      </c>
      <c r="H509" s="924">
        <f>IF(B509&gt;'1. AgeData'!$I$30,0,'9. SavingsData'!H543)</f>
        <v>2017.0665338119754</v>
      </c>
      <c r="I509" s="924">
        <f>IF(A509&gt;'1. AgeData'!$I$30,0,'9. SavingsData'!I543)</f>
        <v>1468.8752723995426</v>
      </c>
      <c r="J509" s="996">
        <f>IF(B509&gt;'1. AgeData'!$I$30,0,'9. SavingsData'!J543)</f>
        <v>252.13331672649693</v>
      </c>
      <c r="K509" s="857">
        <f>'9. SavingsData'!$G326</f>
        <v>-13970.949779952814</v>
      </c>
      <c r="L509" s="859">
        <f>'9. SavingsData'!$H326</f>
        <v>-6094.9720999737856</v>
      </c>
      <c r="M509" s="859">
        <f>'9. SavingsData'!$I326</f>
        <v>-2259.8081113839116</v>
      </c>
      <c r="N509" s="994">
        <f>'9. SavingsData'!$J326</f>
        <v>191.46673309401228</v>
      </c>
    </row>
    <row r="510" spans="1:16" s="15" customFormat="1" ht="12" x14ac:dyDescent="0.2">
      <c r="A510" s="850">
        <f t="shared" si="33"/>
        <v>71</v>
      </c>
      <c r="B510" s="851">
        <f t="shared" si="34"/>
        <v>66</v>
      </c>
      <c r="C510" s="857">
        <f>IF(A510&gt;'1. AgeData'!$I$30,0,'9. SavingsData'!C544)</f>
        <v>283857.91106699558</v>
      </c>
      <c r="D510" s="858">
        <f>IF(B510&gt;'1. AgeData'!$I$31,0,'9. SavingsData'!D544)</f>
        <v>110203.00527827753</v>
      </c>
      <c r="E510" s="993">
        <f>IF(A510&gt;'1. AgeData'!$I$30,0,'9. SavingsData'!E544)</f>
        <v>1419.2895553349779</v>
      </c>
      <c r="F510" s="924">
        <f>IF(B510&gt;'1. AgeData'!$I$30,0,'9. SavingsData'!F544)</f>
        <v>551.01502639138766</v>
      </c>
      <c r="G510" s="924">
        <f>IF(A510&gt;'1. AgeData'!$I$30,0,'9. SavingsData'!G544)</f>
        <v>2838.5791106699558</v>
      </c>
      <c r="H510" s="924">
        <f>IF(B510&gt;'1. AgeData'!$I$30,0,'9. SavingsData'!H544)</f>
        <v>2204.0601055655507</v>
      </c>
      <c r="I510" s="924">
        <f>IF(A510&gt;'1. AgeData'!$I$30,0,'9. SavingsData'!I544)</f>
        <v>1845.0764219354712</v>
      </c>
      <c r="J510" s="996">
        <f>IF(B510&gt;'1. AgeData'!$I$30,0,'9. SavingsData'!J544)</f>
        <v>275.50751319569383</v>
      </c>
      <c r="K510" s="857">
        <f>'9. SavingsData'!$G327</f>
        <v>-45274.72648541817</v>
      </c>
      <c r="L510" s="859">
        <f>'9. SavingsData'!$H327</f>
        <v>-4973.4972335786078</v>
      </c>
      <c r="M510" s="859">
        <f>'9. SavingsData'!$I327</f>
        <v>-2838.5791106699558</v>
      </c>
      <c r="N510" s="994">
        <f>'9. SavingsData'!$J327</f>
        <v>97.969947217224671</v>
      </c>
    </row>
    <row r="511" spans="1:16" s="15" customFormat="1" ht="12" x14ac:dyDescent="0.2">
      <c r="A511" s="850">
        <f t="shared" si="33"/>
        <v>72</v>
      </c>
      <c r="B511" s="851">
        <f t="shared" si="34"/>
        <v>67</v>
      </c>
      <c r="C511" s="857">
        <f>IF(A511&gt;'1. AgeData'!$I$30,0,'9. SavingsData'!C545)</f>
        <v>348302.67272611987</v>
      </c>
      <c r="D511" s="858">
        <f>IF(B511&gt;'1. AgeData'!$I$31,0,'9. SavingsData'!D545)</f>
        <v>128647.62530081026</v>
      </c>
      <c r="E511" s="993">
        <f>IF(A511&gt;'1. AgeData'!$I$30,0,'9. SavingsData'!E545)</f>
        <v>1741.5133636305993</v>
      </c>
      <c r="F511" s="924">
        <f>IF(B511&gt;'1. AgeData'!$I$30,0,'9. SavingsData'!F545)</f>
        <v>643.23812650405137</v>
      </c>
      <c r="G511" s="924">
        <f>IF(A511&gt;'1. AgeData'!$I$30,0,'9. SavingsData'!G545)</f>
        <v>3483.0267272611986</v>
      </c>
      <c r="H511" s="924">
        <f>IF(B511&gt;'1. AgeData'!$I$30,0,'9. SavingsData'!H545)</f>
        <v>2572.9525060162055</v>
      </c>
      <c r="I511" s="924">
        <f>IF(A511&gt;'1. AgeData'!$I$30,0,'9. SavingsData'!I545)</f>
        <v>2263.9673727197792</v>
      </c>
      <c r="J511" s="996">
        <f>IF(B511&gt;'1. AgeData'!$I$30,0,'9. SavingsData'!J545)</f>
        <v>321.61906325202568</v>
      </c>
      <c r="K511" s="857">
        <f>'9. SavingsData'!$G328</f>
        <v>-15682.417945625453</v>
      </c>
      <c r="L511" s="859">
        <f>'9. SavingsData'!$H328</f>
        <v>-6341.2089728127266</v>
      </c>
      <c r="M511" s="859">
        <f>'9. SavingsData'!$I328</f>
        <v>-3483.0267272611986</v>
      </c>
      <c r="N511" s="994">
        <f>'9. SavingsData'!$J328</f>
        <v>-86.476253008102731</v>
      </c>
    </row>
    <row r="512" spans="1:16" s="15" customFormat="1" ht="12" x14ac:dyDescent="0.2">
      <c r="A512" s="850">
        <f t="shared" si="33"/>
        <v>73</v>
      </c>
      <c r="B512" s="851">
        <f t="shared" si="34"/>
        <v>68</v>
      </c>
      <c r="C512" s="857">
        <f>IF(A512&gt;'1. AgeData'!$I$30,0,'9. SavingsData'!C546)</f>
        <v>381586.76848759997</v>
      </c>
      <c r="D512" s="858">
        <f>IF(B512&gt;'1. AgeData'!$I$31,0,'9. SavingsData'!D546)</f>
        <v>161377.57376870414</v>
      </c>
      <c r="E512" s="993">
        <f>IF(A512&gt;'1. AgeData'!$I$30,0,'9. SavingsData'!E546)</f>
        <v>1907.9338424379998</v>
      </c>
      <c r="F512" s="924">
        <f>IF(B512&gt;'1. AgeData'!$I$30,0,'9. SavingsData'!F546)</f>
        <v>806.88786884352066</v>
      </c>
      <c r="G512" s="924">
        <f>IF(A512&gt;'1. AgeData'!$I$30,0,'9. SavingsData'!G546)</f>
        <v>3815.8676848759997</v>
      </c>
      <c r="H512" s="924">
        <f>IF(B512&gt;'1. AgeData'!$I$30,0,'9. SavingsData'!H546)</f>
        <v>3227.5514753740827</v>
      </c>
      <c r="I512" s="924">
        <f>IF(A512&gt;'1. AgeData'!$I$30,0,'9. SavingsData'!I546)</f>
        <v>2480.3139951693997</v>
      </c>
      <c r="J512" s="996">
        <f>IF(B512&gt;'1. AgeData'!$I$30,0,'9. SavingsData'!J546)</f>
        <v>403.44393442176033</v>
      </c>
      <c r="K512" s="857">
        <f>'9. SavingsData'!$G329</f>
        <v>-3000</v>
      </c>
      <c r="L512" s="859">
        <f>'9. SavingsData'!$H329</f>
        <v>0</v>
      </c>
      <c r="M512" s="859">
        <f>'9. SavingsData'!$I329</f>
        <v>-3815.8676848759997</v>
      </c>
      <c r="N512" s="994">
        <f>'9. SavingsData'!$J329</f>
        <v>-413.77573768704133</v>
      </c>
    </row>
    <row r="513" spans="1:14" s="15" customFormat="1" ht="12" x14ac:dyDescent="0.2">
      <c r="A513" s="850">
        <f t="shared" si="33"/>
        <v>74</v>
      </c>
      <c r="B513" s="851">
        <f t="shared" si="34"/>
        <v>69</v>
      </c>
      <c r="C513" s="857">
        <f>IF(A513&gt;'1. AgeData'!$I$30,0,'9. SavingsData'!C547)</f>
        <v>416135.60905112163</v>
      </c>
      <c r="D513" s="858">
        <f>IF(B513&gt;'1. AgeData'!$I$31,0,'9. SavingsData'!D547)</f>
        <v>195562.27403557071</v>
      </c>
      <c r="E513" s="993">
        <f>IF(A513&gt;'1. AgeData'!$I$30,0,'9. SavingsData'!E547)</f>
        <v>2080.6780452556081</v>
      </c>
      <c r="F513" s="924">
        <f>IF(B513&gt;'1. AgeData'!$I$30,0,'9. SavingsData'!F547)</f>
        <v>977.81137017785352</v>
      </c>
      <c r="G513" s="924">
        <f>IF(A513&gt;'1. AgeData'!$I$30,0,'9. SavingsData'!G547)</f>
        <v>4161.3560905112163</v>
      </c>
      <c r="H513" s="924">
        <f>IF(B513&gt;'1. AgeData'!$I$30,0,'9. SavingsData'!H547)</f>
        <v>3911.2454807114141</v>
      </c>
      <c r="I513" s="924">
        <f>IF(A513&gt;'1. AgeData'!$I$30,0,'9. SavingsData'!I547)</f>
        <v>2704.8814588322903</v>
      </c>
      <c r="J513" s="996">
        <f>IF(B513&gt;'1. AgeData'!$I$30,0,'9. SavingsData'!J547)</f>
        <v>488.90568508892676</v>
      </c>
      <c r="K513" s="857">
        <f>'9. SavingsData'!$G330</f>
        <v>-3000</v>
      </c>
      <c r="L513" s="859">
        <f>'9. SavingsData'!$H330</f>
        <v>0</v>
      </c>
      <c r="M513" s="859">
        <f>'9. SavingsData'!$I330</f>
        <v>-4161.3560905112163</v>
      </c>
      <c r="N513" s="994">
        <f>'9. SavingsData'!$J330</f>
        <v>-1955.622740355707</v>
      </c>
    </row>
    <row r="514" spans="1:14" s="15" customFormat="1" ht="12" x14ac:dyDescent="0.2">
      <c r="A514" s="850">
        <f t="shared" si="33"/>
        <v>75</v>
      </c>
      <c r="B514" s="851">
        <f t="shared" si="34"/>
        <v>70</v>
      </c>
      <c r="C514" s="857">
        <f>IF(A514&gt;'1. AgeData'!$I$30,0,'9. SavingsData'!C548)</f>
        <v>451490.97710573924</v>
      </c>
      <c r="D514" s="858">
        <f>IF(B514&gt;'1. AgeData'!$I$31,0,'9. SavingsData'!D548)</f>
        <v>229554.42238172289</v>
      </c>
      <c r="E514" s="993">
        <f>IF(A514&gt;'1. AgeData'!$I$30,0,'9. SavingsData'!E548)</f>
        <v>2257.4548855286962</v>
      </c>
      <c r="F514" s="924">
        <f>IF(B514&gt;'1. AgeData'!$I$30,0,'9. SavingsData'!F548)</f>
        <v>1147.7721119086145</v>
      </c>
      <c r="G514" s="924">
        <f>IF(A514&gt;'1. AgeData'!$I$30,0,'9. SavingsData'!G548)</f>
        <v>4514.9097710573924</v>
      </c>
      <c r="H514" s="924">
        <f>IF(B514&gt;'1. AgeData'!$I$30,0,'9. SavingsData'!H548)</f>
        <v>4591.0884476344581</v>
      </c>
      <c r="I514" s="924">
        <f>IF(A514&gt;'1. AgeData'!$I$30,0,'9. SavingsData'!I548)</f>
        <v>2934.6913511873049</v>
      </c>
      <c r="J514" s="996">
        <f>IF(B514&gt;'1. AgeData'!$I$30,0,'9. SavingsData'!J548)</f>
        <v>573.88605595430727</v>
      </c>
      <c r="K514" s="857">
        <f>'9. SavingsData'!$G331</f>
        <v>-13766.946706593033</v>
      </c>
      <c r="L514" s="859">
        <f>'9. SavingsData'!$H331</f>
        <v>-8748.1441991068405</v>
      </c>
      <c r="M514" s="859">
        <f>'9. SavingsData'!$I331</f>
        <v>-4514.9097710573924</v>
      </c>
      <c r="N514" s="994">
        <f>'9. SavingsData'!$J331</f>
        <v>-2295.5442238172291</v>
      </c>
    </row>
    <row r="515" spans="1:14" s="15" customFormat="1" ht="12" x14ac:dyDescent="0.2">
      <c r="A515" s="850">
        <f t="shared" si="33"/>
        <v>76</v>
      </c>
      <c r="B515" s="851">
        <f t="shared" si="34"/>
        <v>71</v>
      </c>
      <c r="C515" s="857">
        <f>IF(A515&gt;'1. AgeData'!$I$30,0,'9. SavingsData'!C549)</f>
        <v>390025.26203075686</v>
      </c>
      <c r="D515" s="858">
        <f>IF(B515&gt;'1. AgeData'!$I$31,0,'9. SavingsData'!D549)</f>
        <v>166913.76346170463</v>
      </c>
      <c r="E515" s="993">
        <f>IF(A515&gt;'1. AgeData'!$I$30,0,'9. SavingsData'!E549)</f>
        <v>1950.1263101537843</v>
      </c>
      <c r="F515" s="924">
        <f>IF(B515&gt;'1. AgeData'!$I$30,0,'9. SavingsData'!F549)</f>
        <v>834.56881730852319</v>
      </c>
      <c r="G515" s="924">
        <f>IF(A515&gt;'1. AgeData'!$I$30,0,'9. SavingsData'!G549)</f>
        <v>3900.2526203075686</v>
      </c>
      <c r="H515" s="924">
        <f>IF(B515&gt;'1. AgeData'!$I$30,0,'9. SavingsData'!H549)</f>
        <v>3338.2752692340928</v>
      </c>
      <c r="I515" s="924">
        <f>IF(A515&gt;'1. AgeData'!$I$30,0,'9. SavingsData'!I549)</f>
        <v>2535.1642031999195</v>
      </c>
      <c r="J515" s="996">
        <f>IF(B515&gt;'1. AgeData'!$I$30,0,'9. SavingsData'!J549)</f>
        <v>417.2844086542616</v>
      </c>
      <c r="K515" s="857">
        <f>'9. SavingsData'!$G332</f>
        <v>0</v>
      </c>
      <c r="L515" s="859">
        <f>'9. SavingsData'!$H332</f>
        <v>0</v>
      </c>
      <c r="M515" s="859">
        <f>'9. SavingsData'!$I332</f>
        <v>-3900.2526203075686</v>
      </c>
      <c r="N515" s="994">
        <f>'9. SavingsData'!$J332</f>
        <v>-1669.1376346170464</v>
      </c>
    </row>
    <row r="516" spans="1:14" s="15" customFormat="1" ht="12" x14ac:dyDescent="0.2">
      <c r="A516" s="850">
        <f t="shared" si="33"/>
        <v>77</v>
      </c>
      <c r="B516" s="851">
        <f t="shared" si="34"/>
        <v>72</v>
      </c>
      <c r="C516" s="857">
        <f>IF(A516&gt;'1. AgeData'!$I$30,0,'9. SavingsData'!C550)</f>
        <v>421073.56262092089</v>
      </c>
      <c r="D516" s="858">
        <f>IF(B516&gt;'1. AgeData'!$I$31,0,'9. SavingsData'!D550)</f>
        <v>186623.63529343071</v>
      </c>
      <c r="E516" s="993">
        <f>IF(A516&gt;'1. AgeData'!$I$30,0,'9. SavingsData'!E550)</f>
        <v>2105.3678131046045</v>
      </c>
      <c r="F516" s="924">
        <f>IF(B516&gt;'1. AgeData'!$I$30,0,'9. SavingsData'!F550)</f>
        <v>933.1181764671536</v>
      </c>
      <c r="G516" s="924">
        <f>IF(A516&gt;'1. AgeData'!$I$30,0,'9. SavingsData'!G550)</f>
        <v>4210.7356262092089</v>
      </c>
      <c r="H516" s="924">
        <f>IF(B516&gt;'1. AgeData'!$I$30,0,'9. SavingsData'!H550)</f>
        <v>3732.4727058686144</v>
      </c>
      <c r="I516" s="924">
        <f>IF(A516&gt;'1. AgeData'!$I$30,0,'9. SavingsData'!I550)</f>
        <v>2736.9781570359855</v>
      </c>
      <c r="J516" s="996">
        <f>IF(B516&gt;'1. AgeData'!$I$30,0,'9. SavingsData'!J550)</f>
        <v>466.5590882335768</v>
      </c>
      <c r="K516" s="857">
        <f>'9. SavingsData'!$G333</f>
        <v>0</v>
      </c>
      <c r="L516" s="859">
        <f>'9. SavingsData'!$H333</f>
        <v>0</v>
      </c>
      <c r="M516" s="859">
        <f>'9. SavingsData'!$I333</f>
        <v>-4210.7356262092089</v>
      </c>
      <c r="N516" s="994">
        <f>'9. SavingsData'!$J333</f>
        <v>-1866.2363529343072</v>
      </c>
    </row>
    <row r="517" spans="1:14" s="15" customFormat="1" ht="12" x14ac:dyDescent="0.2">
      <c r="A517" s="850">
        <f t="shared" si="33"/>
        <v>78</v>
      </c>
      <c r="B517" s="851">
        <f t="shared" si="34"/>
        <v>73</v>
      </c>
      <c r="C517" s="857">
        <f>IF(A517&gt;'1. AgeData'!$I$30,0,'9. SavingsData'!C551)</f>
        <v>455234.45193910244</v>
      </c>
      <c r="D517" s="858">
        <f>IF(B517&gt;'1. AgeData'!$I$31,0,'9. SavingsData'!D551)</f>
        <v>208293.99566689142</v>
      </c>
      <c r="E517" s="993">
        <f>IF(A517&gt;'1. AgeData'!$I$30,0,'9. SavingsData'!E551)</f>
        <v>2276.1722596955124</v>
      </c>
      <c r="F517" s="924">
        <f>IF(B517&gt;'1. AgeData'!$I$30,0,'9. SavingsData'!F551)</f>
        <v>1041.4699783344572</v>
      </c>
      <c r="G517" s="924">
        <f>IF(A517&gt;'1. AgeData'!$I$30,0,'9. SavingsData'!G551)</f>
        <v>4552.3445193910247</v>
      </c>
      <c r="H517" s="924">
        <f>IF(B517&gt;'1. AgeData'!$I$30,0,'9. SavingsData'!H551)</f>
        <v>4165.8799133378288</v>
      </c>
      <c r="I517" s="924">
        <f>IF(A517&gt;'1. AgeData'!$I$30,0,'9. SavingsData'!I551)</f>
        <v>2959.0239376041659</v>
      </c>
      <c r="J517" s="996">
        <f>IF(B517&gt;'1. AgeData'!$I$30,0,'9. SavingsData'!J551)</f>
        <v>520.7349891672286</v>
      </c>
      <c r="K517" s="857">
        <f>'9. SavingsData'!$G334</f>
        <v>0</v>
      </c>
      <c r="L517" s="859">
        <f>'9. SavingsData'!$H334</f>
        <v>0</v>
      </c>
      <c r="M517" s="859">
        <f>'9. SavingsData'!$I334</f>
        <v>-4552.3445193910247</v>
      </c>
      <c r="N517" s="994">
        <f>'9. SavingsData'!$J334</f>
        <v>-2082.9399566689144</v>
      </c>
    </row>
    <row r="518" spans="1:14" s="15" customFormat="1" ht="12" x14ac:dyDescent="0.2">
      <c r="A518" s="850">
        <f t="shared" si="33"/>
        <v>79</v>
      </c>
      <c r="B518" s="851">
        <f t="shared" si="34"/>
        <v>74</v>
      </c>
      <c r="C518" s="857">
        <f>IF(A518&gt;'1. AgeData'!$I$30,0,'9. SavingsData'!C552)</f>
        <v>490558.41931410873</v>
      </c>
      <c r="D518" s="858">
        <f>IF(B518&gt;'1. AgeData'!$I$31,0,'9. SavingsData'!D552)</f>
        <v>230835.00111124717</v>
      </c>
      <c r="E518" s="993">
        <f>IF(A518&gt;'1. AgeData'!$I$30,0,'9. SavingsData'!E552)</f>
        <v>2452.7920965705439</v>
      </c>
      <c r="F518" s="924">
        <f>IF(B518&gt;'1. AgeData'!$I$30,0,'9. SavingsData'!F552)</f>
        <v>1154.1750055562359</v>
      </c>
      <c r="G518" s="924">
        <f>IF(A518&gt;'1. AgeData'!$I$30,0,'9. SavingsData'!G552)</f>
        <v>4905.5841931410878</v>
      </c>
      <c r="H518" s="924">
        <f>IF(B518&gt;'1. AgeData'!$I$30,0,'9. SavingsData'!H552)</f>
        <v>4616.7000222249435</v>
      </c>
      <c r="I518" s="924">
        <f>IF(A518&gt;'1. AgeData'!$I$30,0,'9. SavingsData'!I552)</f>
        <v>3188.6297255417066</v>
      </c>
      <c r="J518" s="996">
        <f>IF(B518&gt;'1. AgeData'!$I$30,0,'9. SavingsData'!J552)</f>
        <v>577.08750277811794</v>
      </c>
      <c r="K518" s="857">
        <f>'9. SavingsData'!$G335</f>
        <v>0</v>
      </c>
      <c r="L518" s="859">
        <f>'9. SavingsData'!$H335</f>
        <v>-43704.335175833941</v>
      </c>
      <c r="M518" s="859">
        <f>'9. SavingsData'!$I335</f>
        <v>-4905.5841931410878</v>
      </c>
      <c r="N518" s="994">
        <f>'9. SavingsData'!$J335</f>
        <v>-2308.3500111124717</v>
      </c>
    </row>
    <row r="519" spans="1:14" s="15" customFormat="1" ht="12" x14ac:dyDescent="0.2">
      <c r="A519" s="850">
        <f t="shared" si="33"/>
        <v>80</v>
      </c>
      <c r="B519" s="851">
        <f t="shared" si="34"/>
        <v>75</v>
      </c>
      <c r="C519" s="857">
        <f>IF(A519&gt;'1. AgeData'!$I$30,0,'9. SavingsData'!C553)</f>
        <v>521261.0897016995</v>
      </c>
      <c r="D519" s="858">
        <f>IF(B519&gt;'1. AgeData'!$I$31,0,'9. SavingsData'!D553)</f>
        <v>246607.29505220259</v>
      </c>
      <c r="E519" s="993">
        <f>IF(A519&gt;'1. AgeData'!$I$30,0,'9. SavingsData'!E553)</f>
        <v>2606.3054485084976</v>
      </c>
      <c r="F519" s="924">
        <f>IF(B519&gt;'1. AgeData'!$I$30,0,'9. SavingsData'!F553)</f>
        <v>1233.036475261013</v>
      </c>
      <c r="G519" s="924">
        <f>IF(A519&gt;'1. AgeData'!$I$30,0,'9. SavingsData'!G553)</f>
        <v>5212.6108970169953</v>
      </c>
      <c r="H519" s="924">
        <f>IF(B519&gt;'1. AgeData'!$I$30,0,'9. SavingsData'!H553)</f>
        <v>4932.1459010440522</v>
      </c>
      <c r="I519" s="924">
        <f>IF(A519&gt;'1. AgeData'!$I$30,0,'9. SavingsData'!I553)</f>
        <v>3388.1970830610467</v>
      </c>
      <c r="J519" s="996">
        <f>IF(B519&gt;'1. AgeData'!$I$30,0,'9. SavingsData'!J553)</f>
        <v>616.51823763050652</v>
      </c>
      <c r="K519" s="857">
        <f>'9. SavingsData'!$G336</f>
        <v>0</v>
      </c>
      <c r="L519" s="859">
        <f>'9. SavingsData'!$H336</f>
        <v>0</v>
      </c>
      <c r="M519" s="859">
        <f>'9. SavingsData'!$I336</f>
        <v>-5212.6108970169953</v>
      </c>
      <c r="N519" s="994">
        <f>'9. SavingsData'!$J336</f>
        <v>-2466.0729505220261</v>
      </c>
    </row>
    <row r="520" spans="1:14" s="15" customFormat="1" ht="12" x14ac:dyDescent="0.2">
      <c r="A520" s="850">
        <f t="shared" si="33"/>
        <v>81</v>
      </c>
      <c r="B520" s="851">
        <f t="shared" si="34"/>
        <v>76</v>
      </c>
      <c r="C520" s="857">
        <f>IF(A520&gt;'1. AgeData'!$I$30,0,'9. SavingsData'!C554)</f>
        <v>552928.96399179939</v>
      </c>
      <c r="D520" s="858">
        <f>IF(B520&gt;'1. AgeData'!$I$31,0,'9. SavingsData'!D554)</f>
        <v>264896.31901995832</v>
      </c>
      <c r="E520" s="993">
        <f>IF(A520&gt;'1. AgeData'!$I$30,0,'9. SavingsData'!E554)</f>
        <v>2764.6448199589972</v>
      </c>
      <c r="F520" s="924">
        <f>IF(B520&gt;'1. AgeData'!$I$30,0,'9. SavingsData'!F554)</f>
        <v>1324.4815950997915</v>
      </c>
      <c r="G520" s="924">
        <f>IF(A520&gt;'1. AgeData'!$I$30,0,'9. SavingsData'!G554)</f>
        <v>5529.2896399179945</v>
      </c>
      <c r="H520" s="924">
        <f>IF(B520&gt;'1. AgeData'!$I$30,0,'9. SavingsData'!H554)</f>
        <v>5297.9263803991662</v>
      </c>
      <c r="I520" s="924">
        <f>IF(A520&gt;'1. AgeData'!$I$30,0,'9. SavingsData'!I554)</f>
        <v>3594.0382659466959</v>
      </c>
      <c r="J520" s="996">
        <f>IF(B520&gt;'1. AgeData'!$I$30,0,'9. SavingsData'!J554)</f>
        <v>662.24079754989577</v>
      </c>
      <c r="K520" s="857">
        <f>'9. SavingsData'!$G337</f>
        <v>0</v>
      </c>
      <c r="L520" s="859">
        <f>'9. SavingsData'!$H337</f>
        <v>0</v>
      </c>
      <c r="M520" s="859">
        <f>'9. SavingsData'!$I337</f>
        <v>-5529.2896399179945</v>
      </c>
      <c r="N520" s="994">
        <f>'9. SavingsData'!$J337</f>
        <v>-2648.9631901995831</v>
      </c>
    </row>
    <row r="521" spans="1:14" s="15" customFormat="1" ht="12" x14ac:dyDescent="0.2">
      <c r="A521" s="850">
        <f t="shared" si="33"/>
        <v>82</v>
      </c>
      <c r="B521" s="851">
        <f t="shared" si="34"/>
        <v>77</v>
      </c>
      <c r="C521" s="857">
        <f>IF(A521&gt;'1. AgeData'!$I$30,0,'9. SavingsData'!C555)</f>
        <v>585585.76690854935</v>
      </c>
      <c r="D521" s="858">
        <f>IF(B521&gt;'1. AgeData'!$I$31,0,'9. SavingsData'!D555)</f>
        <v>282513.47226781637</v>
      </c>
      <c r="E521" s="993">
        <f>IF(A521&gt;'1. AgeData'!$I$30,0,'9. SavingsData'!E555)</f>
        <v>2927.9288345427467</v>
      </c>
      <c r="F521" s="924">
        <f>IF(B521&gt;'1. AgeData'!$I$30,0,'9. SavingsData'!F555)</f>
        <v>1412.5673613390818</v>
      </c>
      <c r="G521" s="924">
        <f>IF(A521&gt;'1. AgeData'!$I$30,0,'9. SavingsData'!G555)</f>
        <v>5855.8576690854934</v>
      </c>
      <c r="H521" s="924">
        <f>IF(B521&gt;'1. AgeData'!$I$30,0,'9. SavingsData'!H555)</f>
        <v>5650.2694453563272</v>
      </c>
      <c r="I521" s="924">
        <f>IF(A521&gt;'1. AgeData'!$I$30,0,'9. SavingsData'!I555)</f>
        <v>3806.3074849055706</v>
      </c>
      <c r="J521" s="996">
        <f>IF(B521&gt;'1. AgeData'!$I$30,0,'9. SavingsData'!J555)</f>
        <v>706.2836806695409</v>
      </c>
      <c r="K521" s="857">
        <f>'9. SavingsData'!$G338</f>
        <v>0</v>
      </c>
      <c r="L521" s="859">
        <f>'9. SavingsData'!$H338</f>
        <v>0</v>
      </c>
      <c r="M521" s="859">
        <f>'9. SavingsData'!$I338</f>
        <v>-5855.8576690854934</v>
      </c>
      <c r="N521" s="994">
        <f>'9. SavingsData'!$J338</f>
        <v>-2825.1347226781636</v>
      </c>
    </row>
    <row r="522" spans="1:14" s="15" customFormat="1" ht="12" x14ac:dyDescent="0.2">
      <c r="A522" s="850">
        <f t="shared" si="33"/>
        <v>83</v>
      </c>
      <c r="B522" s="851">
        <f t="shared" si="34"/>
        <v>78</v>
      </c>
      <c r="C522" s="857">
        <f>IF(A522&gt;'1. AgeData'!$I$30,0,'9. SavingsData'!C556)</f>
        <v>619264.37691652949</v>
      </c>
      <c r="D522" s="858">
        <f>IF(B522&gt;'1. AgeData'!$I$31,0,'9. SavingsData'!D556)</f>
        <v>300739.46596823586</v>
      </c>
      <c r="E522" s="993">
        <f>IF(A522&gt;'1. AgeData'!$I$30,0,'9. SavingsData'!E556)</f>
        <v>3096.3218845826477</v>
      </c>
      <c r="F522" s="924">
        <f>IF(B522&gt;'1. AgeData'!$I$30,0,'9. SavingsData'!F556)</f>
        <v>1503.6973298411792</v>
      </c>
      <c r="G522" s="924">
        <f>IF(A522&gt;'1. AgeData'!$I$30,0,'9. SavingsData'!G556)</f>
        <v>6192.6437691652955</v>
      </c>
      <c r="H522" s="924">
        <f>IF(B522&gt;'1. AgeData'!$I$30,0,'9. SavingsData'!H556)</f>
        <v>6014.7893193647169</v>
      </c>
      <c r="I522" s="924">
        <f>IF(A522&gt;'1. AgeData'!$I$30,0,'9. SavingsData'!I556)</f>
        <v>4025.2184499574414</v>
      </c>
      <c r="J522" s="996">
        <f>IF(B522&gt;'1. AgeData'!$I$30,0,'9. SavingsData'!J556)</f>
        <v>751.84866492058961</v>
      </c>
      <c r="K522" s="857">
        <f>'9. SavingsData'!$G339</f>
        <v>0</v>
      </c>
      <c r="L522" s="859">
        <f>'9. SavingsData'!$H339</f>
        <v>0</v>
      </c>
      <c r="M522" s="859">
        <f>'9. SavingsData'!$I339</f>
        <v>-6192.6437691652955</v>
      </c>
      <c r="N522" s="994">
        <f>'9. SavingsData'!$J339</f>
        <v>-3007.3946596823585</v>
      </c>
    </row>
    <row r="523" spans="1:14" s="15" customFormat="1" ht="12" x14ac:dyDescent="0.2">
      <c r="A523" s="850">
        <f t="shared" si="33"/>
        <v>84</v>
      </c>
      <c r="B523" s="851">
        <f t="shared" si="34"/>
        <v>79</v>
      </c>
      <c r="C523" s="857">
        <f>IF(A523&gt;'1. AgeData'!$I$30,0,'9. SavingsData'!C557)</f>
        <v>653995.43712757924</v>
      </c>
      <c r="D523" s="858">
        <f>IF(B523&gt;'1. AgeData'!$I$31,0,'9. SavingsData'!D557)</f>
        <v>319622.24763419002</v>
      </c>
      <c r="E523" s="993">
        <f>IF(A523&gt;'1. AgeData'!$I$30,0,'9. SavingsData'!E557)</f>
        <v>3269.9771856378961</v>
      </c>
      <c r="F523" s="924">
        <f>IF(B523&gt;'1. AgeData'!$I$30,0,'9. SavingsData'!F557)</f>
        <v>1598.1112381709502</v>
      </c>
      <c r="G523" s="924">
        <f>IF(A523&gt;'1. AgeData'!$I$30,0,'9. SavingsData'!G557)</f>
        <v>6539.9543712757923</v>
      </c>
      <c r="H523" s="924">
        <f>IF(B523&gt;'1. AgeData'!$I$30,0,'9. SavingsData'!H557)</f>
        <v>6392.4449526838007</v>
      </c>
      <c r="I523" s="924">
        <f>IF(A523&gt;'1. AgeData'!$I$30,0,'9. SavingsData'!I557)</f>
        <v>4250.9703413292646</v>
      </c>
      <c r="J523" s="996">
        <f>IF(B523&gt;'1. AgeData'!$I$30,0,'9. SavingsData'!J557)</f>
        <v>799.05561908547509</v>
      </c>
      <c r="K523" s="857">
        <f>'9. SavingsData'!$G340</f>
        <v>0</v>
      </c>
      <c r="L523" s="859">
        <f>'9. SavingsData'!$H340</f>
        <v>0</v>
      </c>
      <c r="M523" s="859">
        <f>'9. SavingsData'!$I340</f>
        <v>-6539.9543712757923</v>
      </c>
      <c r="N523" s="994">
        <f>'9. SavingsData'!$J340</f>
        <v>-3196.2224763419003</v>
      </c>
    </row>
    <row r="524" spans="1:14" s="15" customFormat="1" ht="12" x14ac:dyDescent="0.2">
      <c r="A524" s="850">
        <f t="shared" si="33"/>
        <v>85</v>
      </c>
      <c r="B524" s="851">
        <f t="shared" si="34"/>
        <v>80</v>
      </c>
      <c r="C524" s="857">
        <f>IF(A524&gt;'1. AgeData'!$I$30,0,'9. SavingsData'!C558)</f>
        <v>689810.58121480956</v>
      </c>
      <c r="D524" s="858">
        <f>IF(B524&gt;'1. AgeData'!$I$31,0,'9. SavingsData'!D558)</f>
        <v>339156.07930807443</v>
      </c>
      <c r="E524" s="993">
        <f>IF(A524&gt;'1. AgeData'!$I$30,0,'9. SavingsData'!E558)</f>
        <v>3449.0529060740478</v>
      </c>
      <c r="F524" s="924">
        <f>IF(B524&gt;'1. AgeData'!$I$30,0,'9. SavingsData'!F558)</f>
        <v>1695.7803965403723</v>
      </c>
      <c r="G524" s="924">
        <f>IF(A524&gt;'1. AgeData'!$I$30,0,'9. SavingsData'!G558)</f>
        <v>6898.1058121480955</v>
      </c>
      <c r="H524" s="924">
        <f>IF(B524&gt;'1. AgeData'!$I$30,0,'9. SavingsData'!H558)</f>
        <v>6783.1215861614892</v>
      </c>
      <c r="I524" s="924">
        <f>IF(A524&gt;'1. AgeData'!$I$30,0,'9. SavingsData'!I558)</f>
        <v>4483.7687778962618</v>
      </c>
      <c r="J524" s="996">
        <f>IF(B524&gt;'1. AgeData'!$I$30,0,'9. SavingsData'!J558)</f>
        <v>847.89019827018615</v>
      </c>
      <c r="K524" s="857">
        <f>'9. SavingsData'!$G341</f>
        <v>0</v>
      </c>
      <c r="L524" s="859">
        <f>'9. SavingsData'!$H341</f>
        <v>0</v>
      </c>
      <c r="M524" s="859">
        <f>'9. SavingsData'!$I341</f>
        <v>-6898.1058121480955</v>
      </c>
      <c r="N524" s="994">
        <f>'9. SavingsData'!$J341</f>
        <v>-3391.5607930807446</v>
      </c>
    </row>
    <row r="525" spans="1:14" s="15" customFormat="1" ht="12" x14ac:dyDescent="0.2">
      <c r="A525" s="850">
        <f t="shared" si="33"/>
        <v>86</v>
      </c>
      <c r="B525" s="851">
        <f t="shared" si="34"/>
        <v>81</v>
      </c>
      <c r="C525" s="857">
        <f>IF(A525&gt;'1. AgeData'!$I$30,0,'9. SavingsData'!C559)</f>
        <v>0</v>
      </c>
      <c r="D525" s="858">
        <f>IF(B525&gt;'1. AgeData'!$I$31,0,'9. SavingsData'!D559)</f>
        <v>518164.45149407891</v>
      </c>
      <c r="E525" s="993">
        <f>IF(A525&gt;'1. AgeData'!$I$30,0,'9. SavingsData'!E559)</f>
        <v>0</v>
      </c>
      <c r="F525" s="924">
        <f>IF(B525&gt;'1. AgeData'!$I$30,0,'9. SavingsData'!F559)</f>
        <v>2590.8222574703946</v>
      </c>
      <c r="G525" s="924">
        <f>IF(A525&gt;'1. AgeData'!$I$30,0,'9. SavingsData'!G559)</f>
        <v>0</v>
      </c>
      <c r="H525" s="924">
        <f>IF(B525&gt;'1. AgeData'!$I$30,0,'9. SavingsData'!H559)</f>
        <v>10363.289029881578</v>
      </c>
      <c r="I525" s="924">
        <f>IF(A525&gt;'1. AgeData'!$I$30,0,'9. SavingsData'!I559)</f>
        <v>0</v>
      </c>
      <c r="J525" s="996">
        <f>IF(B525&gt;'1. AgeData'!$I$30,0,'9. SavingsData'!J559)</f>
        <v>1295.4111287351973</v>
      </c>
      <c r="K525" s="857">
        <f>'9. SavingsData'!$G342</f>
        <v>0</v>
      </c>
      <c r="L525" s="859">
        <f>'9. SavingsData'!$H342</f>
        <v>0</v>
      </c>
      <c r="M525" s="859">
        <f>'9. SavingsData'!$I342</f>
        <v>0</v>
      </c>
      <c r="N525" s="994">
        <f>'9. SavingsData'!$J342</f>
        <v>-5181.6445149407891</v>
      </c>
    </row>
    <row r="526" spans="1:14" s="15" customFormat="1" ht="12" x14ac:dyDescent="0.2">
      <c r="A526" s="850">
        <f t="shared" si="33"/>
        <v>87</v>
      </c>
      <c r="B526" s="851">
        <f t="shared" si="34"/>
        <v>82</v>
      </c>
      <c r="C526" s="857">
        <f>IF(A526&gt;'1. AgeData'!$I$30,0,'9. SavingsData'!C560)</f>
        <v>0</v>
      </c>
      <c r="D526" s="858">
        <f>IF(B526&gt;'1. AgeData'!$I$31,0,'9. SavingsData'!D560)</f>
        <v>527755.08513253543</v>
      </c>
      <c r="E526" s="993">
        <f>IF(A526&gt;'1. AgeData'!$I$30,0,'9. SavingsData'!E560)</f>
        <v>0</v>
      </c>
      <c r="F526" s="924">
        <f>IF(B526&gt;'1. AgeData'!$I$30,0,'9. SavingsData'!F560)</f>
        <v>2638.7754256626772</v>
      </c>
      <c r="G526" s="924">
        <f>IF(A526&gt;'1. AgeData'!$I$30,0,'9. SavingsData'!G560)</f>
        <v>0</v>
      </c>
      <c r="H526" s="924">
        <f>IF(B526&gt;'1. AgeData'!$I$30,0,'9. SavingsData'!H560)</f>
        <v>10555.101702650709</v>
      </c>
      <c r="I526" s="924">
        <f>IF(A526&gt;'1. AgeData'!$I$30,0,'9. SavingsData'!I560)</f>
        <v>0</v>
      </c>
      <c r="J526" s="996">
        <f>IF(B526&gt;'1. AgeData'!$I$30,0,'9. SavingsData'!J560)</f>
        <v>1319.3877128313386</v>
      </c>
      <c r="K526" s="857">
        <f>'9. SavingsData'!$G343</f>
        <v>0</v>
      </c>
      <c r="L526" s="859">
        <f>'9. SavingsData'!$H343</f>
        <v>0</v>
      </c>
      <c r="M526" s="859">
        <f>'9. SavingsData'!$I343</f>
        <v>0</v>
      </c>
      <c r="N526" s="994">
        <f>'9. SavingsData'!$J343</f>
        <v>-5277.5508513253544</v>
      </c>
    </row>
    <row r="527" spans="1:14" s="15" customFormat="1" ht="12" x14ac:dyDescent="0.2">
      <c r="A527" s="850">
        <f t="shared" si="33"/>
        <v>88</v>
      </c>
      <c r="B527" s="851">
        <f t="shared" si="34"/>
        <v>83</v>
      </c>
      <c r="C527" s="857">
        <f>IF(A527&gt;'1. AgeData'!$I$30,0,'9. SavingsData'!C561)</f>
        <v>0</v>
      </c>
      <c r="D527" s="858">
        <f>IF(B527&gt;'1. AgeData'!$I$31,0,'9. SavingsData'!D561)</f>
        <v>537371.42497786216</v>
      </c>
      <c r="E527" s="993">
        <f>IF(A527&gt;'1. AgeData'!$I$30,0,'9. SavingsData'!E561)</f>
        <v>0</v>
      </c>
      <c r="F527" s="924">
        <f>IF(B527&gt;'1. AgeData'!$I$30,0,'9. SavingsData'!F561)</f>
        <v>2686.8571248893109</v>
      </c>
      <c r="G527" s="924">
        <f>IF(A527&gt;'1. AgeData'!$I$30,0,'9. SavingsData'!G561)</f>
        <v>0</v>
      </c>
      <c r="H527" s="924">
        <f>IF(B527&gt;'1. AgeData'!$I$30,0,'9. SavingsData'!H561)</f>
        <v>10747.428499557243</v>
      </c>
      <c r="I527" s="924">
        <f>IF(A527&gt;'1. AgeData'!$I$30,0,'9. SavingsData'!I561)</f>
        <v>0</v>
      </c>
      <c r="J527" s="996">
        <f>IF(B527&gt;'1. AgeData'!$I$30,0,'9. SavingsData'!J561)</f>
        <v>1343.4285624446554</v>
      </c>
      <c r="K527" s="857">
        <f>'9. SavingsData'!$G344</f>
        <v>0</v>
      </c>
      <c r="L527" s="859">
        <f>'9. SavingsData'!$H344</f>
        <v>0</v>
      </c>
      <c r="M527" s="859">
        <f>'9. SavingsData'!$I344</f>
        <v>0</v>
      </c>
      <c r="N527" s="994">
        <f>'9. SavingsData'!$J344</f>
        <v>-5373.7142497786217</v>
      </c>
    </row>
    <row r="528" spans="1:14" s="15" customFormat="1" ht="12" x14ac:dyDescent="0.2">
      <c r="A528" s="850">
        <f t="shared" si="33"/>
        <v>89</v>
      </c>
      <c r="B528" s="851">
        <f t="shared" si="34"/>
        <v>84</v>
      </c>
      <c r="C528" s="857">
        <f>IF(A528&gt;'1. AgeData'!$I$30,0,'9. SavingsData'!C562)</f>
        <v>0</v>
      </c>
      <c r="D528" s="858">
        <f>IF(B528&gt;'1. AgeData'!$I$31,0,'9. SavingsData'!D562)</f>
        <v>547012.30807073636</v>
      </c>
      <c r="E528" s="993">
        <f>IF(A528&gt;'1. AgeData'!$I$30,0,'9. SavingsData'!E562)</f>
        <v>0</v>
      </c>
      <c r="F528" s="924">
        <f>IF(B528&gt;'1. AgeData'!$I$30,0,'9. SavingsData'!F562)</f>
        <v>2735.0615403536817</v>
      </c>
      <c r="G528" s="924">
        <f>IF(A528&gt;'1. AgeData'!$I$30,0,'9. SavingsData'!G562)</f>
        <v>0</v>
      </c>
      <c r="H528" s="924">
        <f>IF(B528&gt;'1. AgeData'!$I$30,0,'9. SavingsData'!H562)</f>
        <v>10940.246161414727</v>
      </c>
      <c r="I528" s="924">
        <f>IF(A528&gt;'1. AgeData'!$I$30,0,'9. SavingsData'!I562)</f>
        <v>0</v>
      </c>
      <c r="J528" s="996">
        <f>IF(B528&gt;'1. AgeData'!$I$30,0,'9. SavingsData'!J562)</f>
        <v>1367.5307701768409</v>
      </c>
      <c r="K528" s="857">
        <f>'9. SavingsData'!$G345</f>
        <v>0</v>
      </c>
      <c r="L528" s="859">
        <f>'9. SavingsData'!$H345</f>
        <v>0</v>
      </c>
      <c r="M528" s="859">
        <f>'9. SavingsData'!$I345</f>
        <v>0</v>
      </c>
      <c r="N528" s="994">
        <f>'9. SavingsData'!$J345</f>
        <v>-5470.1230807073634</v>
      </c>
    </row>
    <row r="529" spans="1:14" s="15" customFormat="1" ht="12" x14ac:dyDescent="0.2">
      <c r="A529" s="850">
        <f t="shared" si="33"/>
        <v>90</v>
      </c>
      <c r="B529" s="851">
        <f t="shared" si="34"/>
        <v>85</v>
      </c>
      <c r="C529" s="857">
        <f>IF(A529&gt;'1. AgeData'!$I$30,0,'9. SavingsData'!C563)</f>
        <v>0</v>
      </c>
      <c r="D529" s="858">
        <f>IF(B529&gt;'1. AgeData'!$I$31,0,'9. SavingsData'!D563)</f>
        <v>556676.83079070086</v>
      </c>
      <c r="E529" s="993">
        <f>IF(A529&gt;'1. AgeData'!$I$30,0,'9. SavingsData'!E563)</f>
        <v>0</v>
      </c>
      <c r="F529" s="924">
        <f>IF(B529&gt;'1. AgeData'!$I$30,0,'9. SavingsData'!F563)</f>
        <v>2783.3841539535042</v>
      </c>
      <c r="G529" s="924">
        <f>IF(A529&gt;'1. AgeData'!$I$30,0,'9. SavingsData'!G563)</f>
        <v>0</v>
      </c>
      <c r="H529" s="924">
        <f>IF(B529&gt;'1. AgeData'!$I$30,0,'9. SavingsData'!H563)</f>
        <v>11133.536615814017</v>
      </c>
      <c r="I529" s="924">
        <f>IF(A529&gt;'1. AgeData'!$I$30,0,'9. SavingsData'!I563)</f>
        <v>0</v>
      </c>
      <c r="J529" s="996">
        <f>IF(B529&gt;'1. AgeData'!$I$30,0,'9. SavingsData'!J563)</f>
        <v>1391.6920769767521</v>
      </c>
      <c r="K529" s="857">
        <f>'9. SavingsData'!$G346</f>
        <v>0</v>
      </c>
      <c r="L529" s="859">
        <f>'9. SavingsData'!$H346</f>
        <v>0</v>
      </c>
      <c r="M529" s="859">
        <f>'9. SavingsData'!$I346</f>
        <v>0</v>
      </c>
      <c r="N529" s="994">
        <f>'9. SavingsData'!$J346</f>
        <v>-5566.7683079070084</v>
      </c>
    </row>
    <row r="530" spans="1:14" s="15" customFormat="1" ht="12" x14ac:dyDescent="0.2">
      <c r="A530" s="850">
        <f t="shared" si="33"/>
        <v>91</v>
      </c>
      <c r="B530" s="851">
        <f t="shared" si="34"/>
        <v>86</v>
      </c>
      <c r="C530" s="857">
        <f>IF(A530&gt;'1. AgeData'!$I$30,0,'9. SavingsData'!C564)</f>
        <v>0</v>
      </c>
      <c r="D530" s="858">
        <f>IF(B530&gt;'1. AgeData'!$I$31,0,'9. SavingsData'!D564)</f>
        <v>566311.56800749747</v>
      </c>
      <c r="E530" s="993">
        <f>IF(A530&gt;'1. AgeData'!$I$30,0,'9. SavingsData'!E564)</f>
        <v>0</v>
      </c>
      <c r="F530" s="924">
        <f>IF(B530&gt;'1. AgeData'!$I$30,0,'9. SavingsData'!F564)</f>
        <v>0</v>
      </c>
      <c r="G530" s="924">
        <f>IF(A530&gt;'1. AgeData'!$I$30,0,'9. SavingsData'!G564)</f>
        <v>0</v>
      </c>
      <c r="H530" s="924">
        <f>IF(B530&gt;'1. AgeData'!$I$30,0,'9. SavingsData'!H564)</f>
        <v>0</v>
      </c>
      <c r="I530" s="924">
        <f>IF(A530&gt;'1. AgeData'!$I$30,0,'9. SavingsData'!I564)</f>
        <v>0</v>
      </c>
      <c r="J530" s="996">
        <f>IF(B530&gt;'1. AgeData'!$I$30,0,'9. SavingsData'!J564)</f>
        <v>0</v>
      </c>
      <c r="K530" s="857">
        <f>'9. SavingsData'!$G347</f>
        <v>0</v>
      </c>
      <c r="L530" s="859">
        <f>'9. SavingsData'!$H347</f>
        <v>0</v>
      </c>
      <c r="M530" s="859">
        <f>'9. SavingsData'!$I347</f>
        <v>0</v>
      </c>
      <c r="N530" s="994">
        <f>'9. SavingsData'!$J347</f>
        <v>-5663.115680074975</v>
      </c>
    </row>
    <row r="531" spans="1:14" s="15" customFormat="1" ht="12" x14ac:dyDescent="0.2">
      <c r="A531" s="850">
        <f t="shared" si="33"/>
        <v>92</v>
      </c>
      <c r="B531" s="851">
        <f t="shared" si="34"/>
        <v>87</v>
      </c>
      <c r="C531" s="857">
        <f>IF(A531&gt;'1. AgeData'!$I$30,0,'9. SavingsData'!C565)</f>
        <v>0</v>
      </c>
      <c r="D531" s="858">
        <f>IF(B531&gt;'1. AgeData'!$I$31,0,'9. SavingsData'!D565)</f>
        <v>576546.97695189784</v>
      </c>
      <c r="E531" s="993">
        <f>IF(A531&gt;'1. AgeData'!$I$30,0,'9. SavingsData'!E565)</f>
        <v>0</v>
      </c>
      <c r="F531" s="924">
        <f>IF(B531&gt;'1. AgeData'!$I$30,0,'9. SavingsData'!F565)</f>
        <v>0</v>
      </c>
      <c r="G531" s="924">
        <f>IF(A531&gt;'1. AgeData'!$I$30,0,'9. SavingsData'!G565)</f>
        <v>0</v>
      </c>
      <c r="H531" s="924">
        <f>IF(B531&gt;'1. AgeData'!$I$30,0,'9. SavingsData'!H565)</f>
        <v>0</v>
      </c>
      <c r="I531" s="924">
        <f>IF(A531&gt;'1. AgeData'!$I$30,0,'9. SavingsData'!I565)</f>
        <v>0</v>
      </c>
      <c r="J531" s="996">
        <f>IF(B531&gt;'1. AgeData'!$I$30,0,'9. SavingsData'!J565)</f>
        <v>0</v>
      </c>
      <c r="K531" s="857">
        <f>'9. SavingsData'!$G348</f>
        <v>0</v>
      </c>
      <c r="L531" s="859">
        <f>'9. SavingsData'!$H348</f>
        <v>0</v>
      </c>
      <c r="M531" s="859">
        <f>'9. SavingsData'!$I348</f>
        <v>0</v>
      </c>
      <c r="N531" s="994">
        <f>'9. SavingsData'!$J348</f>
        <v>-5765.4697695189789</v>
      </c>
    </row>
    <row r="532" spans="1:14" s="15" customFormat="1" ht="12" x14ac:dyDescent="0.2">
      <c r="A532" s="850">
        <f t="shared" si="33"/>
        <v>93</v>
      </c>
      <c r="B532" s="851">
        <f t="shared" si="34"/>
        <v>88</v>
      </c>
      <c r="C532" s="857">
        <f>IF(A532&gt;'1. AgeData'!$I$30,0,'9. SavingsData'!C566)</f>
        <v>0</v>
      </c>
      <c r="D532" s="858">
        <f>IF(B532&gt;'1. AgeData'!$I$31,0,'9. SavingsData'!D566)</f>
        <v>0</v>
      </c>
      <c r="E532" s="993">
        <f>IF(A532&gt;'1. AgeData'!$I$30,0,'9. SavingsData'!E566)</f>
        <v>0</v>
      </c>
      <c r="F532" s="924">
        <f>IF(B532&gt;'1. AgeData'!$I$30,0,'9. SavingsData'!F566)</f>
        <v>0</v>
      </c>
      <c r="G532" s="924">
        <f>IF(A532&gt;'1. AgeData'!$I$30,0,'9. SavingsData'!G566)</f>
        <v>0</v>
      </c>
      <c r="H532" s="924">
        <f>IF(B532&gt;'1. AgeData'!$I$30,0,'9. SavingsData'!H566)</f>
        <v>0</v>
      </c>
      <c r="I532" s="924">
        <f>IF(A532&gt;'1. AgeData'!$I$30,0,'9. SavingsData'!I566)</f>
        <v>0</v>
      </c>
      <c r="J532" s="996">
        <f>IF(B532&gt;'1. AgeData'!$I$30,0,'9. SavingsData'!J566)</f>
        <v>0</v>
      </c>
      <c r="K532" s="857">
        <f>'9. SavingsData'!$G349</f>
        <v>0</v>
      </c>
      <c r="L532" s="859">
        <f>'9. SavingsData'!$H349</f>
        <v>0</v>
      </c>
      <c r="M532" s="859">
        <f>'9. SavingsData'!$I349</f>
        <v>0</v>
      </c>
      <c r="N532" s="994">
        <f>'9. SavingsData'!$J349</f>
        <v>0</v>
      </c>
    </row>
    <row r="533" spans="1:14" s="18" customFormat="1" ht="12" x14ac:dyDescent="0.2">
      <c r="A533" s="850">
        <f t="shared" si="33"/>
        <v>94</v>
      </c>
      <c r="B533" s="851">
        <f t="shared" si="34"/>
        <v>89</v>
      </c>
      <c r="C533" s="857">
        <f>IF(A533&gt;'1. AgeData'!$I$30,0,'9. SavingsData'!C567)</f>
        <v>0</v>
      </c>
      <c r="D533" s="858">
        <f>IF(B533&gt;'1. AgeData'!$I$31,0,'9. SavingsData'!D567)</f>
        <v>0</v>
      </c>
      <c r="E533" s="993">
        <f>IF(A533&gt;'1. AgeData'!$I$30,0,'9. SavingsData'!E567)</f>
        <v>0</v>
      </c>
      <c r="F533" s="924">
        <f>IF(B533&gt;'1. AgeData'!$I$30,0,'9. SavingsData'!F567)</f>
        <v>0</v>
      </c>
      <c r="G533" s="924">
        <f>IF(A533&gt;'1. AgeData'!$I$30,0,'9. SavingsData'!G567)</f>
        <v>0</v>
      </c>
      <c r="H533" s="924">
        <f>IF(B533&gt;'1. AgeData'!$I$30,0,'9. SavingsData'!H567)</f>
        <v>0</v>
      </c>
      <c r="I533" s="924">
        <f>IF(A533&gt;'1. AgeData'!$I$30,0,'9. SavingsData'!I567)</f>
        <v>0</v>
      </c>
      <c r="J533" s="996">
        <f>IF(B533&gt;'1. AgeData'!$I$30,0,'9. SavingsData'!J567)</f>
        <v>0</v>
      </c>
      <c r="K533" s="857">
        <f>'9. SavingsData'!$G350</f>
        <v>0</v>
      </c>
      <c r="L533" s="859">
        <f>'9. SavingsData'!$H350</f>
        <v>0</v>
      </c>
      <c r="M533" s="859">
        <f>'9. SavingsData'!$I350</f>
        <v>0</v>
      </c>
      <c r="N533" s="994">
        <f>'9. SavingsData'!$J350</f>
        <v>0</v>
      </c>
    </row>
    <row r="534" spans="1:14" s="15" customFormat="1" ht="10.5" customHeight="1" x14ac:dyDescent="0.2">
      <c r="A534" s="850">
        <f t="shared" si="33"/>
        <v>95</v>
      </c>
      <c r="B534" s="851">
        <f t="shared" si="34"/>
        <v>90</v>
      </c>
      <c r="C534" s="857">
        <f>IF(A534&gt;'1. AgeData'!$I$30,0,'9. SavingsData'!C568)</f>
        <v>0</v>
      </c>
      <c r="D534" s="858">
        <f>IF(B534&gt;'1. AgeData'!$I$31,0,'9. SavingsData'!D568)</f>
        <v>0</v>
      </c>
      <c r="E534" s="993">
        <f>IF(A534&gt;'1. AgeData'!$I$30,0,'9. SavingsData'!E568)</f>
        <v>0</v>
      </c>
      <c r="F534" s="924">
        <f>IF(B534&gt;'1. AgeData'!$I$30,0,'9. SavingsData'!F568)</f>
        <v>0</v>
      </c>
      <c r="G534" s="924">
        <f>IF(A534&gt;'1. AgeData'!$I$30,0,'9. SavingsData'!G568)</f>
        <v>0</v>
      </c>
      <c r="H534" s="924">
        <f>IF(B534&gt;'1. AgeData'!$I$30,0,'9. SavingsData'!H568)</f>
        <v>0</v>
      </c>
      <c r="I534" s="924">
        <f>IF(A534&gt;'1. AgeData'!$I$30,0,'9. SavingsData'!I568)</f>
        <v>0</v>
      </c>
      <c r="J534" s="996">
        <f>IF(B534&gt;'1. AgeData'!$I$30,0,'9. SavingsData'!J568)</f>
        <v>0</v>
      </c>
      <c r="K534" s="857">
        <f>'9. SavingsData'!$G351</f>
        <v>0</v>
      </c>
      <c r="L534" s="859">
        <f>'9. SavingsData'!$H351</f>
        <v>0</v>
      </c>
      <c r="M534" s="859">
        <f>'9. SavingsData'!$I351</f>
        <v>0</v>
      </c>
      <c r="N534" s="994">
        <f>'9. SavingsData'!$J351</f>
        <v>0</v>
      </c>
    </row>
    <row r="535" spans="1:14" s="15" customFormat="1" ht="12.75" thickBot="1" x14ac:dyDescent="0.25">
      <c r="A535" s="852">
        <f t="shared" si="33"/>
        <v>96</v>
      </c>
      <c r="B535" s="853">
        <f t="shared" si="34"/>
        <v>91</v>
      </c>
      <c r="C535" s="1969">
        <f>IF(A535&gt;'1. AgeData'!$I$30,0,'9. SavingsData'!C569)</f>
        <v>0</v>
      </c>
      <c r="D535" s="1433">
        <f>IF(B535&gt;'1. AgeData'!$I$31,0,'9. SavingsData'!D569)</f>
        <v>0</v>
      </c>
      <c r="E535" s="1972">
        <f>IF(A535&gt;'1. AgeData'!$I$30,0,'9. SavingsData'!E569)</f>
        <v>0</v>
      </c>
      <c r="F535" s="1973">
        <f>IF(B535&gt;'1. AgeData'!$I$30,0,'9. SavingsData'!F569)</f>
        <v>0</v>
      </c>
      <c r="G535" s="1973">
        <f>IF(A535&gt;'1. AgeData'!$I$30,0,'9. SavingsData'!G569)</f>
        <v>0</v>
      </c>
      <c r="H535" s="1973">
        <f>IF(B535&gt;'1. AgeData'!$I$30,0,'9. SavingsData'!H569)</f>
        <v>0</v>
      </c>
      <c r="I535" s="1973">
        <f>IF(A535&gt;'1. AgeData'!$I$30,0,'9. SavingsData'!I569)</f>
        <v>0</v>
      </c>
      <c r="J535" s="1974">
        <f>IF(B535&gt;'1. AgeData'!$I$30,0,'9. SavingsData'!J569)</f>
        <v>0</v>
      </c>
      <c r="K535" s="921">
        <f>'9. SavingsData'!$G352</f>
        <v>0</v>
      </c>
      <c r="L535" s="922">
        <f>'9. SavingsData'!$H352</f>
        <v>0</v>
      </c>
      <c r="M535" s="922">
        <f>'9. SavingsData'!$I352</f>
        <v>0</v>
      </c>
      <c r="N535" s="995">
        <f>'9. SavingsData'!$J352</f>
        <v>0</v>
      </c>
    </row>
    <row r="536" spans="1:14" s="15" customFormat="1" ht="12.75" thickTop="1" x14ac:dyDescent="0.2">
      <c r="A536" s="1444"/>
      <c r="B536" s="851"/>
      <c r="C536" s="859"/>
      <c r="D536" s="859"/>
      <c r="E536" s="924"/>
      <c r="F536" s="924"/>
      <c r="G536" s="924"/>
      <c r="H536" s="924"/>
      <c r="I536" s="924"/>
      <c r="J536" s="924"/>
      <c r="K536" s="859"/>
      <c r="L536" s="859"/>
      <c r="M536" s="859"/>
      <c r="N536" s="2006"/>
    </row>
    <row r="537" spans="1:14" s="15" customFormat="1" ht="12.75" thickBot="1" x14ac:dyDescent="0.25">
      <c r="A537" s="1444"/>
      <c r="B537" s="851"/>
      <c r="C537" s="859"/>
      <c r="D537" s="859"/>
      <c r="E537" s="924"/>
      <c r="F537" s="924"/>
      <c r="G537" s="924"/>
      <c r="H537" s="924"/>
      <c r="I537" s="924"/>
      <c r="J537" s="924"/>
      <c r="K537" s="859"/>
      <c r="L537" s="859"/>
      <c r="M537" s="859"/>
      <c r="N537" s="2006"/>
    </row>
    <row r="538" spans="1:14" s="15" customFormat="1" ht="19.5" thickTop="1" x14ac:dyDescent="0.3">
      <c r="A538" s="1340" t="s">
        <v>1592</v>
      </c>
      <c r="B538" s="1341"/>
      <c r="C538" s="1976"/>
      <c r="D538" s="1976"/>
      <c r="E538" s="1977"/>
      <c r="F538" s="1978"/>
      <c r="G538" s="1979"/>
      <c r="H538" s="1980"/>
      <c r="I538" s="1981"/>
      <c r="J538" s="1981"/>
      <c r="K538" s="1982"/>
      <c r="L538" s="1983"/>
      <c r="M538" s="1635"/>
      <c r="N538" s="1342"/>
    </row>
    <row r="539" spans="1:14" s="15" customFormat="1" ht="18" x14ac:dyDescent="0.25">
      <c r="A539" s="1416" t="s">
        <v>1593</v>
      </c>
      <c r="B539" s="6"/>
      <c r="C539" s="170"/>
      <c r="D539" s="170"/>
      <c r="E539" s="171"/>
      <c r="F539" s="172"/>
      <c r="G539" s="173"/>
      <c r="H539" s="174"/>
      <c r="I539" s="75"/>
      <c r="J539" s="75"/>
      <c r="K539" s="130"/>
      <c r="L539" s="175"/>
      <c r="M539" s="33"/>
      <c r="N539" s="1311"/>
    </row>
    <row r="540" spans="1:14" s="15" customFormat="1" ht="18" x14ac:dyDescent="0.25">
      <c r="A540" s="1416" t="s">
        <v>1546</v>
      </c>
      <c r="B540" s="6"/>
      <c r="C540" s="170"/>
      <c r="D540" s="170"/>
      <c r="E540" s="171"/>
      <c r="F540" s="172"/>
      <c r="G540" s="173"/>
      <c r="H540" s="174"/>
      <c r="I540" s="75"/>
      <c r="J540" s="75"/>
      <c r="K540" s="130"/>
      <c r="L540" s="175"/>
      <c r="M540" s="33"/>
      <c r="N540" s="1311"/>
    </row>
    <row r="541" spans="1:14" s="15" customFormat="1" ht="12" x14ac:dyDescent="0.2">
      <c r="A541" s="1444"/>
      <c r="B541" s="851"/>
      <c r="C541" s="859"/>
      <c r="D541" s="859"/>
      <c r="E541" s="924"/>
      <c r="F541" s="924"/>
      <c r="G541" s="924"/>
      <c r="H541" s="924"/>
      <c r="I541" s="924"/>
      <c r="J541" s="924"/>
      <c r="K541" s="859"/>
      <c r="L541" s="859"/>
      <c r="M541" s="859"/>
      <c r="N541" s="2006"/>
    </row>
    <row r="542" spans="1:14" s="15" customFormat="1" ht="12" x14ac:dyDescent="0.2">
      <c r="A542" s="1444"/>
      <c r="B542" s="851"/>
      <c r="C542" s="859"/>
      <c r="D542" s="859"/>
      <c r="E542" s="924"/>
      <c r="F542" s="924"/>
      <c r="G542" s="924"/>
      <c r="H542" s="924"/>
      <c r="I542" s="924"/>
      <c r="J542" s="924"/>
      <c r="K542" s="859"/>
      <c r="L542" s="859"/>
      <c r="M542" s="859"/>
      <c r="N542" s="2006"/>
    </row>
    <row r="543" spans="1:14" s="15" customFormat="1" ht="12" x14ac:dyDescent="0.2">
      <c r="A543" s="1444"/>
      <c r="B543" s="851"/>
      <c r="C543" s="859"/>
      <c r="D543" s="859"/>
      <c r="E543" s="924"/>
      <c r="F543" s="924"/>
      <c r="G543" s="924"/>
      <c r="H543" s="924"/>
      <c r="I543" s="924"/>
      <c r="J543" s="924"/>
      <c r="K543" s="859"/>
      <c r="L543" s="859"/>
      <c r="M543" s="859"/>
      <c r="N543" s="2006"/>
    </row>
    <row r="544" spans="1:14" s="15" customFormat="1" ht="12" x14ac:dyDescent="0.2">
      <c r="A544" s="1444"/>
      <c r="B544" s="851"/>
      <c r="C544" s="859"/>
      <c r="D544" s="859"/>
      <c r="E544" s="924"/>
      <c r="F544" s="924"/>
      <c r="G544" s="924"/>
      <c r="H544" s="924"/>
      <c r="I544" s="924"/>
      <c r="J544" s="924"/>
      <c r="K544" s="859"/>
      <c r="L544" s="859"/>
      <c r="M544" s="859"/>
      <c r="N544" s="2006"/>
    </row>
    <row r="545" spans="1:14" s="15" customFormat="1" ht="12" x14ac:dyDescent="0.2">
      <c r="A545" s="1444"/>
      <c r="B545" s="851"/>
      <c r="C545" s="859"/>
      <c r="D545" s="859"/>
      <c r="E545" s="924"/>
      <c r="F545" s="924"/>
      <c r="G545" s="924"/>
      <c r="H545" s="924"/>
      <c r="I545" s="924"/>
      <c r="J545" s="924"/>
      <c r="K545" s="859"/>
      <c r="L545" s="859"/>
      <c r="M545" s="859"/>
      <c r="N545" s="2006"/>
    </row>
    <row r="546" spans="1:14" s="15" customFormat="1" ht="12" x14ac:dyDescent="0.2">
      <c r="A546" s="1444"/>
      <c r="B546" s="851"/>
      <c r="C546" s="859"/>
      <c r="D546" s="859"/>
      <c r="E546" s="924"/>
      <c r="F546" s="924"/>
      <c r="G546" s="924"/>
      <c r="H546" s="924"/>
      <c r="I546" s="924"/>
      <c r="J546" s="924"/>
      <c r="K546" s="859"/>
      <c r="L546" s="859"/>
      <c r="M546" s="859"/>
      <c r="N546" s="2006"/>
    </row>
    <row r="547" spans="1:14" s="15" customFormat="1" ht="12" x14ac:dyDescent="0.2">
      <c r="A547" s="1444"/>
      <c r="B547" s="851"/>
      <c r="C547" s="859"/>
      <c r="D547" s="859"/>
      <c r="E547" s="924"/>
      <c r="F547" s="924"/>
      <c r="G547" s="924"/>
      <c r="H547" s="924"/>
      <c r="I547" s="924"/>
      <c r="J547" s="924"/>
      <c r="K547" s="859"/>
      <c r="L547" s="859"/>
      <c r="M547" s="859"/>
      <c r="N547" s="2006"/>
    </row>
    <row r="548" spans="1:14" s="15" customFormat="1" ht="12" x14ac:dyDescent="0.2">
      <c r="A548" s="1444"/>
      <c r="B548" s="851"/>
      <c r="C548" s="859"/>
      <c r="D548" s="859"/>
      <c r="E548" s="924"/>
      <c r="F548" s="924"/>
      <c r="G548" s="924"/>
      <c r="H548" s="924"/>
      <c r="I548" s="924"/>
      <c r="J548" s="924"/>
      <c r="K548" s="859"/>
      <c r="L548" s="859"/>
      <c r="M548" s="859"/>
      <c r="N548" s="2006"/>
    </row>
    <row r="549" spans="1:14" s="15" customFormat="1" ht="12" x14ac:dyDescent="0.2">
      <c r="A549" s="1444"/>
      <c r="B549" s="851"/>
      <c r="C549" s="859"/>
      <c r="D549" s="859"/>
      <c r="E549" s="924"/>
      <c r="F549" s="924"/>
      <c r="G549" s="924"/>
      <c r="H549" s="924"/>
      <c r="I549" s="924"/>
      <c r="J549" s="924"/>
      <c r="K549" s="859"/>
      <c r="L549" s="859"/>
      <c r="M549" s="859"/>
      <c r="N549" s="2006"/>
    </row>
    <row r="550" spans="1:14" s="15" customFormat="1" ht="12" x14ac:dyDescent="0.2">
      <c r="A550" s="1444"/>
      <c r="B550" s="851"/>
      <c r="C550" s="859"/>
      <c r="D550" s="859"/>
      <c r="E550" s="924"/>
      <c r="F550" s="924"/>
      <c r="G550" s="924"/>
      <c r="H550" s="924"/>
      <c r="I550" s="924"/>
      <c r="J550" s="924"/>
      <c r="K550" s="859"/>
      <c r="L550" s="859"/>
      <c r="M550" s="859"/>
      <c r="N550" s="2006"/>
    </row>
    <row r="551" spans="1:14" s="15" customFormat="1" ht="12" x14ac:dyDescent="0.2">
      <c r="A551" s="1444"/>
      <c r="B551" s="851"/>
      <c r="C551" s="859"/>
      <c r="D551" s="859"/>
      <c r="E551" s="924"/>
      <c r="F551" s="924"/>
      <c r="G551" s="924"/>
      <c r="H551" s="924"/>
      <c r="I551" s="924"/>
      <c r="J551" s="924"/>
      <c r="K551" s="859"/>
      <c r="L551" s="859"/>
      <c r="M551" s="859"/>
      <c r="N551" s="2006"/>
    </row>
    <row r="552" spans="1:14" s="15" customFormat="1" ht="12" x14ac:dyDescent="0.2">
      <c r="A552" s="1444"/>
      <c r="B552" s="851"/>
      <c r="C552" s="859"/>
      <c r="D552" s="859"/>
      <c r="E552" s="924"/>
      <c r="F552" s="924"/>
      <c r="G552" s="924"/>
      <c r="H552" s="924"/>
      <c r="I552" s="924"/>
      <c r="J552" s="924"/>
      <c r="K552" s="859"/>
      <c r="L552" s="859"/>
      <c r="M552" s="859"/>
      <c r="N552" s="2006"/>
    </row>
    <row r="553" spans="1:14" s="15" customFormat="1" ht="12" x14ac:dyDescent="0.2">
      <c r="A553" s="1444"/>
      <c r="B553" s="851"/>
      <c r="C553" s="859"/>
      <c r="D553" s="859"/>
      <c r="E553" s="924"/>
      <c r="F553" s="924"/>
      <c r="G553" s="924"/>
      <c r="H553" s="924"/>
      <c r="I553" s="924"/>
      <c r="J553" s="924"/>
      <c r="K553" s="859"/>
      <c r="L553" s="859"/>
      <c r="M553" s="859"/>
      <c r="N553" s="2006"/>
    </row>
    <row r="554" spans="1:14" s="15" customFormat="1" ht="12" x14ac:dyDescent="0.2">
      <c r="A554" s="1444"/>
      <c r="B554" s="851"/>
      <c r="C554" s="859"/>
      <c r="D554" s="859"/>
      <c r="E554" s="924"/>
      <c r="F554" s="924"/>
      <c r="G554" s="924"/>
      <c r="H554" s="924"/>
      <c r="I554" s="924"/>
      <c r="J554" s="924"/>
      <c r="K554" s="859"/>
      <c r="L554" s="859"/>
      <c r="M554" s="859"/>
      <c r="N554" s="2006"/>
    </row>
    <row r="555" spans="1:14" s="15" customFormat="1" ht="12" x14ac:dyDescent="0.2">
      <c r="A555" s="1444"/>
      <c r="B555" s="851"/>
      <c r="C555" s="859"/>
      <c r="D555" s="859"/>
      <c r="E555" s="924"/>
      <c r="F555" s="924"/>
      <c r="G555" s="924"/>
      <c r="H555" s="924"/>
      <c r="I555" s="924"/>
      <c r="J555" s="924"/>
      <c r="K555" s="859"/>
      <c r="L555" s="859"/>
      <c r="M555" s="859"/>
      <c r="N555" s="2006"/>
    </row>
    <row r="556" spans="1:14" s="15" customFormat="1" ht="12" x14ac:dyDescent="0.2">
      <c r="A556" s="1444"/>
      <c r="B556" s="851"/>
      <c r="C556" s="859"/>
      <c r="D556" s="859"/>
      <c r="E556" s="924"/>
      <c r="F556" s="924"/>
      <c r="G556" s="924"/>
      <c r="H556" s="924"/>
      <c r="I556" s="924"/>
      <c r="J556" s="924"/>
      <c r="K556" s="859"/>
      <c r="L556" s="859"/>
      <c r="M556" s="859"/>
      <c r="N556" s="2006"/>
    </row>
    <row r="557" spans="1:14" s="15" customFormat="1" ht="12" x14ac:dyDescent="0.2">
      <c r="A557" s="1444"/>
      <c r="B557" s="851"/>
      <c r="C557" s="859"/>
      <c r="D557" s="859"/>
      <c r="E557" s="924"/>
      <c r="F557" s="924"/>
      <c r="G557" s="924"/>
      <c r="H557" s="924"/>
      <c r="I557" s="924"/>
      <c r="J557" s="924"/>
      <c r="K557" s="859"/>
      <c r="L557" s="859"/>
      <c r="M557" s="859"/>
      <c r="N557" s="2006"/>
    </row>
    <row r="558" spans="1:14" s="15" customFormat="1" ht="12" x14ac:dyDescent="0.2">
      <c r="A558" s="1444"/>
      <c r="B558" s="851"/>
      <c r="C558" s="859"/>
      <c r="D558" s="859"/>
      <c r="E558" s="924"/>
      <c r="F558" s="924"/>
      <c r="G558" s="924"/>
      <c r="H558" s="924"/>
      <c r="I558" s="924"/>
      <c r="J558" s="924"/>
      <c r="K558" s="859"/>
      <c r="L558" s="859"/>
      <c r="M558" s="859"/>
      <c r="N558" s="2006"/>
    </row>
    <row r="559" spans="1:14" s="15" customFormat="1" ht="12" x14ac:dyDescent="0.2">
      <c r="A559" s="1444"/>
      <c r="B559" s="851"/>
      <c r="C559" s="859"/>
      <c r="D559" s="859"/>
      <c r="E559" s="924"/>
      <c r="F559" s="924"/>
      <c r="G559" s="924"/>
      <c r="H559" s="924"/>
      <c r="I559" s="924"/>
      <c r="J559" s="924"/>
      <c r="K559" s="859"/>
      <c r="L559" s="859"/>
      <c r="M559" s="859"/>
      <c r="N559" s="2006"/>
    </row>
    <row r="560" spans="1:14" s="15" customFormat="1" ht="12" x14ac:dyDescent="0.2">
      <c r="A560" s="1444"/>
      <c r="B560" s="851"/>
      <c r="C560" s="859"/>
      <c r="D560" s="859"/>
      <c r="E560" s="924"/>
      <c r="F560" s="924"/>
      <c r="G560" s="924"/>
      <c r="H560" s="924"/>
      <c r="I560" s="924"/>
      <c r="J560" s="924"/>
      <c r="K560" s="859"/>
      <c r="L560" s="859"/>
      <c r="M560" s="859"/>
      <c r="N560" s="2006"/>
    </row>
    <row r="561" spans="1:14" s="15" customFormat="1" ht="12" x14ac:dyDescent="0.2">
      <c r="A561" s="1444"/>
      <c r="B561" s="851"/>
      <c r="C561" s="859"/>
      <c r="D561" s="859"/>
      <c r="E561" s="924"/>
      <c r="F561" s="924"/>
      <c r="G561" s="924"/>
      <c r="H561" s="924"/>
      <c r="I561" s="924"/>
      <c r="J561" s="924"/>
      <c r="K561" s="859"/>
      <c r="L561" s="859"/>
      <c r="M561" s="859"/>
      <c r="N561" s="2006"/>
    </row>
    <row r="562" spans="1:14" s="15" customFormat="1" ht="12" x14ac:dyDescent="0.2">
      <c r="A562" s="1444"/>
      <c r="B562" s="851"/>
      <c r="C562" s="859"/>
      <c r="D562" s="859"/>
      <c r="E562" s="924"/>
      <c r="F562" s="924"/>
      <c r="G562" s="924"/>
      <c r="H562" s="924"/>
      <c r="I562" s="924"/>
      <c r="J562" s="924"/>
      <c r="K562" s="859"/>
      <c r="L562" s="859"/>
      <c r="M562" s="859"/>
      <c r="N562" s="2006"/>
    </row>
    <row r="563" spans="1:14" s="15" customFormat="1" ht="12.75" thickBot="1" x14ac:dyDescent="0.25">
      <c r="A563" s="1444"/>
      <c r="B563" s="851"/>
      <c r="C563" s="859"/>
      <c r="D563" s="859"/>
      <c r="E563" s="924"/>
      <c r="F563" s="924"/>
      <c r="G563" s="924"/>
      <c r="H563" s="924"/>
      <c r="I563" s="924"/>
      <c r="J563" s="924"/>
      <c r="K563" s="859"/>
      <c r="L563" s="859"/>
      <c r="M563" s="859"/>
      <c r="N563" s="2006"/>
    </row>
    <row r="564" spans="1:14" s="15" customFormat="1" ht="19.5" thickTop="1" x14ac:dyDescent="0.3">
      <c r="A564" s="1340" t="s">
        <v>1596</v>
      </c>
      <c r="B564" s="1341"/>
      <c r="C564" s="1976"/>
      <c r="D564" s="1976"/>
      <c r="E564" s="1977"/>
      <c r="F564" s="1978"/>
      <c r="G564" s="1979"/>
      <c r="H564" s="1980"/>
      <c r="I564" s="1981"/>
      <c r="J564" s="1981"/>
      <c r="K564" s="1982"/>
      <c r="L564" s="1983"/>
      <c r="M564" s="1635"/>
      <c r="N564" s="1342"/>
    </row>
    <row r="565" spans="1:14" s="15" customFormat="1" ht="18" x14ac:dyDescent="0.25">
      <c r="A565" s="1416" t="s">
        <v>1595</v>
      </c>
      <c r="B565" s="6"/>
      <c r="C565" s="170"/>
      <c r="D565" s="170"/>
      <c r="E565" s="171"/>
      <c r="F565" s="172"/>
      <c r="G565" s="173"/>
      <c r="H565" s="174"/>
      <c r="I565" s="75"/>
      <c r="J565" s="75"/>
      <c r="K565" s="130"/>
      <c r="L565" s="175"/>
      <c r="M565" s="33"/>
      <c r="N565" s="1311"/>
    </row>
    <row r="566" spans="1:14" s="15" customFormat="1" ht="18" x14ac:dyDescent="0.25">
      <c r="A566" s="1416" t="s">
        <v>1546</v>
      </c>
      <c r="B566" s="6"/>
      <c r="C566" s="170"/>
      <c r="D566" s="170"/>
      <c r="E566" s="171"/>
      <c r="F566" s="172"/>
      <c r="G566" s="173"/>
      <c r="H566" s="174"/>
      <c r="I566" s="75"/>
      <c r="J566" s="75"/>
      <c r="K566" s="130"/>
      <c r="L566" s="175"/>
      <c r="M566" s="33"/>
      <c r="N566" s="1311"/>
    </row>
    <row r="567" spans="1:14" s="15" customFormat="1" ht="12" x14ac:dyDescent="0.2">
      <c r="A567" s="1444"/>
      <c r="B567" s="851"/>
      <c r="C567" s="859"/>
      <c r="D567" s="859"/>
      <c r="E567" s="924"/>
      <c r="F567" s="924"/>
      <c r="G567" s="924"/>
      <c r="H567" s="924"/>
      <c r="I567" s="924"/>
      <c r="J567" s="924"/>
      <c r="K567" s="859"/>
      <c r="L567" s="859"/>
      <c r="M567" s="859"/>
      <c r="N567" s="2006"/>
    </row>
    <row r="568" spans="1:14" s="15" customFormat="1" ht="12" x14ac:dyDescent="0.2">
      <c r="A568" s="1444"/>
      <c r="B568" s="851"/>
      <c r="C568" s="859"/>
      <c r="D568" s="859"/>
      <c r="E568" s="924"/>
      <c r="F568" s="924"/>
      <c r="G568" s="924"/>
      <c r="H568" s="924"/>
      <c r="I568" s="924"/>
      <c r="J568" s="924"/>
      <c r="K568" s="859"/>
      <c r="L568" s="859"/>
      <c r="M568" s="859"/>
      <c r="N568" s="2006"/>
    </row>
    <row r="569" spans="1:14" s="15" customFormat="1" ht="12" x14ac:dyDescent="0.2">
      <c r="A569" s="1444"/>
      <c r="B569" s="851"/>
      <c r="C569" s="859"/>
      <c r="D569" s="859"/>
      <c r="E569" s="924"/>
      <c r="F569" s="924"/>
      <c r="G569" s="924"/>
      <c r="H569" s="924"/>
      <c r="I569" s="924"/>
      <c r="J569" s="924"/>
      <c r="K569" s="859"/>
      <c r="L569" s="859"/>
      <c r="M569" s="859"/>
      <c r="N569" s="2006"/>
    </row>
    <row r="570" spans="1:14" s="15" customFormat="1" ht="12" x14ac:dyDescent="0.2">
      <c r="A570" s="1444"/>
      <c r="B570" s="851"/>
      <c r="C570" s="859"/>
      <c r="D570" s="859"/>
      <c r="E570" s="924"/>
      <c r="F570" s="924"/>
      <c r="G570" s="924"/>
      <c r="H570" s="924"/>
      <c r="I570" s="924"/>
      <c r="J570" s="924"/>
      <c r="K570" s="859"/>
      <c r="L570" s="859"/>
      <c r="M570" s="859"/>
      <c r="N570" s="2006"/>
    </row>
    <row r="571" spans="1:14" s="15" customFormat="1" ht="12" x14ac:dyDescent="0.2">
      <c r="A571" s="1444"/>
      <c r="B571" s="851"/>
      <c r="C571" s="859"/>
      <c r="D571" s="859"/>
      <c r="E571" s="924"/>
      <c r="F571" s="924"/>
      <c r="G571" s="924"/>
      <c r="H571" s="924"/>
      <c r="I571" s="924"/>
      <c r="J571" s="924"/>
      <c r="K571" s="859"/>
      <c r="L571" s="859"/>
      <c r="M571" s="859"/>
      <c r="N571" s="2006"/>
    </row>
    <row r="572" spans="1:14" s="15" customFormat="1" ht="12" x14ac:dyDescent="0.2">
      <c r="A572" s="1444"/>
      <c r="B572" s="851"/>
      <c r="C572" s="859"/>
      <c r="D572" s="859"/>
      <c r="E572" s="924"/>
      <c r="F572" s="924"/>
      <c r="G572" s="924"/>
      <c r="H572" s="924"/>
      <c r="I572" s="924"/>
      <c r="J572" s="924"/>
      <c r="K572" s="859"/>
      <c r="L572" s="859"/>
      <c r="M572" s="859"/>
      <c r="N572" s="2006"/>
    </row>
    <row r="573" spans="1:14" s="15" customFormat="1" ht="12" x14ac:dyDescent="0.2">
      <c r="A573" s="1444"/>
      <c r="B573" s="851"/>
      <c r="C573" s="859"/>
      <c r="D573" s="859"/>
      <c r="E573" s="924"/>
      <c r="F573" s="924"/>
      <c r="G573" s="924"/>
      <c r="H573" s="924"/>
      <c r="I573" s="924"/>
      <c r="J573" s="924"/>
      <c r="K573" s="859"/>
      <c r="L573" s="859"/>
      <c r="M573" s="859"/>
      <c r="N573" s="2006"/>
    </row>
    <row r="574" spans="1:14" s="15" customFormat="1" ht="12" x14ac:dyDescent="0.2">
      <c r="A574" s="1444"/>
      <c r="B574" s="851"/>
      <c r="C574" s="859"/>
      <c r="D574" s="859"/>
      <c r="E574" s="924"/>
      <c r="F574" s="924"/>
      <c r="G574" s="924"/>
      <c r="H574" s="924"/>
      <c r="I574" s="924"/>
      <c r="J574" s="924"/>
      <c r="K574" s="859"/>
      <c r="L574" s="859"/>
      <c r="M574" s="859"/>
      <c r="N574" s="2006"/>
    </row>
    <row r="575" spans="1:14" s="15" customFormat="1" ht="12" x14ac:dyDescent="0.2">
      <c r="A575" s="1444"/>
      <c r="B575" s="851"/>
      <c r="C575" s="859"/>
      <c r="D575" s="859"/>
      <c r="E575" s="924"/>
      <c r="F575" s="924"/>
      <c r="G575" s="924"/>
      <c r="H575" s="924"/>
      <c r="I575" s="924"/>
      <c r="J575" s="924"/>
      <c r="K575" s="859"/>
      <c r="L575" s="859"/>
      <c r="M575" s="859"/>
      <c r="N575" s="2006"/>
    </row>
    <row r="576" spans="1:14" s="15" customFormat="1" ht="12" x14ac:dyDescent="0.2">
      <c r="A576" s="1444"/>
      <c r="B576" s="851"/>
      <c r="C576" s="859"/>
      <c r="D576" s="859"/>
      <c r="E576" s="924"/>
      <c r="F576" s="924"/>
      <c r="G576" s="924"/>
      <c r="H576" s="924"/>
      <c r="I576" s="924"/>
      <c r="J576" s="924"/>
      <c r="K576" s="859"/>
      <c r="L576" s="859"/>
      <c r="M576" s="859"/>
      <c r="N576" s="2006"/>
    </row>
    <row r="577" spans="1:14" s="15" customFormat="1" ht="12" x14ac:dyDescent="0.2">
      <c r="A577" s="1444"/>
      <c r="B577" s="851"/>
      <c r="C577" s="859"/>
      <c r="D577" s="859"/>
      <c r="E577" s="924"/>
      <c r="F577" s="924"/>
      <c r="G577" s="924"/>
      <c r="H577" s="924"/>
      <c r="I577" s="924"/>
      <c r="J577" s="924"/>
      <c r="K577" s="859"/>
      <c r="L577" s="859"/>
      <c r="M577" s="859"/>
      <c r="N577" s="2006"/>
    </row>
    <row r="578" spans="1:14" s="15" customFormat="1" ht="12" x14ac:dyDescent="0.2">
      <c r="A578" s="1444"/>
      <c r="B578" s="851"/>
      <c r="C578" s="859"/>
      <c r="D578" s="859"/>
      <c r="E578" s="924"/>
      <c r="F578" s="924"/>
      <c r="G578" s="924"/>
      <c r="H578" s="924"/>
      <c r="I578" s="924"/>
      <c r="J578" s="924"/>
      <c r="K578" s="859"/>
      <c r="L578" s="859"/>
      <c r="M578" s="859"/>
      <c r="N578" s="2006"/>
    </row>
    <row r="579" spans="1:14" s="15" customFormat="1" ht="12" x14ac:dyDescent="0.2">
      <c r="A579" s="1444"/>
      <c r="B579" s="851"/>
      <c r="C579" s="859"/>
      <c r="D579" s="859"/>
      <c r="E579" s="924"/>
      <c r="F579" s="924"/>
      <c r="G579" s="924"/>
      <c r="H579" s="924"/>
      <c r="I579" s="924"/>
      <c r="J579" s="924"/>
      <c r="K579" s="859"/>
      <c r="L579" s="859"/>
      <c r="M579" s="859"/>
      <c r="N579" s="2006"/>
    </row>
    <row r="580" spans="1:14" s="15" customFormat="1" ht="12" x14ac:dyDescent="0.2">
      <c r="A580" s="1444"/>
      <c r="B580" s="851"/>
      <c r="C580" s="859"/>
      <c r="D580" s="859"/>
      <c r="E580" s="924"/>
      <c r="F580" s="924"/>
      <c r="G580" s="924"/>
      <c r="H580" s="924"/>
      <c r="I580" s="924"/>
      <c r="J580" s="924"/>
      <c r="K580" s="859"/>
      <c r="L580" s="859"/>
      <c r="M580" s="859"/>
      <c r="N580" s="2006"/>
    </row>
    <row r="581" spans="1:14" s="15" customFormat="1" ht="12" x14ac:dyDescent="0.2">
      <c r="A581" s="1444"/>
      <c r="B581" s="851"/>
      <c r="C581" s="859"/>
      <c r="D581" s="859"/>
      <c r="E581" s="924"/>
      <c r="F581" s="924"/>
      <c r="G581" s="924"/>
      <c r="H581" s="924"/>
      <c r="I581" s="924"/>
      <c r="J581" s="924"/>
      <c r="K581" s="859"/>
      <c r="L581" s="859"/>
      <c r="M581" s="859"/>
      <c r="N581" s="2006"/>
    </row>
    <row r="582" spans="1:14" s="15" customFormat="1" ht="12" x14ac:dyDescent="0.2">
      <c r="A582" s="1444"/>
      <c r="B582" s="851"/>
      <c r="C582" s="859"/>
      <c r="D582" s="859"/>
      <c r="E582" s="924"/>
      <c r="F582" s="924"/>
      <c r="G582" s="924"/>
      <c r="H582" s="924"/>
      <c r="I582" s="924"/>
      <c r="J582" s="924"/>
      <c r="K582" s="859"/>
      <c r="L582" s="859"/>
      <c r="M582" s="859"/>
      <c r="N582" s="2006"/>
    </row>
    <row r="583" spans="1:14" s="15" customFormat="1" ht="12" x14ac:dyDescent="0.2">
      <c r="A583" s="1444"/>
      <c r="B583" s="851"/>
      <c r="C583" s="859"/>
      <c r="D583" s="859"/>
      <c r="E583" s="924"/>
      <c r="F583" s="924"/>
      <c r="G583" s="924"/>
      <c r="H583" s="924"/>
      <c r="I583" s="924"/>
      <c r="J583" s="924"/>
      <c r="K583" s="859"/>
      <c r="L583" s="859"/>
      <c r="M583" s="859"/>
      <c r="N583" s="2006"/>
    </row>
    <row r="584" spans="1:14" s="15" customFormat="1" ht="12" x14ac:dyDescent="0.2">
      <c r="A584" s="1444"/>
      <c r="B584" s="851"/>
      <c r="C584" s="859"/>
      <c r="D584" s="859"/>
      <c r="E584" s="924"/>
      <c r="F584" s="924"/>
      <c r="G584" s="924"/>
      <c r="H584" s="924"/>
      <c r="I584" s="924"/>
      <c r="J584" s="924"/>
      <c r="K584" s="859"/>
      <c r="L584" s="859"/>
      <c r="M584" s="859"/>
      <c r="N584" s="2006"/>
    </row>
    <row r="585" spans="1:14" s="15" customFormat="1" ht="12" x14ac:dyDescent="0.2">
      <c r="A585" s="1444"/>
      <c r="B585" s="851"/>
      <c r="C585" s="859"/>
      <c r="D585" s="859"/>
      <c r="E585" s="924"/>
      <c r="F585" s="924"/>
      <c r="G585" s="924"/>
      <c r="H585" s="924"/>
      <c r="I585" s="924"/>
      <c r="J585" s="924"/>
      <c r="K585" s="859"/>
      <c r="L585" s="859"/>
      <c r="M585" s="859"/>
      <c r="N585" s="2006"/>
    </row>
    <row r="586" spans="1:14" s="15" customFormat="1" ht="12.75" thickBot="1" x14ac:dyDescent="0.25">
      <c r="A586" s="1994"/>
      <c r="B586" s="1995"/>
      <c r="C586" s="2007"/>
      <c r="D586" s="2007"/>
      <c r="E586" s="1973"/>
      <c r="F586" s="1973"/>
      <c r="G586" s="1973"/>
      <c r="H586" s="1973"/>
      <c r="I586" s="1973"/>
      <c r="J586" s="1973"/>
      <c r="K586" s="2007"/>
      <c r="L586" s="2007"/>
      <c r="M586" s="2007"/>
      <c r="N586" s="2008"/>
    </row>
    <row r="587" spans="1:14" s="15" customFormat="1" ht="19.5" thickTop="1" x14ac:dyDescent="0.3">
      <c r="A587" s="1340" t="s">
        <v>1599</v>
      </c>
      <c r="B587" s="1341"/>
      <c r="C587" s="1976"/>
      <c r="D587" s="1976"/>
      <c r="E587" s="1977"/>
      <c r="F587" s="1978"/>
      <c r="G587" s="1979"/>
      <c r="H587" s="1980"/>
      <c r="I587" s="1981"/>
      <c r="J587" s="1981"/>
      <c r="K587" s="1982"/>
      <c r="L587" s="1983"/>
      <c r="M587" s="1635"/>
      <c r="N587" s="1342"/>
    </row>
    <row r="588" spans="1:14" s="15" customFormat="1" ht="18" x14ac:dyDescent="0.25">
      <c r="A588" s="1416" t="s">
        <v>1595</v>
      </c>
      <c r="B588" s="6"/>
      <c r="C588" s="170"/>
      <c r="D588" s="170"/>
      <c r="E588" s="171"/>
      <c r="F588" s="172"/>
      <c r="G588" s="173"/>
      <c r="H588" s="174"/>
      <c r="I588" s="75"/>
      <c r="J588" s="75"/>
      <c r="K588" s="130"/>
      <c r="L588" s="175"/>
      <c r="M588" s="33"/>
      <c r="N588" s="1311"/>
    </row>
    <row r="589" spans="1:14" s="15" customFormat="1" ht="18" x14ac:dyDescent="0.25">
      <c r="A589" s="1416" t="s">
        <v>1546</v>
      </c>
      <c r="B589" s="6"/>
      <c r="C589" s="170"/>
      <c r="D589" s="170"/>
      <c r="E589" s="171"/>
      <c r="F589" s="172"/>
      <c r="G589" s="173"/>
      <c r="H589" s="174"/>
      <c r="I589" s="75"/>
      <c r="J589" s="75"/>
      <c r="K589" s="130"/>
      <c r="L589" s="175"/>
      <c r="M589" s="33"/>
      <c r="N589" s="1311"/>
    </row>
    <row r="590" spans="1:14" s="15" customFormat="1" ht="12" x14ac:dyDescent="0.2">
      <c r="A590" s="1444"/>
      <c r="B590" s="851"/>
      <c r="C590" s="859"/>
      <c r="D590" s="859"/>
      <c r="E590" s="924"/>
      <c r="F590" s="924"/>
      <c r="G590" s="924"/>
      <c r="H590" s="924"/>
      <c r="I590" s="924"/>
      <c r="J590" s="924"/>
      <c r="K590" s="859"/>
      <c r="L590" s="859"/>
      <c r="M590" s="859"/>
      <c r="N590" s="2006"/>
    </row>
    <row r="591" spans="1:14" s="15" customFormat="1" ht="12" x14ac:dyDescent="0.2">
      <c r="A591" s="1444"/>
      <c r="B591" s="851"/>
      <c r="C591" s="859"/>
      <c r="D591" s="859"/>
      <c r="E591" s="924"/>
      <c r="F591" s="924"/>
      <c r="G591" s="924"/>
      <c r="H591" s="924"/>
      <c r="I591" s="924"/>
      <c r="J591" s="924"/>
      <c r="K591" s="859"/>
      <c r="L591" s="859"/>
      <c r="M591" s="859"/>
      <c r="N591" s="2006"/>
    </row>
    <row r="592" spans="1:14" s="15" customFormat="1" ht="12" x14ac:dyDescent="0.2">
      <c r="A592" s="1444"/>
      <c r="B592" s="851"/>
      <c r="C592" s="859"/>
      <c r="D592" s="859"/>
      <c r="E592" s="924"/>
      <c r="F592" s="924"/>
      <c r="G592" s="924"/>
      <c r="H592" s="924"/>
      <c r="I592" s="924"/>
      <c r="J592" s="924"/>
      <c r="K592" s="859"/>
      <c r="L592" s="859"/>
      <c r="M592" s="859"/>
      <c r="N592" s="2006"/>
    </row>
    <row r="593" spans="1:14" s="15" customFormat="1" ht="12" x14ac:dyDescent="0.2">
      <c r="A593" s="1444"/>
      <c r="B593" s="851"/>
      <c r="C593" s="859"/>
      <c r="D593" s="859"/>
      <c r="E593" s="924"/>
      <c r="F593" s="924"/>
      <c r="G593" s="924"/>
      <c r="H593" s="924"/>
      <c r="I593" s="924"/>
      <c r="J593" s="924"/>
      <c r="K593" s="859"/>
      <c r="L593" s="859"/>
      <c r="M593" s="859"/>
      <c r="N593" s="2006"/>
    </row>
    <row r="594" spans="1:14" s="15" customFormat="1" ht="12" x14ac:dyDescent="0.2">
      <c r="A594" s="1444"/>
      <c r="B594" s="851"/>
      <c r="C594" s="859"/>
      <c r="D594" s="859"/>
      <c r="E594" s="924"/>
      <c r="F594" s="924"/>
      <c r="G594" s="924"/>
      <c r="H594" s="924"/>
      <c r="I594" s="924"/>
      <c r="J594" s="924"/>
      <c r="K594" s="859"/>
      <c r="L594" s="859"/>
      <c r="M594" s="859"/>
      <c r="N594" s="2006"/>
    </row>
    <row r="595" spans="1:14" s="15" customFormat="1" ht="12" x14ac:dyDescent="0.2">
      <c r="A595" s="1444"/>
      <c r="B595" s="851"/>
      <c r="C595" s="859"/>
      <c r="D595" s="859"/>
      <c r="E595" s="924"/>
      <c r="F595" s="924"/>
      <c r="G595" s="924"/>
      <c r="H595" s="924"/>
      <c r="I595" s="924"/>
      <c r="J595" s="924"/>
      <c r="K595" s="859"/>
      <c r="L595" s="859"/>
      <c r="M595" s="859"/>
      <c r="N595" s="2006"/>
    </row>
    <row r="596" spans="1:14" s="15" customFormat="1" ht="12" x14ac:dyDescent="0.2">
      <c r="A596" s="1444"/>
      <c r="B596" s="851"/>
      <c r="C596" s="859"/>
      <c r="D596" s="859"/>
      <c r="E596" s="924"/>
      <c r="F596" s="924"/>
      <c r="G596" s="924"/>
      <c r="H596" s="924"/>
      <c r="I596" s="924"/>
      <c r="J596" s="924"/>
      <c r="K596" s="859"/>
      <c r="L596" s="859"/>
      <c r="M596" s="859"/>
      <c r="N596" s="2006"/>
    </row>
    <row r="597" spans="1:14" s="15" customFormat="1" ht="12" x14ac:dyDescent="0.2">
      <c r="A597" s="1444"/>
      <c r="B597" s="851"/>
      <c r="C597" s="859"/>
      <c r="D597" s="859"/>
      <c r="E597" s="924"/>
      <c r="F597" s="924"/>
      <c r="G597" s="924"/>
      <c r="H597" s="924"/>
      <c r="I597" s="924"/>
      <c r="J597" s="924"/>
      <c r="K597" s="859"/>
      <c r="L597" s="859"/>
      <c r="M597" s="859"/>
      <c r="N597" s="2006"/>
    </row>
    <row r="598" spans="1:14" s="15" customFormat="1" ht="12" x14ac:dyDescent="0.2">
      <c r="A598" s="1444"/>
      <c r="B598" s="851"/>
      <c r="C598" s="859"/>
      <c r="D598" s="859"/>
      <c r="E598" s="924"/>
      <c r="F598" s="924"/>
      <c r="G598" s="924"/>
      <c r="H598" s="924"/>
      <c r="I598" s="924"/>
      <c r="J598" s="924"/>
      <c r="K598" s="859"/>
      <c r="L598" s="859"/>
      <c r="M598" s="859"/>
      <c r="N598" s="2006"/>
    </row>
    <row r="599" spans="1:14" s="15" customFormat="1" ht="12" x14ac:dyDescent="0.2">
      <c r="A599" s="1444"/>
      <c r="B599" s="851"/>
      <c r="C599" s="859"/>
      <c r="D599" s="859"/>
      <c r="E599" s="924"/>
      <c r="F599" s="924"/>
      <c r="G599" s="924"/>
      <c r="H599" s="924"/>
      <c r="I599" s="924"/>
      <c r="J599" s="924"/>
      <c r="K599" s="859"/>
      <c r="L599" s="859"/>
      <c r="M599" s="859"/>
      <c r="N599" s="2006"/>
    </row>
    <row r="600" spans="1:14" s="15" customFormat="1" ht="12" x14ac:dyDescent="0.2">
      <c r="A600" s="1444"/>
      <c r="B600" s="851"/>
      <c r="C600" s="859"/>
      <c r="D600" s="859"/>
      <c r="E600" s="924"/>
      <c r="F600" s="924"/>
      <c r="G600" s="924"/>
      <c r="H600" s="924"/>
      <c r="I600" s="924"/>
      <c r="J600" s="924"/>
      <c r="K600" s="859"/>
      <c r="L600" s="859"/>
      <c r="M600" s="859"/>
      <c r="N600" s="2006"/>
    </row>
    <row r="601" spans="1:14" s="15" customFormat="1" ht="12" x14ac:dyDescent="0.2">
      <c r="A601" s="1444"/>
      <c r="B601" s="851"/>
      <c r="C601" s="859"/>
      <c r="D601" s="859"/>
      <c r="E601" s="924"/>
      <c r="F601" s="924"/>
      <c r="G601" s="924"/>
      <c r="H601" s="924"/>
      <c r="I601" s="924"/>
      <c r="J601" s="924"/>
      <c r="K601" s="859"/>
      <c r="L601" s="859"/>
      <c r="M601" s="859"/>
      <c r="N601" s="2006"/>
    </row>
    <row r="602" spans="1:14" s="15" customFormat="1" ht="12" x14ac:dyDescent="0.2">
      <c r="A602" s="1444"/>
      <c r="B602" s="851"/>
      <c r="C602" s="859"/>
      <c r="D602" s="859"/>
      <c r="E602" s="924"/>
      <c r="F602" s="924"/>
      <c r="G602" s="924"/>
      <c r="H602" s="924"/>
      <c r="I602" s="924"/>
      <c r="J602" s="924"/>
      <c r="K602" s="859"/>
      <c r="L602" s="859"/>
      <c r="M602" s="859"/>
      <c r="N602" s="2006"/>
    </row>
    <row r="603" spans="1:14" s="15" customFormat="1" ht="12" x14ac:dyDescent="0.2">
      <c r="A603" s="1444"/>
      <c r="B603" s="851"/>
      <c r="C603" s="859"/>
      <c r="D603" s="859"/>
      <c r="E603" s="924"/>
      <c r="F603" s="924"/>
      <c r="G603" s="924"/>
      <c r="H603" s="924"/>
      <c r="I603" s="924"/>
      <c r="J603" s="924"/>
      <c r="K603" s="859"/>
      <c r="L603" s="859"/>
      <c r="M603" s="859"/>
      <c r="N603" s="2006"/>
    </row>
    <row r="604" spans="1:14" s="15" customFormat="1" ht="12" x14ac:dyDescent="0.2">
      <c r="A604" s="1444"/>
      <c r="B604" s="851"/>
      <c r="C604" s="859"/>
      <c r="D604" s="859"/>
      <c r="E604" s="924"/>
      <c r="F604" s="924"/>
      <c r="G604" s="924"/>
      <c r="H604" s="924"/>
      <c r="I604" s="924"/>
      <c r="J604" s="924"/>
      <c r="K604" s="859"/>
      <c r="L604" s="859"/>
      <c r="M604" s="859"/>
      <c r="N604" s="2006"/>
    </row>
    <row r="605" spans="1:14" s="15" customFormat="1" ht="12" x14ac:dyDescent="0.2">
      <c r="A605" s="1444"/>
      <c r="B605" s="851"/>
      <c r="C605" s="859"/>
      <c r="D605" s="859"/>
      <c r="E605" s="924"/>
      <c r="F605" s="924"/>
      <c r="G605" s="924"/>
      <c r="H605" s="924"/>
      <c r="I605" s="924"/>
      <c r="J605" s="924"/>
      <c r="K605" s="859"/>
      <c r="L605" s="859"/>
      <c r="M605" s="859"/>
      <c r="N605" s="2006"/>
    </row>
    <row r="606" spans="1:14" s="15" customFormat="1" ht="12" x14ac:dyDescent="0.2">
      <c r="A606" s="1444"/>
      <c r="B606" s="851"/>
      <c r="C606" s="859"/>
      <c r="D606" s="859"/>
      <c r="E606" s="924"/>
      <c r="F606" s="924"/>
      <c r="G606" s="924"/>
      <c r="H606" s="924"/>
      <c r="I606" s="924"/>
      <c r="J606" s="924"/>
      <c r="K606" s="859"/>
      <c r="L606" s="859"/>
      <c r="M606" s="859"/>
      <c r="N606" s="2006"/>
    </row>
    <row r="607" spans="1:14" s="15" customFormat="1" ht="12" x14ac:dyDescent="0.2">
      <c r="A607" s="1444"/>
      <c r="B607" s="851"/>
      <c r="C607" s="859"/>
      <c r="D607" s="859"/>
      <c r="E607" s="924"/>
      <c r="F607" s="924"/>
      <c r="G607" s="924"/>
      <c r="H607" s="924"/>
      <c r="I607" s="924"/>
      <c r="J607" s="924"/>
      <c r="K607" s="859"/>
      <c r="L607" s="859"/>
      <c r="M607" s="859"/>
      <c r="N607" s="2006"/>
    </row>
    <row r="608" spans="1:14" s="15" customFormat="1" ht="12" x14ac:dyDescent="0.2">
      <c r="A608" s="1444"/>
      <c r="B608" s="851"/>
      <c r="C608" s="859"/>
      <c r="D608" s="859"/>
      <c r="E608" s="924"/>
      <c r="F608" s="924"/>
      <c r="G608" s="924"/>
      <c r="H608" s="924"/>
      <c r="I608" s="924"/>
      <c r="J608" s="924"/>
      <c r="K608" s="859"/>
      <c r="L608" s="859"/>
      <c r="M608" s="859"/>
      <c r="N608" s="2006"/>
    </row>
    <row r="609" spans="1:14" s="15" customFormat="1" ht="12.75" thickBot="1" x14ac:dyDescent="0.25">
      <c r="A609" s="1994"/>
      <c r="B609" s="1995"/>
      <c r="C609" s="2007"/>
      <c r="D609" s="2007"/>
      <c r="E609" s="1973"/>
      <c r="F609" s="1973"/>
      <c r="G609" s="1973"/>
      <c r="H609" s="1973"/>
      <c r="I609" s="1973"/>
      <c r="J609" s="1973"/>
      <c r="K609" s="2007"/>
      <c r="L609" s="2007"/>
      <c r="M609" s="2007"/>
      <c r="N609" s="2008"/>
    </row>
    <row r="610" spans="1:14" s="15" customFormat="1" ht="12.75" thickTop="1" x14ac:dyDescent="0.2">
      <c r="A610" s="1444"/>
      <c r="B610" s="851"/>
      <c r="C610" s="859"/>
      <c r="D610" s="859"/>
      <c r="E610" s="924"/>
      <c r="F610" s="924"/>
      <c r="G610" s="924"/>
      <c r="H610" s="924"/>
      <c r="I610" s="924"/>
      <c r="J610" s="924"/>
      <c r="K610" s="859"/>
      <c r="L610" s="859"/>
      <c r="M610" s="859"/>
      <c r="N610" s="2009"/>
    </row>
    <row r="611" spans="1:14" s="15" customFormat="1" ht="12" x14ac:dyDescent="0.2">
      <c r="A611" s="395"/>
      <c r="B611" s="70"/>
      <c r="D611" s="2056"/>
      <c r="G611" s="447"/>
      <c r="H611" s="317"/>
      <c r="I611" s="640"/>
      <c r="J611" s="640"/>
      <c r="K611" s="73"/>
      <c r="L611" s="408"/>
      <c r="M611" s="73"/>
      <c r="N611" s="73"/>
    </row>
    <row r="612" spans="1:14" s="15" customFormat="1" ht="12.75" thickBot="1" x14ac:dyDescent="0.25">
      <c r="A612" s="168"/>
      <c r="B612" s="70"/>
      <c r="C612" s="73"/>
      <c r="D612" s="274"/>
      <c r="E612" s="317"/>
      <c r="F612" s="317"/>
      <c r="G612" s="317"/>
      <c r="H612" s="317"/>
      <c r="I612" s="640"/>
      <c r="J612" s="640"/>
      <c r="K612" s="73"/>
      <c r="L612" s="408"/>
      <c r="M612" s="73"/>
      <c r="N612" s="2010"/>
    </row>
    <row r="613" spans="1:14" s="15" customFormat="1" ht="19.5" thickTop="1" x14ac:dyDescent="0.3">
      <c r="A613" s="265" t="s">
        <v>6</v>
      </c>
      <c r="B613" s="260"/>
      <c r="C613" s="198"/>
      <c r="D613" s="198"/>
      <c r="E613" s="360"/>
      <c r="F613" s="360"/>
      <c r="G613" s="360"/>
      <c r="H613" s="360"/>
      <c r="I613" s="654"/>
      <c r="J613" s="654"/>
      <c r="K613" s="198"/>
      <c r="L613" s="655"/>
      <c r="M613" s="198"/>
      <c r="N613" s="256"/>
    </row>
    <row r="614" spans="1:14" s="15" customFormat="1" x14ac:dyDescent="0.25">
      <c r="A614" s="139" t="s">
        <v>310</v>
      </c>
      <c r="B614" s="70"/>
      <c r="C614" s="73"/>
      <c r="D614" s="73"/>
      <c r="E614" s="317"/>
      <c r="F614" s="317"/>
      <c r="G614" s="317"/>
      <c r="H614" s="317"/>
      <c r="I614" s="640"/>
      <c r="J614" s="640"/>
      <c r="K614" s="73"/>
      <c r="L614" s="408"/>
      <c r="M614" s="73"/>
      <c r="N614" s="200"/>
    </row>
    <row r="615" spans="1:14" s="15" customFormat="1" x14ac:dyDescent="0.25">
      <c r="A615" s="139" t="s">
        <v>311</v>
      </c>
      <c r="B615" s="70"/>
      <c r="C615" s="73"/>
      <c r="D615" s="73"/>
      <c r="E615" s="317"/>
      <c r="F615" s="317"/>
      <c r="G615" s="317"/>
      <c r="H615" s="317"/>
      <c r="I615" s="640"/>
      <c r="J615" s="640"/>
      <c r="K615" s="73"/>
      <c r="L615" s="408"/>
      <c r="M615" s="73"/>
      <c r="N615" s="200"/>
    </row>
    <row r="616" spans="1:14" s="15" customFormat="1" x14ac:dyDescent="0.25">
      <c r="A616" s="139" t="s">
        <v>301</v>
      </c>
      <c r="B616" s="70"/>
      <c r="C616" s="73"/>
      <c r="D616" s="73"/>
      <c r="E616" s="317"/>
      <c r="F616" s="317"/>
      <c r="G616" s="317"/>
      <c r="H616" s="317"/>
      <c r="I616" s="640"/>
      <c r="J616" s="640"/>
      <c r="N616" s="269"/>
    </row>
    <row r="617" spans="1:14" s="15" customFormat="1" x14ac:dyDescent="0.25">
      <c r="A617" s="64" t="s">
        <v>296</v>
      </c>
      <c r="B617" s="70"/>
      <c r="C617" s="73"/>
      <c r="D617" s="73"/>
      <c r="E617" s="317"/>
      <c r="F617" s="317"/>
      <c r="G617" s="317"/>
      <c r="H617" s="317"/>
      <c r="I617" s="640"/>
      <c r="J617" s="640"/>
      <c r="K617" s="999"/>
      <c r="L617" s="797"/>
      <c r="M617" s="797"/>
      <c r="N617" s="962"/>
    </row>
    <row r="618" spans="1:14" s="15" customFormat="1" x14ac:dyDescent="0.25">
      <c r="A618" s="64"/>
      <c r="B618" s="70"/>
      <c r="C618" s="73"/>
      <c r="D618" s="73"/>
      <c r="E618" s="317"/>
      <c r="F618" s="317"/>
      <c r="G618" s="317"/>
      <c r="H618" s="317"/>
      <c r="I618" s="640"/>
      <c r="J618" s="640"/>
      <c r="K618" s="999"/>
      <c r="L618" s="797"/>
      <c r="M618" s="797"/>
      <c r="N618" s="962"/>
    </row>
    <row r="619" spans="1:14" s="15" customFormat="1" x14ac:dyDescent="0.25">
      <c r="A619" s="139" t="s">
        <v>300</v>
      </c>
      <c r="B619" s="70"/>
      <c r="C619" s="73"/>
      <c r="D619" s="73"/>
      <c r="E619" s="317"/>
      <c r="F619" s="317"/>
      <c r="G619" s="317"/>
      <c r="H619" s="317"/>
      <c r="I619" s="640"/>
      <c r="J619" s="640"/>
      <c r="K619" s="999"/>
      <c r="L619" s="797"/>
      <c r="M619" s="797"/>
      <c r="N619" s="962"/>
    </row>
    <row r="620" spans="1:14" s="15" customFormat="1" x14ac:dyDescent="0.25">
      <c r="A620" s="139" t="s">
        <v>312</v>
      </c>
      <c r="B620" s="70"/>
      <c r="C620" s="73"/>
      <c r="D620" s="73"/>
      <c r="E620" s="317"/>
      <c r="F620" s="317"/>
      <c r="G620" s="317"/>
      <c r="H620" s="317"/>
      <c r="I620" s="640"/>
      <c r="J620" s="640"/>
      <c r="K620" s="965" t="s">
        <v>585</v>
      </c>
      <c r="L620" s="830"/>
      <c r="M620" s="830"/>
      <c r="N620" s="1436"/>
    </row>
    <row r="621" spans="1:14" s="15" customFormat="1" x14ac:dyDescent="0.25">
      <c r="A621" s="1435"/>
      <c r="B621" s="70"/>
      <c r="C621" s="73"/>
      <c r="D621" s="73"/>
      <c r="E621" s="317"/>
      <c r="F621" s="317"/>
      <c r="G621" s="317"/>
      <c r="H621" s="317"/>
      <c r="I621" s="640"/>
      <c r="J621" s="640"/>
      <c r="K621" s="999"/>
      <c r="L621" s="797"/>
      <c r="M621" s="797"/>
      <c r="N621" s="1436"/>
    </row>
    <row r="622" spans="1:14" s="15" customFormat="1" x14ac:dyDescent="0.25">
      <c r="A622" s="1416" t="s">
        <v>3681</v>
      </c>
      <c r="B622" s="70"/>
      <c r="C622" s="73"/>
      <c r="D622" s="73"/>
      <c r="E622" s="317"/>
      <c r="F622" s="317"/>
      <c r="G622" s="317"/>
      <c r="H622" s="317"/>
      <c r="I622" s="640"/>
      <c r="J622" s="640"/>
      <c r="K622" s="999"/>
      <c r="L622" s="797"/>
      <c r="M622" s="797"/>
      <c r="N622" s="1436"/>
    </row>
    <row r="623" spans="1:14" s="15" customFormat="1" x14ac:dyDescent="0.25">
      <c r="A623" s="64" t="s">
        <v>296</v>
      </c>
      <c r="B623" s="70"/>
      <c r="C623" s="73"/>
      <c r="D623" s="73"/>
      <c r="F623" s="317"/>
      <c r="G623" s="317"/>
      <c r="H623" s="317"/>
      <c r="I623" s="640"/>
      <c r="J623" s="640"/>
      <c r="K623" s="954"/>
      <c r="L623" s="797"/>
      <c r="M623" s="797"/>
      <c r="N623" s="962"/>
    </row>
    <row r="624" spans="1:14" s="15" customFormat="1" ht="16.5" x14ac:dyDescent="0.3">
      <c r="A624" s="139"/>
      <c r="B624" s="70"/>
      <c r="C624" s="1065" t="s">
        <v>331</v>
      </c>
      <c r="D624" s="131"/>
      <c r="E624" s="955"/>
      <c r="F624" s="979"/>
      <c r="G624" s="979" t="s">
        <v>1108</v>
      </c>
      <c r="H624" s="1474"/>
      <c r="I624" s="979" t="s">
        <v>1100</v>
      </c>
      <c r="J624" s="1"/>
      <c r="K624" s="979" t="s">
        <v>1099</v>
      </c>
      <c r="L624" s="172"/>
      <c r="M624" s="797"/>
      <c r="N624" s="962"/>
    </row>
    <row r="625" spans="1:24" s="15" customFormat="1" ht="12.75" thickBot="1" x14ac:dyDescent="0.25">
      <c r="A625" s="168"/>
      <c r="B625" s="70"/>
      <c r="C625" s="73"/>
      <c r="D625" s="73"/>
      <c r="E625" s="317"/>
      <c r="F625" s="317"/>
      <c r="G625" s="317"/>
      <c r="H625" s="317"/>
      <c r="I625" s="640"/>
      <c r="J625" s="640"/>
      <c r="K625" s="73"/>
      <c r="L625" s="408"/>
      <c r="M625" s="73"/>
      <c r="N625" s="200"/>
    </row>
    <row r="626" spans="1:24" s="447" customFormat="1" ht="97.5" thickTop="1" thickBot="1" x14ac:dyDescent="0.25">
      <c r="A626" s="236" t="s">
        <v>142</v>
      </c>
      <c r="B626" s="237" t="s">
        <v>143</v>
      </c>
      <c r="C626" s="371" t="s">
        <v>471</v>
      </c>
      <c r="D626" s="371" t="s">
        <v>472</v>
      </c>
      <c r="E626" s="646" t="s">
        <v>473</v>
      </c>
      <c r="F626" s="646" t="s">
        <v>474</v>
      </c>
      <c r="G626" s="528" t="s">
        <v>475</v>
      </c>
      <c r="H626" s="528" t="s">
        <v>476</v>
      </c>
      <c r="I626" s="656" t="s">
        <v>477</v>
      </c>
      <c r="J626" s="656" t="s">
        <v>478</v>
      </c>
      <c r="K626" s="656" t="s">
        <v>594</v>
      </c>
      <c r="L626" s="2658" t="s">
        <v>2255</v>
      </c>
      <c r="M626" s="2658" t="s">
        <v>3117</v>
      </c>
      <c r="N626" s="2659" t="s">
        <v>2256</v>
      </c>
      <c r="P626" s="15"/>
      <c r="Q626" s="15"/>
      <c r="R626" s="15"/>
      <c r="S626" s="15"/>
      <c r="T626" s="15"/>
      <c r="U626" s="15"/>
      <c r="V626" s="15"/>
      <c r="W626" s="15"/>
      <c r="X626" s="15"/>
    </row>
    <row r="627" spans="1:24" s="15" customFormat="1" ht="12.75" thickTop="1" x14ac:dyDescent="0.2">
      <c r="A627" s="850">
        <f>'1. AgeData'!$D$30</f>
        <v>60</v>
      </c>
      <c r="B627" s="851">
        <f>'1. AgeData'!$D$31</f>
        <v>55</v>
      </c>
      <c r="C627" s="869">
        <f>'7. IRAdata'!$E407</f>
        <v>2500</v>
      </c>
      <c r="D627" s="868">
        <f>'7. IRAdata'!$F407</f>
        <v>2500</v>
      </c>
      <c r="E627" s="837">
        <f>'8. RothData'!E338</f>
        <v>123</v>
      </c>
      <c r="F627" s="837">
        <f>'8. RothData'!F338</f>
        <v>0</v>
      </c>
      <c r="G627" s="869">
        <f>IF(OR(A627&gt;'9. SavingsData'!$G$140,A627&lt;'9. SavingsData'!$G$134),0,'9. SavingsData'!$G$127)*POWER((1+'9. SavingsData'!$G$130),($A$627-$A627))</f>
        <v>1000</v>
      </c>
      <c r="H627" s="837">
        <f>IF(OR(B627&gt;'9. SavingsData'!$G$142,B627&lt;'9. SavingsData'!$G$136),0,'9. SavingsData'!$G$128)*POWER((1+'9. SavingsData'!$G$131),($A$627-$A627))</f>
        <v>0</v>
      </c>
      <c r="I627" s="869">
        <f>C627+E627+G627</f>
        <v>3623</v>
      </c>
      <c r="J627" s="837">
        <f>D627+F627+H627</f>
        <v>2500</v>
      </c>
      <c r="K627" s="869">
        <f>I627+J627</f>
        <v>6123</v>
      </c>
      <c r="L627" s="3042">
        <f>IF(M136=0,0,(I627/M136))</f>
        <v>6.5397111913357399E-3</v>
      </c>
      <c r="M627" s="894">
        <f>IF(N136=0,0,(J627/N136))</f>
        <v>4.5126353790613718E-3</v>
      </c>
      <c r="N627" s="895">
        <f>IF(AND(M136=0,N136=0),0, (K627/(M136+N136)))</f>
        <v>5.5261732851985563E-3</v>
      </c>
    </row>
    <row r="628" spans="1:24" s="15" customFormat="1" ht="12" x14ac:dyDescent="0.2">
      <c r="A628" s="850">
        <f>A627+1</f>
        <v>61</v>
      </c>
      <c r="B628" s="851">
        <f>B627+1</f>
        <v>56</v>
      </c>
      <c r="C628" s="869">
        <f>'7. IRAdata'!$E408</f>
        <v>2500</v>
      </c>
      <c r="D628" s="868">
        <f>'7. IRAdata'!$F408</f>
        <v>2589.75</v>
      </c>
      <c r="E628" s="837">
        <f>'8. RothData'!E339</f>
        <v>1644.845</v>
      </c>
      <c r="F628" s="837">
        <f>'8. RothData'!F339</f>
        <v>2009.9999999999998</v>
      </c>
      <c r="G628" s="869">
        <f>IF(OR(A628&gt;'9. SavingsData'!$G$140,A628&lt;'9. SavingsData'!$G$134),0,'9. SavingsData'!$G$127)*POWER((1+'9. SavingsData'!$G$130),($A$627-$A628))</f>
        <v>990.09900990099004</v>
      </c>
      <c r="H628" s="837">
        <f>IF(OR(B628&gt;'9. SavingsData'!$G$142,B628&lt;'9. SavingsData'!$G$136),0,'9. SavingsData'!$G$128)*POWER((1+'9. SavingsData'!$G$131),($A$627-$A628))</f>
        <v>0</v>
      </c>
      <c r="I628" s="869">
        <f t="shared" ref="I628:I663" si="35">C628+E628+G628</f>
        <v>5134.9440099009898</v>
      </c>
      <c r="J628" s="837">
        <f t="shared" ref="J628:J663" si="36">D628+F628+H628</f>
        <v>4599.75</v>
      </c>
      <c r="K628" s="869">
        <f t="shared" ref="K628:K663" si="37">I628+J628</f>
        <v>9734.6940099009898</v>
      </c>
      <c r="L628" s="3043">
        <f t="shared" ref="L628:M628" si="38">IF(M137=0,0,(I628/M137))</f>
        <v>9.1324011786434577E-3</v>
      </c>
      <c r="M628" s="894">
        <f t="shared" si="38"/>
        <v>8.3441800894574324E-3</v>
      </c>
      <c r="N628" s="895">
        <f t="shared" ref="N628:N663" si="39">IF(AND(M137=0,N137=0),0, (K628/(M137+N137)))</f>
        <v>8.7421927186503764E-3</v>
      </c>
    </row>
    <row r="629" spans="1:24" s="15" customFormat="1" ht="12" x14ac:dyDescent="0.2">
      <c r="A629" s="850">
        <f t="shared" ref="A629:B644" si="40">A628+1</f>
        <v>62</v>
      </c>
      <c r="B629" s="851">
        <f t="shared" si="40"/>
        <v>57</v>
      </c>
      <c r="C629" s="869">
        <f>'7. IRAdata'!$E409</f>
        <v>2500</v>
      </c>
      <c r="D629" s="868">
        <f>'7. IRAdata'!$F409</f>
        <v>2682.722025</v>
      </c>
      <c r="E629" s="837">
        <f>'8. RothData'!E340</f>
        <v>2187.2176749999999</v>
      </c>
      <c r="F629" s="837">
        <f>'8. RothData'!F340</f>
        <v>2020.0499999999995</v>
      </c>
      <c r="G629" s="869">
        <f>IF(OR(A629&gt;'9. SavingsData'!$G$140,A629&lt;'9. SavingsData'!$G$134),0,'9. SavingsData'!$G$127)*POWER((1+'9. SavingsData'!$G$130),($A$627-$A629))</f>
        <v>980.29604940692082</v>
      </c>
      <c r="H629" s="837">
        <f>IF(OR(B629&gt;'9. SavingsData'!$G$142,B629&lt;'9. SavingsData'!$G$136),0,'9. SavingsData'!$G$128)*POWER((1+'9. SavingsData'!$G$131),($A$627-$A629))</f>
        <v>0</v>
      </c>
      <c r="I629" s="869">
        <f t="shared" si="35"/>
        <v>5667.513724406921</v>
      </c>
      <c r="J629" s="837">
        <f t="shared" si="36"/>
        <v>4702.7720249999993</v>
      </c>
      <c r="K629" s="869">
        <f t="shared" si="37"/>
        <v>10370.285749406921</v>
      </c>
      <c r="L629" s="3043">
        <f t="shared" ref="L629:M629" si="41">IF(M138=0,0,(I629/M138))</f>
        <v>9.9117513746774417E-3</v>
      </c>
      <c r="M629" s="894">
        <f t="shared" si="41"/>
        <v>8.5568139413443045E-3</v>
      </c>
      <c r="N629" s="895">
        <f t="shared" si="39"/>
        <v>9.2476965651630653E-3</v>
      </c>
    </row>
    <row r="630" spans="1:24" s="15" customFormat="1" ht="12" x14ac:dyDescent="0.2">
      <c r="A630" s="850">
        <f t="shared" si="40"/>
        <v>63</v>
      </c>
      <c r="B630" s="851">
        <f t="shared" si="40"/>
        <v>58</v>
      </c>
      <c r="C630" s="869">
        <f>'7. IRAdata'!$E410</f>
        <v>3667.3288000000002</v>
      </c>
      <c r="D630" s="868">
        <f>'7. IRAdata'!$F410</f>
        <v>2779.0317456974999</v>
      </c>
      <c r="E630" s="837">
        <f>'8. RothData'!E341</f>
        <v>1158.9194401249999</v>
      </c>
      <c r="F630" s="837">
        <f>'8. RothData'!F341</f>
        <v>3303.5998499999992</v>
      </c>
      <c r="G630" s="869">
        <f>IF(OR(A630&gt;'9. SavingsData'!$G$140,A630&lt;'9. SavingsData'!$G$134),0,'9. SavingsData'!$G$127)*POWER((1+'9. SavingsData'!$G$130),($A$627-$A630))</f>
        <v>970.59014792764458</v>
      </c>
      <c r="H630" s="837">
        <f>IF(OR(B630&gt;'9. SavingsData'!$G$142,B630&lt;'9. SavingsData'!$G$136),0,'9. SavingsData'!$G$128)*POWER((1+'9. SavingsData'!$G$131),($A$627-$A630))</f>
        <v>1200</v>
      </c>
      <c r="I630" s="869">
        <f t="shared" si="35"/>
        <v>5796.8383880526444</v>
      </c>
      <c r="J630" s="837">
        <f t="shared" si="36"/>
        <v>7282.6315956974995</v>
      </c>
      <c r="K630" s="869">
        <f t="shared" si="37"/>
        <v>13079.469983750143</v>
      </c>
      <c r="L630" s="3043">
        <f t="shared" ref="L630:M630" si="42">IF(M139=0,0,(I630/M139))</f>
        <v>9.8997002825187037E-3</v>
      </c>
      <c r="M630" s="894">
        <f t="shared" si="42"/>
        <v>1.319835209448912E-2</v>
      </c>
      <c r="N630" s="895">
        <f t="shared" si="39"/>
        <v>1.1500049112898954E-2</v>
      </c>
    </row>
    <row r="631" spans="1:24" s="15" customFormat="1" ht="12" x14ac:dyDescent="0.2">
      <c r="A631" s="850">
        <f t="shared" si="40"/>
        <v>64</v>
      </c>
      <c r="B631" s="851">
        <f t="shared" si="40"/>
        <v>59</v>
      </c>
      <c r="C631" s="869">
        <f>'7. IRAdata'!$E411</f>
        <v>2500</v>
      </c>
      <c r="D631" s="868">
        <f>'7. IRAdata'!$F411</f>
        <v>3907.10953736804</v>
      </c>
      <c r="E631" s="837">
        <f>'8. RothData'!E342</f>
        <v>1171.151726726875</v>
      </c>
      <c r="F631" s="837">
        <f>'8. RothData'!F342</f>
        <v>0</v>
      </c>
      <c r="G631" s="869">
        <f>IF(OR(A631&gt;'9. SavingsData'!$G$140,A631&lt;'9. SavingsData'!$G$134),0,'9. SavingsData'!$G$127)*POWER((1+'9. SavingsData'!$G$130),($A$627-$A631))</f>
        <v>0</v>
      </c>
      <c r="H631" s="837">
        <f>IF(OR(B631&gt;'9. SavingsData'!$G$142,B631&lt;'9. SavingsData'!$G$136),0,'9. SavingsData'!$G$128)*POWER((1+'9. SavingsData'!$G$131),($A$627-$A631))</f>
        <v>1200</v>
      </c>
      <c r="I631" s="869">
        <f t="shared" si="35"/>
        <v>3671.151726726875</v>
      </c>
      <c r="J631" s="837">
        <f t="shared" si="36"/>
        <v>5107.10953736804</v>
      </c>
      <c r="K631" s="869">
        <f t="shared" si="37"/>
        <v>8778.2612640949155</v>
      </c>
      <c r="L631" s="3043">
        <f t="shared" ref="L631:M631" si="43">IF(M140=0,0,(I631/M140))</f>
        <v>6.3876554924501335E-3</v>
      </c>
      <c r="M631" s="894">
        <f t="shared" si="43"/>
        <v>9.618669685067029E-3</v>
      </c>
      <c r="N631" s="895">
        <f t="shared" si="39"/>
        <v>7.9392134517821174E-3</v>
      </c>
    </row>
    <row r="632" spans="1:24" s="15" customFormat="1" ht="12" x14ac:dyDescent="0.2">
      <c r="A632" s="850">
        <f t="shared" si="40"/>
        <v>65</v>
      </c>
      <c r="B632" s="851">
        <f t="shared" si="40"/>
        <v>60</v>
      </c>
      <c r="C632" s="869">
        <f>'7. IRAdata'!$E412</f>
        <v>0</v>
      </c>
      <c r="D632" s="868">
        <f>'7. IRAdata'!$F412</f>
        <v>2982.1478689427527</v>
      </c>
      <c r="E632" s="837">
        <f>'8. RothData'!E343</f>
        <v>0</v>
      </c>
      <c r="F632" s="837">
        <f>'8. RothData'!F343</f>
        <v>0</v>
      </c>
      <c r="G632" s="869">
        <f>IF(OR(A632&gt;'9. SavingsData'!$G$140,A632&lt;'9. SavingsData'!$G$134),0,'9. SavingsData'!$G$127)*POWER((1+'9. SavingsData'!$G$130),($A$627-$A632))</f>
        <v>0</v>
      </c>
      <c r="H632" s="837">
        <f>IF(OR(B632&gt;'9. SavingsData'!$G$142,B632&lt;'9. SavingsData'!$G$136),0,'9. SavingsData'!$G$128)*POWER((1+'9. SavingsData'!$G$131),($A$627-$A632))</f>
        <v>1200</v>
      </c>
      <c r="I632" s="869">
        <f t="shared" si="35"/>
        <v>0</v>
      </c>
      <c r="J632" s="837">
        <f t="shared" si="36"/>
        <v>4182.1478689427531</v>
      </c>
      <c r="K632" s="869">
        <f t="shared" si="37"/>
        <v>4182.1478689427531</v>
      </c>
      <c r="L632" s="3043">
        <f t="shared" ref="L632:M632" si="44">IF(M141=0,0,(I632/M141))</f>
        <v>0</v>
      </c>
      <c r="M632" s="894">
        <f t="shared" si="44"/>
        <v>8.2904156762937369E-3</v>
      </c>
      <c r="N632" s="895">
        <f t="shared" si="39"/>
        <v>3.9401603130855166E-3</v>
      </c>
    </row>
    <row r="633" spans="1:24" s="15" customFormat="1" ht="12" x14ac:dyDescent="0.2">
      <c r="A633" s="850">
        <f t="shared" si="40"/>
        <v>66</v>
      </c>
      <c r="B633" s="851">
        <f t="shared" si="40"/>
        <v>61</v>
      </c>
      <c r="C633" s="869">
        <f>'7. IRAdata'!$E413</f>
        <v>0</v>
      </c>
      <c r="D633" s="868">
        <f>'7. IRAdata'!$F413</f>
        <v>3089.2069774377978</v>
      </c>
      <c r="E633" s="837">
        <f>'8. RothData'!E344</f>
        <v>0</v>
      </c>
      <c r="F633" s="837">
        <f>'8. RothData'!F344</f>
        <v>0</v>
      </c>
      <c r="G633" s="869">
        <f>IF(OR(A633&gt;'9. SavingsData'!$G$140,A633&lt;'9. SavingsData'!$G$134),0,'9. SavingsData'!$G$127)*POWER((1+'9. SavingsData'!$G$130),($A$627-$A633))</f>
        <v>0</v>
      </c>
      <c r="H633" s="837">
        <f>IF(OR(B633&gt;'9. SavingsData'!$G$142,B633&lt;'9. SavingsData'!$G$136),0,'9. SavingsData'!$G$128)*POWER((1+'9. SavingsData'!$G$131),($A$627-$A633))</f>
        <v>1200</v>
      </c>
      <c r="I633" s="869">
        <f t="shared" si="35"/>
        <v>0</v>
      </c>
      <c r="J633" s="837">
        <f t="shared" si="36"/>
        <v>4289.2069774377978</v>
      </c>
      <c r="K633" s="869">
        <f t="shared" si="37"/>
        <v>4289.2069774377978</v>
      </c>
      <c r="L633" s="3043">
        <f t="shared" ref="L633:M633" si="45">IF(M142=0,0,(I633/M142))</f>
        <v>0</v>
      </c>
      <c r="M633" s="894">
        <f t="shared" si="45"/>
        <v>8.7944465643585573E-3</v>
      </c>
      <c r="N633" s="895">
        <f t="shared" si="39"/>
        <v>4.1363004466059916E-3</v>
      </c>
    </row>
    <row r="634" spans="1:24" s="15" customFormat="1" ht="12" x14ac:dyDescent="0.2">
      <c r="A634" s="873">
        <f t="shared" si="40"/>
        <v>67</v>
      </c>
      <c r="B634" s="874">
        <f t="shared" si="40"/>
        <v>62</v>
      </c>
      <c r="C634" s="869">
        <f>'7. IRAdata'!$E414</f>
        <v>0</v>
      </c>
      <c r="D634" s="868">
        <f>'7. IRAdata'!$F414</f>
        <v>3200.1095079278148</v>
      </c>
      <c r="E634" s="837">
        <f>'8. RothData'!E345</f>
        <v>0</v>
      </c>
      <c r="F634" s="837">
        <f>'8. RothData'!F345</f>
        <v>0</v>
      </c>
      <c r="G634" s="869">
        <f>IF(OR(A634&gt;'9. SavingsData'!$G$140,A634&lt;'9. SavingsData'!$G$134),0,'9. SavingsData'!$G$127)*POWER((1+'9. SavingsData'!$G$130),($A$627-$A634))</f>
        <v>0</v>
      </c>
      <c r="H634" s="837">
        <f>IF(OR(B634&gt;'9. SavingsData'!$G$142,B634&lt;'9. SavingsData'!$G$136),0,'9. SavingsData'!$G$128)*POWER((1+'9. SavingsData'!$G$131),($A$627-$A634))</f>
        <v>1200</v>
      </c>
      <c r="I634" s="869">
        <f t="shared" si="35"/>
        <v>0</v>
      </c>
      <c r="J634" s="837">
        <f t="shared" si="36"/>
        <v>4400.1095079278148</v>
      </c>
      <c r="K634" s="869">
        <f t="shared" si="37"/>
        <v>4400.1095079278148</v>
      </c>
      <c r="L634" s="3043">
        <f t="shared" ref="L634:M634" si="46">IF(M143=0,0,(I634/M143))</f>
        <v>0</v>
      </c>
      <c r="M634" s="894">
        <f t="shared" si="46"/>
        <v>8.4488563019367979E-3</v>
      </c>
      <c r="N634" s="895">
        <f t="shared" si="39"/>
        <v>3.9321043692631293E-3</v>
      </c>
    </row>
    <row r="635" spans="1:24" s="15" customFormat="1" ht="12" x14ac:dyDescent="0.2">
      <c r="A635" s="873">
        <f t="shared" si="40"/>
        <v>68</v>
      </c>
      <c r="B635" s="874">
        <f t="shared" si="40"/>
        <v>63</v>
      </c>
      <c r="C635" s="869">
        <f>'7. IRAdata'!$E415</f>
        <v>0</v>
      </c>
      <c r="D635" s="868">
        <f>'7. IRAdata'!$F415</f>
        <v>3314.9934392624232</v>
      </c>
      <c r="E635" s="837">
        <f>'8. RothData'!E346</f>
        <v>0</v>
      </c>
      <c r="F635" s="837">
        <f>'8. RothData'!F346</f>
        <v>0</v>
      </c>
      <c r="G635" s="869">
        <f>IF(OR(A635&gt;'9. SavingsData'!$G$140,A635&lt;'9. SavingsData'!$G$134),0,'9. SavingsData'!$G$127)*POWER((1+'9. SavingsData'!$G$130),($A$627-$A635))</f>
        <v>0</v>
      </c>
      <c r="H635" s="837">
        <f>IF(OR(B635&gt;'9. SavingsData'!$G$142,B635&lt;'9. SavingsData'!$G$136),0,'9. SavingsData'!$G$128)*POWER((1+'9. SavingsData'!$G$131),($A$627-$A635))</f>
        <v>1200</v>
      </c>
      <c r="I635" s="869">
        <f t="shared" si="35"/>
        <v>0</v>
      </c>
      <c r="J635" s="837">
        <f t="shared" si="36"/>
        <v>4514.9934392624236</v>
      </c>
      <c r="K635" s="869">
        <f t="shared" si="37"/>
        <v>4514.9934392624236</v>
      </c>
      <c r="L635" s="3043">
        <f t="shared" ref="L635:M635" si="47">IF(M144=0,0,(I635/M144))</f>
        <v>0</v>
      </c>
      <c r="M635" s="894">
        <f t="shared" si="47"/>
        <v>8.1709335228318161E-3</v>
      </c>
      <c r="N635" s="895">
        <f t="shared" si="39"/>
        <v>3.7625299779106068E-3</v>
      </c>
    </row>
    <row r="636" spans="1:24" s="15" customFormat="1" ht="12" x14ac:dyDescent="0.2">
      <c r="A636" s="873">
        <f t="shared" si="40"/>
        <v>69</v>
      </c>
      <c r="B636" s="874">
        <f t="shared" si="40"/>
        <v>64</v>
      </c>
      <c r="C636" s="869">
        <f>'7. IRAdata'!$E416</f>
        <v>0</v>
      </c>
      <c r="D636" s="868">
        <f>'7. IRAdata'!$F416</f>
        <v>3434.0017037319444</v>
      </c>
      <c r="E636" s="837">
        <f>'8. RothData'!E347</f>
        <v>0</v>
      </c>
      <c r="F636" s="837">
        <f>'8. RothData'!F347</f>
        <v>0</v>
      </c>
      <c r="G636" s="869">
        <f>IF(OR(A636&gt;'9. SavingsData'!$G$140,A636&lt;'9. SavingsData'!$G$134),0,'9. SavingsData'!$G$127)*POWER((1+'9. SavingsData'!$G$130),($A$627-$A636))</f>
        <v>0</v>
      </c>
      <c r="H636" s="837">
        <f>IF(OR(B636&gt;'9. SavingsData'!$G$142,B636&lt;'9. SavingsData'!$G$136),0,'9. SavingsData'!$G$128)*POWER((1+'9. SavingsData'!$G$131),($A$627-$A636))</f>
        <v>1200</v>
      </c>
      <c r="I636" s="869">
        <f t="shared" si="35"/>
        <v>0</v>
      </c>
      <c r="J636" s="837">
        <f t="shared" si="36"/>
        <v>4634.0017037319449</v>
      </c>
      <c r="K636" s="869">
        <f t="shared" si="37"/>
        <v>4634.0017037319449</v>
      </c>
      <c r="L636" s="3043">
        <f t="shared" ref="L636:M636" si="48">IF(M145=0,0,(I636/M145))</f>
        <v>0</v>
      </c>
      <c r="M636" s="894">
        <f t="shared" si="48"/>
        <v>8.0235989123045148E-3</v>
      </c>
      <c r="N636" s="895">
        <f t="shared" si="39"/>
        <v>3.655243986972406E-3</v>
      </c>
    </row>
    <row r="637" spans="1:24" s="15" customFormat="1" ht="12" x14ac:dyDescent="0.2">
      <c r="A637" s="850">
        <f t="shared" si="40"/>
        <v>70</v>
      </c>
      <c r="B637" s="851">
        <f t="shared" si="40"/>
        <v>65</v>
      </c>
      <c r="C637" s="869">
        <f>'7. IRAdata'!$E417</f>
        <v>0</v>
      </c>
      <c r="D637" s="868">
        <f>'7. IRAdata'!$F417</f>
        <v>0</v>
      </c>
      <c r="E637" s="837">
        <f>'8. RothData'!E348</f>
        <v>0</v>
      </c>
      <c r="F637" s="837">
        <f>'8. RothData'!F348</f>
        <v>0</v>
      </c>
      <c r="G637" s="869">
        <f>IF(OR(A637&gt;'9. SavingsData'!$G$140,A637&lt;'9. SavingsData'!$G$134),0,'9. SavingsData'!$G$127)*POWER((1+'9. SavingsData'!$G$130),($A$627-$A637))</f>
        <v>0</v>
      </c>
      <c r="H637" s="837">
        <f>IF(OR(B637&gt;'9. SavingsData'!$G$142,B637&lt;'9. SavingsData'!$G$136),0,'9. SavingsData'!$G$128)*POWER((1+'9. SavingsData'!$G$131),($A$627-$A637))</f>
        <v>1200</v>
      </c>
      <c r="I637" s="869">
        <f t="shared" si="35"/>
        <v>0</v>
      </c>
      <c r="J637" s="837">
        <f t="shared" si="36"/>
        <v>1200</v>
      </c>
      <c r="K637" s="869">
        <f t="shared" si="37"/>
        <v>1200</v>
      </c>
      <c r="L637" s="3043">
        <f t="shared" ref="L637:M637" si="49">IF(M146=0,0,(I637/M146))</f>
        <v>0</v>
      </c>
      <c r="M637" s="894">
        <f t="shared" si="49"/>
        <v>1.9668989957222671E-3</v>
      </c>
      <c r="N637" s="895">
        <f t="shared" si="39"/>
        <v>8.8639204226881947E-4</v>
      </c>
    </row>
    <row r="638" spans="1:24" s="15" customFormat="1" ht="12" x14ac:dyDescent="0.2">
      <c r="A638" s="850">
        <f t="shared" si="40"/>
        <v>71</v>
      </c>
      <c r="B638" s="851">
        <f t="shared" si="40"/>
        <v>66</v>
      </c>
      <c r="C638" s="869">
        <f>'7. IRAdata'!$E418</f>
        <v>0</v>
      </c>
      <c r="D638" s="868">
        <f>'7. IRAdata'!$F418</f>
        <v>0</v>
      </c>
      <c r="E638" s="837">
        <f>'8. RothData'!E349</f>
        <v>0</v>
      </c>
      <c r="F638" s="837">
        <f>'8. RothData'!F349</f>
        <v>0</v>
      </c>
      <c r="G638" s="869">
        <f>IF(OR(A638&gt;'9. SavingsData'!$G$140,A638&lt;'9. SavingsData'!$G$134),0,'9. SavingsData'!$G$127)*POWER((1+'9. SavingsData'!$G$130),($A$627-$A638))</f>
        <v>0</v>
      </c>
      <c r="H638" s="837">
        <f>IF(OR(B638&gt;'9. SavingsData'!$G$142,B638&lt;'9. SavingsData'!$G$136),0,'9. SavingsData'!$G$128)*POWER((1+'9. SavingsData'!$G$131),($A$627-$A638))</f>
        <v>1200</v>
      </c>
      <c r="I638" s="869">
        <f t="shared" si="35"/>
        <v>0</v>
      </c>
      <c r="J638" s="837">
        <f t="shared" si="36"/>
        <v>1200</v>
      </c>
      <c r="K638" s="869">
        <f t="shared" si="37"/>
        <v>1200</v>
      </c>
      <c r="L638" s="3043">
        <f t="shared" ref="L638:M638" si="50">IF(M147=0,0,(I638/M147))</f>
        <v>0</v>
      </c>
      <c r="M638" s="894">
        <f t="shared" si="50"/>
        <v>1.8264038917702541E-3</v>
      </c>
      <c r="N638" s="895">
        <f t="shared" si="39"/>
        <v>8.1413248111824015E-4</v>
      </c>
    </row>
    <row r="639" spans="1:24" s="15" customFormat="1" ht="12" x14ac:dyDescent="0.2">
      <c r="A639" s="850">
        <f t="shared" si="40"/>
        <v>72</v>
      </c>
      <c r="B639" s="851">
        <f t="shared" si="40"/>
        <v>67</v>
      </c>
      <c r="C639" s="869">
        <f>'7. IRAdata'!$E419</f>
        <v>0</v>
      </c>
      <c r="D639" s="868">
        <f>'7. IRAdata'!$F419</f>
        <v>0</v>
      </c>
      <c r="E639" s="837">
        <f>'8. RothData'!E350</f>
        <v>0</v>
      </c>
      <c r="F639" s="837">
        <f>'8. RothData'!F350</f>
        <v>0</v>
      </c>
      <c r="G639" s="869">
        <f>IF(OR(A639&gt;'9. SavingsData'!$G$140,A639&lt;'9. SavingsData'!$G$134),0,'9. SavingsData'!$G$127)*POWER((1+'9. SavingsData'!$G$130),($A$627-$A639))</f>
        <v>0</v>
      </c>
      <c r="H639" s="837">
        <f>IF(OR(B639&gt;'9. SavingsData'!$G$142,B639&lt;'9. SavingsData'!$G$136),0,'9. SavingsData'!$G$128)*POWER((1+'9. SavingsData'!$G$131),($A$627-$A639))</f>
        <v>1200</v>
      </c>
      <c r="I639" s="869">
        <f t="shared" si="35"/>
        <v>0</v>
      </c>
      <c r="J639" s="837">
        <f t="shared" si="36"/>
        <v>1200</v>
      </c>
      <c r="K639" s="869">
        <f t="shared" si="37"/>
        <v>1200</v>
      </c>
      <c r="L639" s="3043">
        <f t="shared" ref="L639:M639" si="51">IF(M148=0,0,(I639/M148))</f>
        <v>0</v>
      </c>
      <c r="M639" s="894">
        <f t="shared" si="51"/>
        <v>1.6903381060942486E-3</v>
      </c>
      <c r="N639" s="895">
        <f t="shared" si="39"/>
        <v>7.4521953970971961E-4</v>
      </c>
    </row>
    <row r="640" spans="1:24" s="15" customFormat="1" ht="12" x14ac:dyDescent="0.2">
      <c r="A640" s="850">
        <f t="shared" si="40"/>
        <v>73</v>
      </c>
      <c r="B640" s="851">
        <f t="shared" si="40"/>
        <v>68</v>
      </c>
      <c r="C640" s="869">
        <f>'7. IRAdata'!$E420</f>
        <v>0</v>
      </c>
      <c r="D640" s="868">
        <f>'7. IRAdata'!$F420</f>
        <v>0</v>
      </c>
      <c r="E640" s="837">
        <f>'8. RothData'!E351</f>
        <v>0</v>
      </c>
      <c r="F640" s="837">
        <f>'8. RothData'!F351</f>
        <v>0</v>
      </c>
      <c r="G640" s="869">
        <f>IF(OR(A640&gt;'9. SavingsData'!$G$140,A640&lt;'9. SavingsData'!$G$134),0,'9. SavingsData'!$G$127)*POWER((1+'9. SavingsData'!$G$130),($A$627-$A640))</f>
        <v>0</v>
      </c>
      <c r="H640" s="837">
        <f>IF(OR(B640&gt;'9. SavingsData'!$G$142,B640&lt;'9. SavingsData'!$G$136),0,'9. SavingsData'!$G$128)*POWER((1+'9. SavingsData'!$G$131),($A$627-$A640))</f>
        <v>1200</v>
      </c>
      <c r="I640" s="869">
        <f t="shared" si="35"/>
        <v>0</v>
      </c>
      <c r="J640" s="837">
        <f t="shared" si="36"/>
        <v>1200</v>
      </c>
      <c r="K640" s="869">
        <f t="shared" si="37"/>
        <v>1200</v>
      </c>
      <c r="L640" s="3043">
        <f t="shared" ref="L640:M640" si="52">IF(M149=0,0,(I640/M149))</f>
        <v>0</v>
      </c>
      <c r="M640" s="894">
        <f t="shared" si="52"/>
        <v>1.6190579417739101E-3</v>
      </c>
      <c r="N640" s="895">
        <f t="shared" si="39"/>
        <v>7.0590044529718473E-4</v>
      </c>
    </row>
    <row r="641" spans="1:14" s="15" customFormat="1" ht="12" x14ac:dyDescent="0.2">
      <c r="A641" s="873">
        <f t="shared" si="40"/>
        <v>74</v>
      </c>
      <c r="B641" s="874">
        <f t="shared" si="40"/>
        <v>69</v>
      </c>
      <c r="C641" s="866">
        <f>'7. IRAdata'!$E421</f>
        <v>0</v>
      </c>
      <c r="D641" s="875">
        <f>'7. IRAdata'!$F421</f>
        <v>0</v>
      </c>
      <c r="E641" s="867">
        <f>'8. RothData'!E352</f>
        <v>0</v>
      </c>
      <c r="F641" s="867">
        <f>'8. RothData'!F352</f>
        <v>0</v>
      </c>
      <c r="G641" s="866">
        <f>IF(OR(A641&gt;'9. SavingsData'!$G$140,A641&lt;'9. SavingsData'!$G$134),0,'9. SavingsData'!$G$127)*POWER((1+'9. SavingsData'!$G$130),($A$627-$A641))</f>
        <v>0</v>
      </c>
      <c r="H641" s="867">
        <f>IF(OR(B641&gt;'9. SavingsData'!$G$142,B641&lt;'9. SavingsData'!$G$136),0,'9. SavingsData'!$G$128)*POWER((1+'9. SavingsData'!$G$131),($A$627-$A641))</f>
        <v>0</v>
      </c>
      <c r="I641" s="866">
        <f t="shared" si="35"/>
        <v>0</v>
      </c>
      <c r="J641" s="867">
        <f t="shared" si="36"/>
        <v>0</v>
      </c>
      <c r="K641" s="866">
        <f t="shared" si="37"/>
        <v>0</v>
      </c>
      <c r="L641" s="3043">
        <f t="shared" ref="L641:M641" si="53">IF(M150=0,0,(I641/M150))</f>
        <v>0</v>
      </c>
      <c r="M641" s="894">
        <f t="shared" si="53"/>
        <v>0</v>
      </c>
      <c r="N641" s="895">
        <f t="shared" si="39"/>
        <v>0</v>
      </c>
    </row>
    <row r="642" spans="1:14" s="15" customFormat="1" ht="12" x14ac:dyDescent="0.2">
      <c r="A642" s="850">
        <f t="shared" si="40"/>
        <v>75</v>
      </c>
      <c r="B642" s="851">
        <f t="shared" si="40"/>
        <v>70</v>
      </c>
      <c r="C642" s="869">
        <f>'7. IRAdata'!$E422</f>
        <v>0</v>
      </c>
      <c r="D642" s="868">
        <f>'7. IRAdata'!$F422</f>
        <v>0</v>
      </c>
      <c r="E642" s="837">
        <f>'8. RothData'!E353</f>
        <v>0</v>
      </c>
      <c r="F642" s="837">
        <f>'8. RothData'!F353</f>
        <v>0</v>
      </c>
      <c r="G642" s="869">
        <f>IF(OR(A642&gt;'9. SavingsData'!$G$140,A642&lt;'9. SavingsData'!$G$134),0,'9. SavingsData'!$G$127)*POWER((1+'9. SavingsData'!$G$130),($A$627-$A642))</f>
        <v>0</v>
      </c>
      <c r="H642" s="837">
        <f>IF(OR(B642&gt;'9. SavingsData'!$G$142,B642&lt;'9. SavingsData'!$G$136),0,'9. SavingsData'!$G$128)*POWER((1+'9. SavingsData'!$G$131),($A$627-$A642))</f>
        <v>0</v>
      </c>
      <c r="I642" s="869">
        <f t="shared" si="35"/>
        <v>0</v>
      </c>
      <c r="J642" s="837">
        <f t="shared" si="36"/>
        <v>0</v>
      </c>
      <c r="K642" s="869">
        <f t="shared" si="37"/>
        <v>0</v>
      </c>
      <c r="L642" s="3043">
        <f t="shared" ref="L642:M642" si="54">IF(M151=0,0,(I642/M151))</f>
        <v>0</v>
      </c>
      <c r="M642" s="894">
        <f t="shared" si="54"/>
        <v>0</v>
      </c>
      <c r="N642" s="895">
        <f t="shared" si="39"/>
        <v>0</v>
      </c>
    </row>
    <row r="643" spans="1:14" s="15" customFormat="1" ht="12" x14ac:dyDescent="0.2">
      <c r="A643" s="850">
        <f t="shared" si="40"/>
        <v>76</v>
      </c>
      <c r="B643" s="851">
        <f t="shared" si="40"/>
        <v>71</v>
      </c>
      <c r="C643" s="869">
        <f>'7. IRAdata'!$E423</f>
        <v>0</v>
      </c>
      <c r="D643" s="868">
        <f>'7. IRAdata'!$F423</f>
        <v>0</v>
      </c>
      <c r="E643" s="837">
        <f>'8. RothData'!E354</f>
        <v>0</v>
      </c>
      <c r="F643" s="837">
        <f>'8. RothData'!F354</f>
        <v>0</v>
      </c>
      <c r="G643" s="869">
        <f>IF(OR(A643&gt;'9. SavingsData'!$G$140,A643&lt;'9. SavingsData'!$G$134),0,'9. SavingsData'!$G$127)*POWER((1+'9. SavingsData'!$G$130),($A$627-$A643))</f>
        <v>0</v>
      </c>
      <c r="H643" s="837">
        <f>IF(OR(B643&gt;'9. SavingsData'!$G$142,B643&lt;'9. SavingsData'!$G$136),0,'9. SavingsData'!$G$128)*POWER((1+'9. SavingsData'!$G$131),($A$627-$A643))</f>
        <v>0</v>
      </c>
      <c r="I643" s="869">
        <f t="shared" si="35"/>
        <v>0</v>
      </c>
      <c r="J643" s="837">
        <f t="shared" si="36"/>
        <v>0</v>
      </c>
      <c r="K643" s="869">
        <f t="shared" si="37"/>
        <v>0</v>
      </c>
      <c r="L643" s="3043">
        <f t="shared" ref="L643:M643" si="55">IF(M152=0,0,(I643/M152))</f>
        <v>0</v>
      </c>
      <c r="M643" s="894">
        <f t="shared" si="55"/>
        <v>0</v>
      </c>
      <c r="N643" s="895">
        <f t="shared" si="39"/>
        <v>0</v>
      </c>
    </row>
    <row r="644" spans="1:14" s="15" customFormat="1" ht="12" x14ac:dyDescent="0.2">
      <c r="A644" s="850">
        <f t="shared" si="40"/>
        <v>77</v>
      </c>
      <c r="B644" s="851">
        <f t="shared" si="40"/>
        <v>72</v>
      </c>
      <c r="C644" s="869">
        <f>'7. IRAdata'!$E424</f>
        <v>0</v>
      </c>
      <c r="D644" s="868">
        <f>'7. IRAdata'!$F424</f>
        <v>0</v>
      </c>
      <c r="E644" s="837">
        <f>'8. RothData'!E355</f>
        <v>0</v>
      </c>
      <c r="F644" s="837">
        <f>'8. RothData'!F355</f>
        <v>0</v>
      </c>
      <c r="G644" s="869">
        <f>IF(OR(A644&gt;'9. SavingsData'!$G$140,A644&lt;'9. SavingsData'!$G$134),0,'9. SavingsData'!$G$127)*POWER((1+'9. SavingsData'!$G$130),($A$627-$A644))</f>
        <v>0</v>
      </c>
      <c r="H644" s="837">
        <f>IF(OR(B644&gt;'9. SavingsData'!$G$142,B644&lt;'9. SavingsData'!$G$136),0,'9. SavingsData'!$G$128)*POWER((1+'9. SavingsData'!$G$131),($A$627-$A644))</f>
        <v>0</v>
      </c>
      <c r="I644" s="869">
        <f t="shared" si="35"/>
        <v>0</v>
      </c>
      <c r="J644" s="837">
        <f t="shared" si="36"/>
        <v>0</v>
      </c>
      <c r="K644" s="869">
        <f t="shared" si="37"/>
        <v>0</v>
      </c>
      <c r="L644" s="3043">
        <f t="shared" ref="L644:M644" si="56">IF(M153=0,0,(I644/M153))</f>
        <v>0</v>
      </c>
      <c r="M644" s="894">
        <f t="shared" si="56"/>
        <v>0</v>
      </c>
      <c r="N644" s="895">
        <f t="shared" si="39"/>
        <v>0</v>
      </c>
    </row>
    <row r="645" spans="1:14" s="15" customFormat="1" ht="12" x14ac:dyDescent="0.2">
      <c r="A645" s="850">
        <f t="shared" ref="A645:B660" si="57">A644+1</f>
        <v>78</v>
      </c>
      <c r="B645" s="851">
        <f t="shared" si="57"/>
        <v>73</v>
      </c>
      <c r="C645" s="869">
        <f>'7. IRAdata'!$E425</f>
        <v>0</v>
      </c>
      <c r="D645" s="868">
        <f>'7. IRAdata'!$F425</f>
        <v>0</v>
      </c>
      <c r="E645" s="837">
        <f>'8. RothData'!E356</f>
        <v>0</v>
      </c>
      <c r="F645" s="837">
        <f>'8. RothData'!F356</f>
        <v>0</v>
      </c>
      <c r="G645" s="869">
        <f>IF(OR(A645&gt;'9. SavingsData'!$G$140,A645&lt;'9. SavingsData'!$G$134),0,'9. SavingsData'!$G$127)*POWER((1+'9. SavingsData'!$G$130),($A$627-$A645))</f>
        <v>0</v>
      </c>
      <c r="H645" s="837">
        <f>IF(OR(B645&gt;'9. SavingsData'!$G$142,B645&lt;'9. SavingsData'!$G$136),0,'9. SavingsData'!$G$128)*POWER((1+'9. SavingsData'!$G$131),($A$627-$A645))</f>
        <v>0</v>
      </c>
      <c r="I645" s="869">
        <f t="shared" si="35"/>
        <v>0</v>
      </c>
      <c r="J645" s="837">
        <f t="shared" si="36"/>
        <v>0</v>
      </c>
      <c r="K645" s="869">
        <f t="shared" si="37"/>
        <v>0</v>
      </c>
      <c r="L645" s="3043">
        <f t="shared" ref="L645:M645" si="58">IF(M154=0,0,(I645/M154))</f>
        <v>0</v>
      </c>
      <c r="M645" s="894">
        <f t="shared" si="58"/>
        <v>0</v>
      </c>
      <c r="N645" s="895">
        <f t="shared" si="39"/>
        <v>0</v>
      </c>
    </row>
    <row r="646" spans="1:14" s="15" customFormat="1" ht="12" x14ac:dyDescent="0.2">
      <c r="A646" s="850">
        <f t="shared" si="57"/>
        <v>79</v>
      </c>
      <c r="B646" s="851">
        <f t="shared" si="57"/>
        <v>74</v>
      </c>
      <c r="C646" s="869">
        <f>'7. IRAdata'!$E426</f>
        <v>0</v>
      </c>
      <c r="D646" s="868">
        <f>'7. IRAdata'!$F426</f>
        <v>0</v>
      </c>
      <c r="E646" s="837">
        <f>'8. RothData'!E357</f>
        <v>0</v>
      </c>
      <c r="F646" s="837">
        <f>'8. RothData'!F357</f>
        <v>0</v>
      </c>
      <c r="G646" s="869">
        <f>IF(OR(A646&gt;'9. SavingsData'!$G$140,A646&lt;'9. SavingsData'!$G$134),0,'9. SavingsData'!$G$127)*POWER((1+'9. SavingsData'!$G$130),($A$627-$A646))</f>
        <v>0</v>
      </c>
      <c r="H646" s="837">
        <f>IF(OR(B646&gt;'9. SavingsData'!$G$142,B646&lt;'9. SavingsData'!$G$136),0,'9. SavingsData'!$G$128)*POWER((1+'9. SavingsData'!$G$131),($A$627-$A646))</f>
        <v>0</v>
      </c>
      <c r="I646" s="869">
        <f t="shared" si="35"/>
        <v>0</v>
      </c>
      <c r="J646" s="837">
        <f t="shared" si="36"/>
        <v>0</v>
      </c>
      <c r="K646" s="869">
        <f t="shared" si="37"/>
        <v>0</v>
      </c>
      <c r="L646" s="3043">
        <f t="shared" ref="L646:M646" si="59">IF(M155=0,0,(I646/M155))</f>
        <v>0</v>
      </c>
      <c r="M646" s="894">
        <f t="shared" si="59"/>
        <v>0</v>
      </c>
      <c r="N646" s="895">
        <f t="shared" si="39"/>
        <v>0</v>
      </c>
    </row>
    <row r="647" spans="1:14" s="15" customFormat="1" ht="12" x14ac:dyDescent="0.2">
      <c r="A647" s="850">
        <f t="shared" si="57"/>
        <v>80</v>
      </c>
      <c r="B647" s="851">
        <f t="shared" si="57"/>
        <v>75</v>
      </c>
      <c r="C647" s="869">
        <f>'7. IRAdata'!$E427</f>
        <v>0</v>
      </c>
      <c r="D647" s="868">
        <f>'7. IRAdata'!$F427</f>
        <v>0</v>
      </c>
      <c r="E647" s="837">
        <f>'8. RothData'!E358</f>
        <v>0</v>
      </c>
      <c r="F647" s="837">
        <f>'8. RothData'!F358</f>
        <v>0</v>
      </c>
      <c r="G647" s="869">
        <f>IF(OR(A647&gt;'9. SavingsData'!$G$140,A647&lt;'9. SavingsData'!$G$134),0,'9. SavingsData'!$G$127)*POWER((1+'9. SavingsData'!$G$130),($A$627-$A647))</f>
        <v>0</v>
      </c>
      <c r="H647" s="837">
        <f>IF(OR(B647&gt;'9. SavingsData'!$G$142,B647&lt;'9. SavingsData'!$G$136),0,'9. SavingsData'!$G$128)*POWER((1+'9. SavingsData'!$G$131),($A$627-$A647))</f>
        <v>0</v>
      </c>
      <c r="I647" s="869">
        <f t="shared" si="35"/>
        <v>0</v>
      </c>
      <c r="J647" s="837">
        <f t="shared" si="36"/>
        <v>0</v>
      </c>
      <c r="K647" s="869">
        <f t="shared" si="37"/>
        <v>0</v>
      </c>
      <c r="L647" s="3043">
        <f t="shared" ref="L647:M647" si="60">IF(M156=0,0,(I647/M156))</f>
        <v>0</v>
      </c>
      <c r="M647" s="894">
        <f t="shared" si="60"/>
        <v>0</v>
      </c>
      <c r="N647" s="895">
        <f t="shared" si="39"/>
        <v>0</v>
      </c>
    </row>
    <row r="648" spans="1:14" s="15" customFormat="1" ht="12" x14ac:dyDescent="0.2">
      <c r="A648" s="850">
        <f t="shared" si="57"/>
        <v>81</v>
      </c>
      <c r="B648" s="851">
        <f t="shared" si="57"/>
        <v>76</v>
      </c>
      <c r="C648" s="869">
        <f>'7. IRAdata'!$E428</f>
        <v>0</v>
      </c>
      <c r="D648" s="868">
        <f>'7. IRAdata'!$F428</f>
        <v>0</v>
      </c>
      <c r="E648" s="837">
        <f>'8. RothData'!E359</f>
        <v>0</v>
      </c>
      <c r="F648" s="837">
        <f>'8. RothData'!F359</f>
        <v>0</v>
      </c>
      <c r="G648" s="869">
        <f>IF(OR(A648&gt;'9. SavingsData'!$G$140,A648&lt;'9. SavingsData'!$G$134),0,'9. SavingsData'!$G$127)*POWER((1+'9. SavingsData'!$G$130),($A$627-$A648))</f>
        <v>0</v>
      </c>
      <c r="H648" s="837">
        <f>IF(OR(B648&gt;'9. SavingsData'!$G$142,B648&lt;'9. SavingsData'!$G$136),0,'9. SavingsData'!$G$128)*POWER((1+'9. SavingsData'!$G$131),($A$627-$A648))</f>
        <v>0</v>
      </c>
      <c r="I648" s="869">
        <f t="shared" si="35"/>
        <v>0</v>
      </c>
      <c r="J648" s="837">
        <f t="shared" si="36"/>
        <v>0</v>
      </c>
      <c r="K648" s="869">
        <f t="shared" si="37"/>
        <v>0</v>
      </c>
      <c r="L648" s="3043">
        <f t="shared" ref="L648:M648" si="61">IF(M157=0,0,(I648/M157))</f>
        <v>0</v>
      </c>
      <c r="M648" s="894">
        <f t="shared" si="61"/>
        <v>0</v>
      </c>
      <c r="N648" s="895">
        <f t="shared" si="39"/>
        <v>0</v>
      </c>
    </row>
    <row r="649" spans="1:14" s="15" customFormat="1" ht="12" x14ac:dyDescent="0.2">
      <c r="A649" s="850">
        <f t="shared" si="57"/>
        <v>82</v>
      </c>
      <c r="B649" s="851">
        <f t="shared" si="57"/>
        <v>77</v>
      </c>
      <c r="C649" s="869">
        <f>'7. IRAdata'!$E429</f>
        <v>0</v>
      </c>
      <c r="D649" s="868">
        <f>'7. IRAdata'!$F429</f>
        <v>0</v>
      </c>
      <c r="E649" s="837">
        <f>'8. RothData'!E360</f>
        <v>0</v>
      </c>
      <c r="F649" s="837">
        <f>'8. RothData'!F360</f>
        <v>0</v>
      </c>
      <c r="G649" s="869">
        <f>IF(OR(A649&gt;'9. SavingsData'!$G$140,A649&lt;'9. SavingsData'!$G$134),0,'9. SavingsData'!$G$127)*POWER((1+'9. SavingsData'!$G$130),($A$627-$A649))</f>
        <v>0</v>
      </c>
      <c r="H649" s="837">
        <f>IF(OR(B649&gt;'9. SavingsData'!$G$142,B649&lt;'9. SavingsData'!$G$136),0,'9. SavingsData'!$G$128)*POWER((1+'9. SavingsData'!$G$131),($A$627-$A649))</f>
        <v>0</v>
      </c>
      <c r="I649" s="869">
        <f t="shared" si="35"/>
        <v>0</v>
      </c>
      <c r="J649" s="837">
        <f t="shared" si="36"/>
        <v>0</v>
      </c>
      <c r="K649" s="869">
        <f t="shared" si="37"/>
        <v>0</v>
      </c>
      <c r="L649" s="3043">
        <f t="shared" ref="L649:M649" si="62">IF(M158=0,0,(I649/M158))</f>
        <v>0</v>
      </c>
      <c r="M649" s="894">
        <f t="shared" si="62"/>
        <v>0</v>
      </c>
      <c r="N649" s="895">
        <f t="shared" si="39"/>
        <v>0</v>
      </c>
    </row>
    <row r="650" spans="1:14" s="15" customFormat="1" ht="12" x14ac:dyDescent="0.2">
      <c r="A650" s="850">
        <f t="shared" si="57"/>
        <v>83</v>
      </c>
      <c r="B650" s="851">
        <f t="shared" si="57"/>
        <v>78</v>
      </c>
      <c r="C650" s="869">
        <f>'7. IRAdata'!$E430</f>
        <v>0</v>
      </c>
      <c r="D650" s="868">
        <f>'7. IRAdata'!$F430</f>
        <v>0</v>
      </c>
      <c r="E650" s="837">
        <f>'8. RothData'!E361</f>
        <v>0</v>
      </c>
      <c r="F650" s="837">
        <f>'8. RothData'!F361</f>
        <v>0</v>
      </c>
      <c r="G650" s="869">
        <f>IF(OR(A650&gt;'9. SavingsData'!$G$140,A650&lt;'9. SavingsData'!$G$134),0,'9. SavingsData'!$G$127)*POWER((1+'9. SavingsData'!$G$130),($A$627-$A650))</f>
        <v>0</v>
      </c>
      <c r="H650" s="837">
        <f>IF(OR(B650&gt;'9. SavingsData'!$G$142,B650&lt;'9. SavingsData'!$G$136),0,'9. SavingsData'!$G$128)*POWER((1+'9. SavingsData'!$G$131),($A$627-$A650))</f>
        <v>0</v>
      </c>
      <c r="I650" s="869">
        <f t="shared" si="35"/>
        <v>0</v>
      </c>
      <c r="J650" s="837">
        <f t="shared" si="36"/>
        <v>0</v>
      </c>
      <c r="K650" s="869">
        <f t="shared" si="37"/>
        <v>0</v>
      </c>
      <c r="L650" s="3043">
        <f t="shared" ref="L650:M650" si="63">IF(M159=0,0,(I650/M159))</f>
        <v>0</v>
      </c>
      <c r="M650" s="894">
        <f t="shared" si="63"/>
        <v>0</v>
      </c>
      <c r="N650" s="895">
        <f t="shared" si="39"/>
        <v>0</v>
      </c>
    </row>
    <row r="651" spans="1:14" s="15" customFormat="1" ht="12" x14ac:dyDescent="0.2">
      <c r="A651" s="850">
        <f t="shared" si="57"/>
        <v>84</v>
      </c>
      <c r="B651" s="851">
        <f t="shared" si="57"/>
        <v>79</v>
      </c>
      <c r="C651" s="869">
        <f>'7. IRAdata'!$E431</f>
        <v>0</v>
      </c>
      <c r="D651" s="868">
        <f>'7. IRAdata'!$F431</f>
        <v>0</v>
      </c>
      <c r="E651" s="837">
        <f>'8. RothData'!E362</f>
        <v>0</v>
      </c>
      <c r="F651" s="837">
        <f>'8. RothData'!F362</f>
        <v>0</v>
      </c>
      <c r="G651" s="869">
        <f>IF(OR(A651&gt;'9. SavingsData'!$G$140,A651&lt;'9. SavingsData'!$G$134),0,'9. SavingsData'!$G$127)*POWER((1+'9. SavingsData'!$G$130),($A$627-$A651))</f>
        <v>0</v>
      </c>
      <c r="H651" s="837">
        <f>IF(OR(B651&gt;'9. SavingsData'!$G$142,B651&lt;'9. SavingsData'!$G$136),0,'9. SavingsData'!$G$128)*POWER((1+'9. SavingsData'!$G$131),($A$627-$A651))</f>
        <v>0</v>
      </c>
      <c r="I651" s="869">
        <f t="shared" si="35"/>
        <v>0</v>
      </c>
      <c r="J651" s="837">
        <f t="shared" si="36"/>
        <v>0</v>
      </c>
      <c r="K651" s="869">
        <f t="shared" si="37"/>
        <v>0</v>
      </c>
      <c r="L651" s="3043">
        <f t="shared" ref="L651:M651" si="64">IF(M160=0,0,(I651/M160))</f>
        <v>0</v>
      </c>
      <c r="M651" s="894">
        <f t="shared" si="64"/>
        <v>0</v>
      </c>
      <c r="N651" s="895">
        <f t="shared" si="39"/>
        <v>0</v>
      </c>
    </row>
    <row r="652" spans="1:14" s="15" customFormat="1" ht="12" x14ac:dyDescent="0.2">
      <c r="A652" s="850">
        <f t="shared" si="57"/>
        <v>85</v>
      </c>
      <c r="B652" s="851">
        <f t="shared" si="57"/>
        <v>80</v>
      </c>
      <c r="C652" s="869">
        <f>'7. IRAdata'!$E432</f>
        <v>0</v>
      </c>
      <c r="D652" s="868">
        <f>'7. IRAdata'!$F432</f>
        <v>0</v>
      </c>
      <c r="E652" s="837">
        <f>'8. RothData'!E363</f>
        <v>0</v>
      </c>
      <c r="F652" s="837">
        <f>'8. RothData'!F363</f>
        <v>0</v>
      </c>
      <c r="G652" s="869">
        <f>IF(OR(A652&gt;'9. SavingsData'!$G$140,A652&lt;'9. SavingsData'!$G$134),0,'9. SavingsData'!$G$127)*POWER((1+'9. SavingsData'!$G$130),($A$627-$A652))</f>
        <v>0</v>
      </c>
      <c r="H652" s="837">
        <f>IF(OR(B652&gt;'9. SavingsData'!$G$142,B652&lt;'9. SavingsData'!$G$136),0,'9. SavingsData'!$G$128)*POWER((1+'9. SavingsData'!$G$131),($A$627-$A652))</f>
        <v>0</v>
      </c>
      <c r="I652" s="869">
        <f t="shared" si="35"/>
        <v>0</v>
      </c>
      <c r="J652" s="837">
        <f t="shared" si="36"/>
        <v>0</v>
      </c>
      <c r="K652" s="869">
        <f t="shared" si="37"/>
        <v>0</v>
      </c>
      <c r="L652" s="3043">
        <f t="shared" ref="L652:M652" si="65">IF(M161=0,0,(I652/M161))</f>
        <v>0</v>
      </c>
      <c r="M652" s="894">
        <f t="shared" si="65"/>
        <v>0</v>
      </c>
      <c r="N652" s="895">
        <f t="shared" si="39"/>
        <v>0</v>
      </c>
    </row>
    <row r="653" spans="1:14" s="15" customFormat="1" ht="12" x14ac:dyDescent="0.2">
      <c r="A653" s="850">
        <f t="shared" si="57"/>
        <v>86</v>
      </c>
      <c r="B653" s="851">
        <f t="shared" si="57"/>
        <v>81</v>
      </c>
      <c r="C653" s="869">
        <f>'7. IRAdata'!$E433</f>
        <v>0</v>
      </c>
      <c r="D653" s="868">
        <f>'7. IRAdata'!$F433</f>
        <v>0</v>
      </c>
      <c r="E653" s="837">
        <f>'8. RothData'!E364</f>
        <v>0</v>
      </c>
      <c r="F653" s="837">
        <f>'8. RothData'!F364</f>
        <v>0</v>
      </c>
      <c r="G653" s="869">
        <f>IF(OR(A653&gt;'9. SavingsData'!$G$140,A653&lt;'9. SavingsData'!$G$134),0,'9. SavingsData'!$G$127)*POWER((1+'9. SavingsData'!$G$130),($A$627-$A653))</f>
        <v>0</v>
      </c>
      <c r="H653" s="837">
        <f>IF(OR(B653&gt;'9. SavingsData'!$G$142,B653&lt;'9. SavingsData'!$G$136),0,'9. SavingsData'!$G$128)*POWER((1+'9. SavingsData'!$G$131),($A$627-$A653))</f>
        <v>0</v>
      </c>
      <c r="I653" s="869">
        <f t="shared" si="35"/>
        <v>0</v>
      </c>
      <c r="J653" s="837">
        <f t="shared" si="36"/>
        <v>0</v>
      </c>
      <c r="K653" s="869">
        <f t="shared" si="37"/>
        <v>0</v>
      </c>
      <c r="L653" s="3043">
        <f t="shared" ref="L653:M653" si="66">IF(M162=0,0,(I653/M162))</f>
        <v>0</v>
      </c>
      <c r="M653" s="894">
        <f t="shared" si="66"/>
        <v>0</v>
      </c>
      <c r="N653" s="895">
        <f t="shared" si="39"/>
        <v>0</v>
      </c>
    </row>
    <row r="654" spans="1:14" s="15" customFormat="1" ht="12" x14ac:dyDescent="0.2">
      <c r="A654" s="850">
        <f t="shared" si="57"/>
        <v>87</v>
      </c>
      <c r="B654" s="851">
        <f t="shared" si="57"/>
        <v>82</v>
      </c>
      <c r="C654" s="869">
        <f>'7. IRAdata'!$E434</f>
        <v>0</v>
      </c>
      <c r="D654" s="868">
        <f>'7. IRAdata'!$F434</f>
        <v>0</v>
      </c>
      <c r="E654" s="837">
        <f>'8. RothData'!E365</f>
        <v>0</v>
      </c>
      <c r="F654" s="837">
        <f>'8. RothData'!F365</f>
        <v>0</v>
      </c>
      <c r="G654" s="869">
        <f>IF(OR(A654&gt;'9. SavingsData'!$G$140,A654&lt;'9. SavingsData'!$G$134),0,'9. SavingsData'!$G$127)*POWER((1+'9. SavingsData'!$G$130),($A$627-$A654))</f>
        <v>0</v>
      </c>
      <c r="H654" s="837">
        <f>IF(OR(B654&gt;'9. SavingsData'!$G$142,B654&lt;'9. SavingsData'!$G$136),0,'9. SavingsData'!$G$128)*POWER((1+'9. SavingsData'!$G$131),($A$627-$A654))</f>
        <v>0</v>
      </c>
      <c r="I654" s="869">
        <f t="shared" si="35"/>
        <v>0</v>
      </c>
      <c r="J654" s="837">
        <f t="shared" si="36"/>
        <v>0</v>
      </c>
      <c r="K654" s="869">
        <f t="shared" si="37"/>
        <v>0</v>
      </c>
      <c r="L654" s="3043">
        <f t="shared" ref="L654:M654" si="67">IF(M163=0,0,(I654/M163))</f>
        <v>0</v>
      </c>
      <c r="M654" s="894">
        <f t="shared" si="67"/>
        <v>0</v>
      </c>
      <c r="N654" s="895">
        <f t="shared" si="39"/>
        <v>0</v>
      </c>
    </row>
    <row r="655" spans="1:14" s="15" customFormat="1" ht="12" x14ac:dyDescent="0.2">
      <c r="A655" s="850">
        <f t="shared" si="57"/>
        <v>88</v>
      </c>
      <c r="B655" s="851">
        <f t="shared" si="57"/>
        <v>83</v>
      </c>
      <c r="C655" s="869">
        <f>'7. IRAdata'!$E435</f>
        <v>0</v>
      </c>
      <c r="D655" s="868">
        <f>'7. IRAdata'!$F435</f>
        <v>0</v>
      </c>
      <c r="E655" s="837">
        <f>'8. RothData'!E366</f>
        <v>0</v>
      </c>
      <c r="F655" s="837">
        <f>'8. RothData'!F366</f>
        <v>0</v>
      </c>
      <c r="G655" s="869">
        <f>IF(OR(A655&gt;'9. SavingsData'!$G$140,A655&lt;'9. SavingsData'!$G$134),0,'9. SavingsData'!$G$127)*POWER((1+'9. SavingsData'!$G$130),($A$627-$A655))</f>
        <v>0</v>
      </c>
      <c r="H655" s="837">
        <f>IF(OR(B655&gt;'9. SavingsData'!$G$142,B655&lt;'9. SavingsData'!$G$136),0,'9. SavingsData'!$G$128)*POWER((1+'9. SavingsData'!$G$131),($A$627-$A655))</f>
        <v>0</v>
      </c>
      <c r="I655" s="869">
        <f t="shared" si="35"/>
        <v>0</v>
      </c>
      <c r="J655" s="837">
        <f t="shared" si="36"/>
        <v>0</v>
      </c>
      <c r="K655" s="869">
        <f t="shared" si="37"/>
        <v>0</v>
      </c>
      <c r="L655" s="3043">
        <f t="shared" ref="L655:M655" si="68">IF(M164=0,0,(I655/M164))</f>
        <v>0</v>
      </c>
      <c r="M655" s="894">
        <f t="shared" si="68"/>
        <v>0</v>
      </c>
      <c r="N655" s="895">
        <f t="shared" si="39"/>
        <v>0</v>
      </c>
    </row>
    <row r="656" spans="1:14" s="15" customFormat="1" ht="12" x14ac:dyDescent="0.2">
      <c r="A656" s="850">
        <f t="shared" si="57"/>
        <v>89</v>
      </c>
      <c r="B656" s="851">
        <f t="shared" si="57"/>
        <v>84</v>
      </c>
      <c r="C656" s="869">
        <f>'7. IRAdata'!$E436</f>
        <v>0</v>
      </c>
      <c r="D656" s="868">
        <f>'7. IRAdata'!$F436</f>
        <v>0</v>
      </c>
      <c r="E656" s="837">
        <f>'8. RothData'!E367</f>
        <v>0</v>
      </c>
      <c r="F656" s="837">
        <f>'8. RothData'!F367</f>
        <v>0</v>
      </c>
      <c r="G656" s="869">
        <f>IF(OR(A656&gt;'9. SavingsData'!$G$140,A656&lt;'9. SavingsData'!$G$134),0,'9. SavingsData'!$G$127)*POWER((1+'9. SavingsData'!$G$130),($A$627-$A656))</f>
        <v>0</v>
      </c>
      <c r="H656" s="837">
        <f>IF(OR(B656&gt;'9. SavingsData'!$G$142,B656&lt;'9. SavingsData'!$G$136),0,'9. SavingsData'!$G$128)*POWER((1+'9. SavingsData'!$G$131),($A$627-$A656))</f>
        <v>0</v>
      </c>
      <c r="I656" s="869">
        <f t="shared" si="35"/>
        <v>0</v>
      </c>
      <c r="J656" s="837">
        <f t="shared" si="36"/>
        <v>0</v>
      </c>
      <c r="K656" s="869">
        <f t="shared" si="37"/>
        <v>0</v>
      </c>
      <c r="L656" s="3043">
        <f t="shared" ref="L656:M656" si="69">IF(M165=0,0,(I656/M165))</f>
        <v>0</v>
      </c>
      <c r="M656" s="894">
        <f t="shared" si="69"/>
        <v>0</v>
      </c>
      <c r="N656" s="895">
        <f t="shared" si="39"/>
        <v>0</v>
      </c>
    </row>
    <row r="657" spans="1:14" s="15" customFormat="1" ht="12" x14ac:dyDescent="0.2">
      <c r="A657" s="850">
        <f t="shared" si="57"/>
        <v>90</v>
      </c>
      <c r="B657" s="851">
        <f t="shared" si="57"/>
        <v>85</v>
      </c>
      <c r="C657" s="869">
        <f>'7. IRAdata'!$E437</f>
        <v>0</v>
      </c>
      <c r="D657" s="868">
        <f>'7. IRAdata'!$F437</f>
        <v>0</v>
      </c>
      <c r="E657" s="837">
        <f>'8. RothData'!E368</f>
        <v>0</v>
      </c>
      <c r="F657" s="837">
        <f>'8. RothData'!F368</f>
        <v>0</v>
      </c>
      <c r="G657" s="869">
        <f>IF(OR(A657&gt;'9. SavingsData'!$G$140,A657&lt;'9. SavingsData'!$G$134),0,'9. SavingsData'!$G$127)*POWER((1+'9. SavingsData'!$G$130),($A$627-$A657))</f>
        <v>0</v>
      </c>
      <c r="H657" s="837">
        <f>IF(OR(B657&gt;'9. SavingsData'!$G$142,B657&lt;'9. SavingsData'!$G$136),0,'9. SavingsData'!$G$128)*POWER((1+'9. SavingsData'!$G$131),($A$627-$A657))</f>
        <v>0</v>
      </c>
      <c r="I657" s="869">
        <f t="shared" si="35"/>
        <v>0</v>
      </c>
      <c r="J657" s="837">
        <f t="shared" si="36"/>
        <v>0</v>
      </c>
      <c r="K657" s="869">
        <f t="shared" si="37"/>
        <v>0</v>
      </c>
      <c r="L657" s="3043">
        <f t="shared" ref="L657:M657" si="70">IF(M166=0,0,(I657/M166))</f>
        <v>0</v>
      </c>
      <c r="M657" s="894">
        <f t="shared" si="70"/>
        <v>0</v>
      </c>
      <c r="N657" s="895">
        <f t="shared" si="39"/>
        <v>0</v>
      </c>
    </row>
    <row r="658" spans="1:14" s="15" customFormat="1" ht="12" x14ac:dyDescent="0.2">
      <c r="A658" s="850">
        <f t="shared" si="57"/>
        <v>91</v>
      </c>
      <c r="B658" s="851">
        <f t="shared" si="57"/>
        <v>86</v>
      </c>
      <c r="C658" s="869">
        <f>'7. IRAdata'!$E438</f>
        <v>0</v>
      </c>
      <c r="D658" s="868">
        <f>'7. IRAdata'!$F438</f>
        <v>0</v>
      </c>
      <c r="E658" s="837">
        <f>'8. RothData'!E369</f>
        <v>0</v>
      </c>
      <c r="F658" s="837">
        <f>'8. RothData'!F369</f>
        <v>0</v>
      </c>
      <c r="G658" s="869">
        <f>IF(OR(A658&gt;'9. SavingsData'!$G$140,A658&lt;'9. SavingsData'!$G$134),0,'9. SavingsData'!$G$127)*POWER((1+'9. SavingsData'!$G$130),($A$627-$A658))</f>
        <v>0</v>
      </c>
      <c r="H658" s="837">
        <f>IF(OR(B658&gt;'9. SavingsData'!$G$142,B658&lt;'9. SavingsData'!$G$136),0,'9. SavingsData'!$G$128)*POWER((1+'9. SavingsData'!$G$131),($A$627-$A658))</f>
        <v>0</v>
      </c>
      <c r="I658" s="869">
        <f t="shared" si="35"/>
        <v>0</v>
      </c>
      <c r="J658" s="837">
        <f t="shared" si="36"/>
        <v>0</v>
      </c>
      <c r="K658" s="869">
        <f t="shared" si="37"/>
        <v>0</v>
      </c>
      <c r="L658" s="3043">
        <f t="shared" ref="L658:M658" si="71">IF(M167=0,0,(I658/M167))</f>
        <v>0</v>
      </c>
      <c r="M658" s="894">
        <f t="shared" si="71"/>
        <v>0</v>
      </c>
      <c r="N658" s="895">
        <f t="shared" si="39"/>
        <v>0</v>
      </c>
    </row>
    <row r="659" spans="1:14" s="15" customFormat="1" ht="12" x14ac:dyDescent="0.2">
      <c r="A659" s="850">
        <f t="shared" si="57"/>
        <v>92</v>
      </c>
      <c r="B659" s="851">
        <f t="shared" si="57"/>
        <v>87</v>
      </c>
      <c r="C659" s="869">
        <f>'7. IRAdata'!$E439</f>
        <v>0</v>
      </c>
      <c r="D659" s="868">
        <f>'7. IRAdata'!$F439</f>
        <v>0</v>
      </c>
      <c r="E659" s="837">
        <f>'8. RothData'!E370</f>
        <v>0</v>
      </c>
      <c r="F659" s="837">
        <f>'8. RothData'!F370</f>
        <v>0</v>
      </c>
      <c r="G659" s="869">
        <f>IF(OR(A659&gt;'9. SavingsData'!$G$140,A659&lt;'9. SavingsData'!$G$134),0,'9. SavingsData'!$G$127)*POWER((1+'9. SavingsData'!$G$130),($A$627-$A659))</f>
        <v>0</v>
      </c>
      <c r="H659" s="837">
        <f>IF(OR(B659&gt;'9. SavingsData'!$G$142,B659&lt;'9. SavingsData'!$G$136),0,'9. SavingsData'!$G$128)*POWER((1+'9. SavingsData'!$G$131),($A$627-$A659))</f>
        <v>0</v>
      </c>
      <c r="I659" s="869">
        <f t="shared" si="35"/>
        <v>0</v>
      </c>
      <c r="J659" s="837">
        <f t="shared" si="36"/>
        <v>0</v>
      </c>
      <c r="K659" s="869">
        <f t="shared" si="37"/>
        <v>0</v>
      </c>
      <c r="L659" s="3043">
        <f t="shared" ref="L659:M659" si="72">IF(M168=0,0,(I659/M168))</f>
        <v>0</v>
      </c>
      <c r="M659" s="894">
        <f t="shared" si="72"/>
        <v>0</v>
      </c>
      <c r="N659" s="895">
        <f t="shared" si="39"/>
        <v>0</v>
      </c>
    </row>
    <row r="660" spans="1:14" s="15" customFormat="1" ht="12" x14ac:dyDescent="0.2">
      <c r="A660" s="850">
        <f t="shared" si="57"/>
        <v>93</v>
      </c>
      <c r="B660" s="851">
        <f t="shared" si="57"/>
        <v>88</v>
      </c>
      <c r="C660" s="869">
        <f>'7. IRAdata'!$E440</f>
        <v>0</v>
      </c>
      <c r="D660" s="868">
        <f>'7. IRAdata'!$F440</f>
        <v>0</v>
      </c>
      <c r="E660" s="837">
        <f>'8. RothData'!E371</f>
        <v>0</v>
      </c>
      <c r="F660" s="837">
        <f>'8. RothData'!F371</f>
        <v>0</v>
      </c>
      <c r="G660" s="869">
        <f>IF(OR(A660&gt;'9. SavingsData'!$G$140,A660&lt;'9. SavingsData'!$G$134),0,'9. SavingsData'!$G$127)*POWER((1+'9. SavingsData'!$G$130),($A$627-$A660))</f>
        <v>0</v>
      </c>
      <c r="H660" s="837">
        <f>IF(OR(B660&gt;'9. SavingsData'!$G$142,B660&lt;'9. SavingsData'!$G$136),0,'9. SavingsData'!$G$128)*POWER((1+'9. SavingsData'!$G$131),($A$627-$A660))</f>
        <v>0</v>
      </c>
      <c r="I660" s="869">
        <f t="shared" si="35"/>
        <v>0</v>
      </c>
      <c r="J660" s="837">
        <f t="shared" si="36"/>
        <v>0</v>
      </c>
      <c r="K660" s="869">
        <f t="shared" si="37"/>
        <v>0</v>
      </c>
      <c r="L660" s="3043">
        <f t="shared" ref="L660:M660" si="73">IF(M169=0,0,(I660/M169))</f>
        <v>0</v>
      </c>
      <c r="M660" s="894">
        <f t="shared" si="73"/>
        <v>0</v>
      </c>
      <c r="N660" s="895">
        <f t="shared" si="39"/>
        <v>0</v>
      </c>
    </row>
    <row r="661" spans="1:14" s="15" customFormat="1" ht="12" x14ac:dyDescent="0.2">
      <c r="A661" s="850">
        <f t="shared" ref="A661:B663" si="74">A660+1</f>
        <v>94</v>
      </c>
      <c r="B661" s="851">
        <f t="shared" si="74"/>
        <v>89</v>
      </c>
      <c r="C661" s="869">
        <f>'7. IRAdata'!$E441</f>
        <v>0</v>
      </c>
      <c r="D661" s="868">
        <f>'7. IRAdata'!$F441</f>
        <v>0</v>
      </c>
      <c r="E661" s="837">
        <f>'8. RothData'!E372</f>
        <v>0</v>
      </c>
      <c r="F661" s="837">
        <f>'8. RothData'!F372</f>
        <v>0</v>
      </c>
      <c r="G661" s="869">
        <f>IF(OR(A661&gt;'9. SavingsData'!$G$140,A661&lt;'9. SavingsData'!$G$134),0,'9. SavingsData'!$G$127)*POWER((1+'9. SavingsData'!$G$130),($A$627-$A661))</f>
        <v>0</v>
      </c>
      <c r="H661" s="837">
        <f>IF(OR(B661&gt;'9. SavingsData'!$G$142,B661&lt;'9. SavingsData'!$G$136),0,'9. SavingsData'!$G$128)*POWER((1+'9. SavingsData'!$G$131),($A$627-$A661))</f>
        <v>0</v>
      </c>
      <c r="I661" s="869">
        <f t="shared" si="35"/>
        <v>0</v>
      </c>
      <c r="J661" s="837">
        <f t="shared" si="36"/>
        <v>0</v>
      </c>
      <c r="K661" s="869">
        <f t="shared" si="37"/>
        <v>0</v>
      </c>
      <c r="L661" s="3043">
        <f t="shared" ref="L661:M661" si="75">IF(M170=0,0,(I661/M170))</f>
        <v>0</v>
      </c>
      <c r="M661" s="894">
        <f t="shared" si="75"/>
        <v>0</v>
      </c>
      <c r="N661" s="895">
        <f t="shared" si="39"/>
        <v>0</v>
      </c>
    </row>
    <row r="662" spans="1:14" s="15" customFormat="1" ht="12" x14ac:dyDescent="0.2">
      <c r="A662" s="850">
        <f t="shared" si="74"/>
        <v>95</v>
      </c>
      <c r="B662" s="851">
        <f t="shared" si="74"/>
        <v>90</v>
      </c>
      <c r="C662" s="869">
        <f>'7. IRAdata'!$E442</f>
        <v>0</v>
      </c>
      <c r="D662" s="868">
        <f>'7. IRAdata'!$F442</f>
        <v>0</v>
      </c>
      <c r="E662" s="837">
        <f>'8. RothData'!E373</f>
        <v>0</v>
      </c>
      <c r="F662" s="837">
        <f>'8. RothData'!F373</f>
        <v>0</v>
      </c>
      <c r="G662" s="869">
        <f>IF(OR(A662&gt;'9. SavingsData'!$G$140,A662&lt;'9. SavingsData'!$G$134),0,'9. SavingsData'!$G$127)*POWER((1+'9. SavingsData'!$G$130),($A$627-$A662))</f>
        <v>0</v>
      </c>
      <c r="H662" s="837">
        <f>IF(OR(B662&gt;'9. SavingsData'!$G$142,B662&lt;'9. SavingsData'!$G$136),0,'9. SavingsData'!$G$128)*POWER((1+'9. SavingsData'!$G$131),($A$627-$A662))</f>
        <v>0</v>
      </c>
      <c r="I662" s="869">
        <f t="shared" si="35"/>
        <v>0</v>
      </c>
      <c r="J662" s="837">
        <f t="shared" si="36"/>
        <v>0</v>
      </c>
      <c r="K662" s="869">
        <f t="shared" si="37"/>
        <v>0</v>
      </c>
      <c r="L662" s="3043">
        <f t="shared" ref="L662:M662" si="76">IF(M171=0,0,(I662/M171))</f>
        <v>0</v>
      </c>
      <c r="M662" s="894">
        <f t="shared" si="76"/>
        <v>0</v>
      </c>
      <c r="N662" s="895">
        <f t="shared" si="39"/>
        <v>0</v>
      </c>
    </row>
    <row r="663" spans="1:14" s="15" customFormat="1" ht="12.75" thickBot="1" x14ac:dyDescent="0.25">
      <c r="A663" s="1994">
        <f t="shared" si="74"/>
        <v>96</v>
      </c>
      <c r="B663" s="1995">
        <f t="shared" si="74"/>
        <v>91</v>
      </c>
      <c r="C663" s="1975">
        <f>'7. IRAdata'!$E443</f>
        <v>0</v>
      </c>
      <c r="D663" s="1896">
        <f>'7. IRAdata'!$F443</f>
        <v>0</v>
      </c>
      <c r="E663" s="1885">
        <f>'8. RothData'!E374</f>
        <v>0</v>
      </c>
      <c r="F663" s="1885">
        <f>'8. RothData'!F374</f>
        <v>0</v>
      </c>
      <c r="G663" s="1975">
        <f>IF(OR(A663&gt;'9. SavingsData'!$G$140,A663&lt;'9. SavingsData'!$G$134),0,'9. SavingsData'!$G$127)*POWER((1+'9. SavingsData'!$G$130),($A$627-$A663))</f>
        <v>0</v>
      </c>
      <c r="H663" s="1885">
        <f>IF(OR(B663&gt;'9. SavingsData'!$G$142,B663&lt;'9. SavingsData'!$G$136),0,'9. SavingsData'!$G$128)*POWER((1+'9. SavingsData'!$G$131),($A$627-$A663))</f>
        <v>0</v>
      </c>
      <c r="I663" s="1975">
        <f t="shared" si="35"/>
        <v>0</v>
      </c>
      <c r="J663" s="1885">
        <f t="shared" si="36"/>
        <v>0</v>
      </c>
      <c r="K663" s="1975">
        <f t="shared" si="37"/>
        <v>0</v>
      </c>
      <c r="L663" s="3044">
        <f t="shared" ref="L663:M663" si="77">IF(M172=0,0,(I663/M172))</f>
        <v>0</v>
      </c>
      <c r="M663" s="1562">
        <f t="shared" si="77"/>
        <v>0</v>
      </c>
      <c r="N663" s="2657">
        <f t="shared" si="39"/>
        <v>0</v>
      </c>
    </row>
    <row r="664" spans="1:14" s="15" customFormat="1" ht="12.75" thickTop="1" x14ac:dyDescent="0.2">
      <c r="A664" s="1444"/>
      <c r="B664" s="851"/>
      <c r="C664" s="837"/>
      <c r="D664" s="837"/>
      <c r="E664" s="837"/>
      <c r="F664" s="837"/>
      <c r="G664" s="837"/>
      <c r="H664" s="837"/>
      <c r="I664" s="837"/>
      <c r="J664" s="837"/>
      <c r="K664" s="837"/>
      <c r="L664" s="894"/>
      <c r="M664" s="894"/>
      <c r="N664" s="2011"/>
    </row>
    <row r="665" spans="1:14" s="15" customFormat="1" ht="12.75" thickBot="1" x14ac:dyDescent="0.25">
      <c r="A665" s="1444"/>
      <c r="B665" s="851"/>
      <c r="C665" s="837"/>
      <c r="D665" s="837"/>
      <c r="E665" s="837"/>
      <c r="F665" s="837"/>
      <c r="G665" s="837"/>
      <c r="H665" s="837"/>
      <c r="I665" s="837"/>
      <c r="J665" s="837"/>
      <c r="K665" s="837"/>
      <c r="L665" s="894"/>
      <c r="M665" s="894"/>
      <c r="N665" s="2012"/>
    </row>
    <row r="666" spans="1:14" s="15" customFormat="1" ht="19.5" thickTop="1" x14ac:dyDescent="0.3">
      <c r="A666" s="1340" t="s">
        <v>1600</v>
      </c>
      <c r="B666" s="1341"/>
      <c r="C666" s="1976"/>
      <c r="D666" s="1976"/>
      <c r="E666" s="1977"/>
      <c r="F666" s="1978"/>
      <c r="G666" s="1979"/>
      <c r="H666" s="1980"/>
      <c r="I666" s="1981"/>
      <c r="J666" s="1981"/>
      <c r="K666" s="1982"/>
      <c r="L666" s="1983"/>
      <c r="M666" s="1635"/>
      <c r="N666" s="1342"/>
    </row>
    <row r="667" spans="1:14" s="15" customFormat="1" ht="18" x14ac:dyDescent="0.25">
      <c r="A667" s="1416" t="s">
        <v>1601</v>
      </c>
      <c r="B667" s="6"/>
      <c r="C667" s="170"/>
      <c r="D667" s="170"/>
      <c r="E667" s="171"/>
      <c r="F667" s="172"/>
      <c r="G667" s="173"/>
      <c r="H667" s="174"/>
      <c r="I667" s="75"/>
      <c r="J667" s="75"/>
      <c r="K667" s="130"/>
      <c r="L667" s="175"/>
      <c r="M667" s="33"/>
      <c r="N667" s="1311"/>
    </row>
    <row r="668" spans="1:14" s="15" customFormat="1" ht="18" x14ac:dyDescent="0.25">
      <c r="A668" s="1416" t="s">
        <v>1546</v>
      </c>
      <c r="B668" s="6"/>
      <c r="C668" s="170"/>
      <c r="D668" s="170"/>
      <c r="E668" s="171"/>
      <c r="F668" s="172"/>
      <c r="G668" s="173"/>
      <c r="H668" s="174"/>
      <c r="I668" s="75"/>
      <c r="J668" s="75"/>
      <c r="K668" s="130"/>
      <c r="L668" s="175"/>
      <c r="M668" s="33"/>
      <c r="N668" s="1311"/>
    </row>
    <row r="669" spans="1:14" s="15" customFormat="1" ht="12" x14ac:dyDescent="0.2">
      <c r="A669" s="1444"/>
      <c r="B669" s="851"/>
      <c r="C669" s="837"/>
      <c r="D669" s="837"/>
      <c r="E669" s="837"/>
      <c r="F669" s="837"/>
      <c r="G669" s="837"/>
      <c r="H669" s="837"/>
      <c r="I669" s="837"/>
      <c r="J669" s="837"/>
      <c r="K669" s="837"/>
      <c r="L669" s="894"/>
      <c r="M669" s="894"/>
      <c r="N669" s="2011"/>
    </row>
    <row r="670" spans="1:14" s="15" customFormat="1" ht="12" x14ac:dyDescent="0.2">
      <c r="A670" s="1444"/>
      <c r="B670" s="851"/>
      <c r="C670" s="837"/>
      <c r="D670" s="837"/>
      <c r="E670" s="837"/>
      <c r="F670" s="837"/>
      <c r="G670" s="837"/>
      <c r="H670" s="837"/>
      <c r="I670" s="837"/>
      <c r="J670" s="837"/>
      <c r="K670" s="837"/>
      <c r="L670" s="894"/>
      <c r="M670" s="894"/>
      <c r="N670" s="2011"/>
    </row>
    <row r="671" spans="1:14" s="15" customFormat="1" ht="12" x14ac:dyDescent="0.2">
      <c r="A671" s="1444"/>
      <c r="B671" s="851"/>
      <c r="C671" s="837"/>
      <c r="D671" s="837"/>
      <c r="E671" s="837"/>
      <c r="F671" s="837"/>
      <c r="G671" s="837"/>
      <c r="H671" s="837"/>
      <c r="I671" s="837"/>
      <c r="J671" s="837"/>
      <c r="K671" s="837"/>
      <c r="L671" s="894"/>
      <c r="M671" s="894"/>
      <c r="N671" s="2011"/>
    </row>
    <row r="672" spans="1:14" s="15" customFormat="1" ht="12" x14ac:dyDescent="0.2">
      <c r="A672" s="1444"/>
      <c r="B672" s="851"/>
      <c r="C672" s="837"/>
      <c r="D672" s="837"/>
      <c r="E672" s="837"/>
      <c r="F672" s="837"/>
      <c r="G672" s="837"/>
      <c r="H672" s="837"/>
      <c r="I672" s="837"/>
      <c r="J672" s="837"/>
      <c r="K672" s="837"/>
      <c r="L672" s="894"/>
      <c r="M672" s="894"/>
      <c r="N672" s="2011"/>
    </row>
    <row r="673" spans="1:14" s="15" customFormat="1" ht="12" x14ac:dyDescent="0.2">
      <c r="A673" s="1444"/>
      <c r="B673" s="851"/>
      <c r="C673" s="837"/>
      <c r="D673" s="837"/>
      <c r="E673" s="837"/>
      <c r="F673" s="837"/>
      <c r="G673" s="837"/>
      <c r="H673" s="837"/>
      <c r="I673" s="837"/>
      <c r="J673" s="837"/>
      <c r="K673" s="837"/>
      <c r="L673" s="894"/>
      <c r="M673" s="894"/>
      <c r="N673" s="2011"/>
    </row>
    <row r="674" spans="1:14" s="15" customFormat="1" ht="12" x14ac:dyDescent="0.2">
      <c r="A674" s="1444"/>
      <c r="B674" s="851"/>
      <c r="C674" s="837"/>
      <c r="D674" s="837"/>
      <c r="E674" s="837"/>
      <c r="F674" s="837"/>
      <c r="G674" s="837"/>
      <c r="H674" s="837"/>
      <c r="I674" s="837"/>
      <c r="J674" s="837"/>
      <c r="K674" s="837"/>
      <c r="L674" s="894"/>
      <c r="M674" s="894"/>
      <c r="N674" s="2011"/>
    </row>
    <row r="675" spans="1:14" s="15" customFormat="1" ht="12" x14ac:dyDescent="0.2">
      <c r="A675" s="1444"/>
      <c r="B675" s="851"/>
      <c r="C675" s="837"/>
      <c r="D675" s="837"/>
      <c r="E675" s="837"/>
      <c r="F675" s="837"/>
      <c r="G675" s="837"/>
      <c r="H675" s="837"/>
      <c r="I675" s="837"/>
      <c r="J675" s="837"/>
      <c r="K675" s="837"/>
      <c r="L675" s="894"/>
      <c r="M675" s="894"/>
      <c r="N675" s="2011"/>
    </row>
    <row r="676" spans="1:14" s="15" customFormat="1" ht="12" x14ac:dyDescent="0.2">
      <c r="A676" s="1444"/>
      <c r="B676" s="851"/>
      <c r="C676" s="837"/>
      <c r="D676" s="837"/>
      <c r="E676" s="837"/>
      <c r="F676" s="837"/>
      <c r="G676" s="837"/>
      <c r="H676" s="837"/>
      <c r="I676" s="837"/>
      <c r="J676" s="837"/>
      <c r="K676" s="837"/>
      <c r="L676" s="894"/>
      <c r="M676" s="894"/>
      <c r="N676" s="2011"/>
    </row>
    <row r="677" spans="1:14" s="15" customFormat="1" ht="12" x14ac:dyDescent="0.2">
      <c r="A677" s="1444"/>
      <c r="B677" s="851"/>
      <c r="C677" s="837"/>
      <c r="D677" s="837"/>
      <c r="E677" s="837"/>
      <c r="F677" s="837"/>
      <c r="G677" s="837"/>
      <c r="H677" s="837"/>
      <c r="I677" s="837"/>
      <c r="J677" s="837"/>
      <c r="K677" s="837"/>
      <c r="L677" s="894"/>
      <c r="M677" s="894"/>
      <c r="N677" s="2011"/>
    </row>
    <row r="678" spans="1:14" s="15" customFormat="1" ht="12" x14ac:dyDescent="0.2">
      <c r="A678" s="1444"/>
      <c r="B678" s="851"/>
      <c r="C678" s="837"/>
      <c r="D678" s="837"/>
      <c r="E678" s="837"/>
      <c r="F678" s="837"/>
      <c r="G678" s="837"/>
      <c r="H678" s="837"/>
      <c r="I678" s="837"/>
      <c r="J678" s="837"/>
      <c r="K678" s="837"/>
      <c r="L678" s="894"/>
      <c r="M678" s="894"/>
      <c r="N678" s="2011"/>
    </row>
    <row r="679" spans="1:14" s="15" customFormat="1" ht="12" x14ac:dyDescent="0.2">
      <c r="A679" s="1444"/>
      <c r="B679" s="851"/>
      <c r="C679" s="837"/>
      <c r="D679" s="837"/>
      <c r="E679" s="837"/>
      <c r="F679" s="837"/>
      <c r="G679" s="837"/>
      <c r="H679" s="837"/>
      <c r="I679" s="837"/>
      <c r="J679" s="837"/>
      <c r="K679" s="837"/>
      <c r="L679" s="894"/>
      <c r="M679" s="894"/>
      <c r="N679" s="2011"/>
    </row>
    <row r="680" spans="1:14" s="15" customFormat="1" ht="12" x14ac:dyDescent="0.2">
      <c r="A680" s="1444"/>
      <c r="B680" s="851"/>
      <c r="C680" s="837"/>
      <c r="D680" s="837"/>
      <c r="E680" s="837"/>
      <c r="F680" s="837"/>
      <c r="G680" s="837"/>
      <c r="H680" s="837"/>
      <c r="I680" s="837"/>
      <c r="J680" s="837"/>
      <c r="K680" s="837"/>
      <c r="L680" s="894"/>
      <c r="M680" s="894"/>
      <c r="N680" s="2011"/>
    </row>
    <row r="681" spans="1:14" s="15" customFormat="1" ht="12" x14ac:dyDescent="0.2">
      <c r="A681" s="1444"/>
      <c r="B681" s="851"/>
      <c r="C681" s="837"/>
      <c r="D681" s="837"/>
      <c r="E681" s="837"/>
      <c r="F681" s="837"/>
      <c r="G681" s="837"/>
      <c r="H681" s="837"/>
      <c r="I681" s="837"/>
      <c r="J681" s="837"/>
      <c r="K681" s="837"/>
      <c r="L681" s="894"/>
      <c r="M681" s="894"/>
      <c r="N681" s="2011"/>
    </row>
    <row r="682" spans="1:14" s="15" customFormat="1" ht="12" x14ac:dyDescent="0.2">
      <c r="A682" s="1444"/>
      <c r="B682" s="851"/>
      <c r="C682" s="837"/>
      <c r="D682" s="837"/>
      <c r="E682" s="837"/>
      <c r="F682" s="837"/>
      <c r="G682" s="837"/>
      <c r="H682" s="837"/>
      <c r="I682" s="837"/>
      <c r="J682" s="837"/>
      <c r="K682" s="837"/>
      <c r="L682" s="894"/>
      <c r="M682" s="894"/>
      <c r="N682" s="2011"/>
    </row>
    <row r="683" spans="1:14" s="15" customFormat="1" ht="12" x14ac:dyDescent="0.2">
      <c r="A683" s="1444"/>
      <c r="B683" s="851"/>
      <c r="C683" s="837"/>
      <c r="D683" s="837"/>
      <c r="E683" s="837"/>
      <c r="F683" s="837"/>
      <c r="G683" s="837"/>
      <c r="H683" s="837"/>
      <c r="I683" s="837"/>
      <c r="J683" s="837"/>
      <c r="K683" s="837"/>
      <c r="L683" s="894"/>
      <c r="M683" s="894"/>
      <c r="N683" s="2011"/>
    </row>
    <row r="684" spans="1:14" s="15" customFormat="1" ht="12" x14ac:dyDescent="0.2">
      <c r="A684" s="1444"/>
      <c r="B684" s="851"/>
      <c r="C684" s="837"/>
      <c r="D684" s="837"/>
      <c r="E684" s="837"/>
      <c r="F684" s="837"/>
      <c r="G684" s="837"/>
      <c r="H684" s="837"/>
      <c r="I684" s="837"/>
      <c r="J684" s="837"/>
      <c r="K684" s="837"/>
      <c r="L684" s="894"/>
      <c r="M684" s="894"/>
      <c r="N684" s="2011"/>
    </row>
    <row r="685" spans="1:14" s="15" customFormat="1" ht="12" x14ac:dyDescent="0.2">
      <c r="A685" s="1444"/>
      <c r="B685" s="851"/>
      <c r="C685" s="837"/>
      <c r="D685" s="837"/>
      <c r="E685" s="837"/>
      <c r="F685" s="837"/>
      <c r="G685" s="837"/>
      <c r="H685" s="837"/>
      <c r="I685" s="837"/>
      <c r="J685" s="837"/>
      <c r="K685" s="837"/>
      <c r="L685" s="894"/>
      <c r="M685" s="894"/>
      <c r="N685" s="2011"/>
    </row>
    <row r="686" spans="1:14" s="15" customFormat="1" ht="12" x14ac:dyDescent="0.2">
      <c r="A686" s="1444"/>
      <c r="B686" s="851"/>
      <c r="C686" s="837"/>
      <c r="D686" s="837"/>
      <c r="E686" s="837"/>
      <c r="F686" s="837"/>
      <c r="G686" s="837"/>
      <c r="H686" s="837"/>
      <c r="I686" s="837"/>
      <c r="J686" s="837"/>
      <c r="K686" s="837"/>
      <c r="L686" s="894"/>
      <c r="M686" s="894"/>
      <c r="N686" s="2011"/>
    </row>
    <row r="687" spans="1:14" s="15" customFormat="1" ht="12" x14ac:dyDescent="0.2">
      <c r="A687" s="1444"/>
      <c r="B687" s="851"/>
      <c r="C687" s="837"/>
      <c r="D687" s="837"/>
      <c r="E687" s="837"/>
      <c r="F687" s="837"/>
      <c r="G687" s="837"/>
      <c r="H687" s="837"/>
      <c r="I687" s="837"/>
      <c r="J687" s="837"/>
      <c r="K687" s="837"/>
      <c r="L687" s="894"/>
      <c r="M687" s="894"/>
      <c r="N687" s="2011"/>
    </row>
    <row r="688" spans="1:14" s="15" customFormat="1" ht="12.75" thickBot="1" x14ac:dyDescent="0.25">
      <c r="A688" s="1994"/>
      <c r="B688" s="1995"/>
      <c r="C688" s="1885"/>
      <c r="D688" s="1885"/>
      <c r="E688" s="1885"/>
      <c r="F688" s="1885"/>
      <c r="G688" s="1885"/>
      <c r="H688" s="1885"/>
      <c r="I688" s="1885"/>
      <c r="J688" s="1885"/>
      <c r="K688" s="1885"/>
      <c r="L688" s="1562"/>
      <c r="M688" s="1562"/>
      <c r="N688" s="2012"/>
    </row>
    <row r="689" spans="1:14" s="15" customFormat="1" ht="13.5" thickTop="1" thickBot="1" x14ac:dyDescent="0.25">
      <c r="A689" s="1444"/>
      <c r="B689" s="851"/>
      <c r="C689" s="837"/>
      <c r="D689" s="837"/>
      <c r="E689" s="837"/>
      <c r="F689" s="837"/>
      <c r="G689" s="837"/>
      <c r="H689" s="837"/>
      <c r="I689" s="837"/>
      <c r="J689" s="837"/>
      <c r="K689" s="837"/>
      <c r="L689" s="894"/>
      <c r="M689" s="894"/>
      <c r="N689" s="2011"/>
    </row>
    <row r="690" spans="1:14" s="15" customFormat="1" ht="19.5" thickTop="1" x14ac:dyDescent="0.3">
      <c r="A690" s="1340" t="s">
        <v>2257</v>
      </c>
      <c r="B690" s="1341"/>
      <c r="C690" s="1976"/>
      <c r="D690" s="1976"/>
      <c r="E690" s="1977"/>
      <c r="F690" s="1978"/>
      <c r="G690" s="1979"/>
      <c r="H690" s="1980"/>
      <c r="I690" s="1981"/>
      <c r="J690" s="1981"/>
      <c r="K690" s="1982"/>
      <c r="L690" s="1983"/>
      <c r="M690" s="1635"/>
      <c r="N690" s="1342"/>
    </row>
    <row r="691" spans="1:14" s="15" customFormat="1" ht="18" x14ac:dyDescent="0.25">
      <c r="A691" s="1416" t="s">
        <v>1601</v>
      </c>
      <c r="B691" s="6"/>
      <c r="C691" s="170"/>
      <c r="D691" s="170"/>
      <c r="E691" s="171"/>
      <c r="F691" s="172"/>
      <c r="G691" s="173"/>
      <c r="H691" s="174"/>
      <c r="I691" s="75"/>
      <c r="J691" s="75"/>
      <c r="K691" s="130"/>
      <c r="L691" s="175"/>
      <c r="M691" s="33"/>
      <c r="N691" s="1311"/>
    </row>
    <row r="692" spans="1:14" s="15" customFormat="1" ht="18" x14ac:dyDescent="0.25">
      <c r="A692" s="1416" t="s">
        <v>1546</v>
      </c>
      <c r="B692" s="6"/>
      <c r="C692" s="170"/>
      <c r="D692" s="170"/>
      <c r="E692" s="171"/>
      <c r="F692" s="172"/>
      <c r="G692" s="173"/>
      <c r="H692" s="174"/>
      <c r="I692" s="75"/>
      <c r="J692" s="75"/>
      <c r="K692" s="130"/>
      <c r="L692" s="175"/>
      <c r="M692" s="33"/>
      <c r="N692" s="1311"/>
    </row>
    <row r="693" spans="1:14" s="15" customFormat="1" ht="12" x14ac:dyDescent="0.2">
      <c r="A693" s="1444"/>
      <c r="B693" s="851"/>
      <c r="C693" s="837"/>
      <c r="D693" s="837"/>
      <c r="E693" s="837"/>
      <c r="F693" s="837"/>
      <c r="G693" s="837"/>
      <c r="H693" s="837"/>
      <c r="I693" s="837"/>
      <c r="J693" s="837"/>
      <c r="K693" s="837"/>
      <c r="L693" s="894"/>
      <c r="M693" s="894"/>
      <c r="N693" s="2011"/>
    </row>
    <row r="694" spans="1:14" s="15" customFormat="1" ht="12" x14ac:dyDescent="0.2">
      <c r="A694" s="1444"/>
      <c r="B694" s="851"/>
      <c r="C694" s="837"/>
      <c r="D694" s="837"/>
      <c r="E694" s="837"/>
      <c r="F694" s="837"/>
      <c r="G694" s="837"/>
      <c r="H694" s="837"/>
      <c r="I694" s="837"/>
      <c r="J694" s="837"/>
      <c r="K694" s="837"/>
      <c r="L694" s="894"/>
      <c r="M694" s="894"/>
      <c r="N694" s="2011"/>
    </row>
    <row r="695" spans="1:14" s="15" customFormat="1" ht="12" x14ac:dyDescent="0.2">
      <c r="A695" s="1444"/>
      <c r="B695" s="851"/>
      <c r="C695" s="837"/>
      <c r="D695" s="837"/>
      <c r="E695" s="837"/>
      <c r="F695" s="837"/>
      <c r="G695" s="837"/>
      <c r="H695" s="837"/>
      <c r="I695" s="837"/>
      <c r="J695" s="837"/>
      <c r="K695" s="837"/>
      <c r="L695" s="894"/>
      <c r="M695" s="894"/>
      <c r="N695" s="2011"/>
    </row>
    <row r="696" spans="1:14" s="15" customFormat="1" ht="12" x14ac:dyDescent="0.2">
      <c r="A696" s="1444"/>
      <c r="B696" s="851"/>
      <c r="C696" s="837"/>
      <c r="D696" s="837"/>
      <c r="E696" s="837"/>
      <c r="F696" s="837"/>
      <c r="G696" s="837"/>
      <c r="H696" s="837"/>
      <c r="I696" s="837"/>
      <c r="J696" s="837"/>
      <c r="K696" s="837"/>
      <c r="L696" s="894"/>
      <c r="M696" s="894"/>
      <c r="N696" s="2011"/>
    </row>
    <row r="697" spans="1:14" s="15" customFormat="1" ht="12" x14ac:dyDescent="0.2">
      <c r="A697" s="1444"/>
      <c r="B697" s="851"/>
      <c r="C697" s="837"/>
      <c r="D697" s="837"/>
      <c r="E697" s="837"/>
      <c r="F697" s="837"/>
      <c r="G697" s="837"/>
      <c r="H697" s="837"/>
      <c r="I697" s="837"/>
      <c r="J697" s="837"/>
      <c r="K697" s="837"/>
      <c r="L697" s="894"/>
      <c r="M697" s="894"/>
      <c r="N697" s="2011"/>
    </row>
    <row r="698" spans="1:14" s="15" customFormat="1" ht="12" x14ac:dyDescent="0.2">
      <c r="A698" s="1444"/>
      <c r="B698" s="851"/>
      <c r="C698" s="837"/>
      <c r="D698" s="837"/>
      <c r="E698" s="837"/>
      <c r="F698" s="837"/>
      <c r="G698" s="837"/>
      <c r="H698" s="837"/>
      <c r="I698" s="837"/>
      <c r="J698" s="837"/>
      <c r="K698" s="837"/>
      <c r="L698" s="894"/>
      <c r="M698" s="894"/>
      <c r="N698" s="2011"/>
    </row>
    <row r="699" spans="1:14" s="15" customFormat="1" ht="12" x14ac:dyDescent="0.2">
      <c r="A699" s="1444"/>
      <c r="B699" s="851"/>
      <c r="C699" s="837"/>
      <c r="D699" s="837"/>
      <c r="E699" s="837"/>
      <c r="F699" s="837"/>
      <c r="G699" s="837"/>
      <c r="H699" s="837"/>
      <c r="I699" s="837"/>
      <c r="J699" s="837"/>
      <c r="K699" s="837"/>
      <c r="L699" s="894"/>
      <c r="M699" s="894"/>
      <c r="N699" s="2011"/>
    </row>
    <row r="700" spans="1:14" s="15" customFormat="1" ht="12" x14ac:dyDescent="0.2">
      <c r="A700" s="1444"/>
      <c r="B700" s="851"/>
      <c r="C700" s="837"/>
      <c r="D700" s="837"/>
      <c r="E700" s="837"/>
      <c r="F700" s="837"/>
      <c r="G700" s="837"/>
      <c r="H700" s="837"/>
      <c r="I700" s="837"/>
      <c r="J700" s="837"/>
      <c r="K700" s="837"/>
      <c r="L700" s="894"/>
      <c r="M700" s="894"/>
      <c r="N700" s="2011"/>
    </row>
    <row r="701" spans="1:14" s="15" customFormat="1" ht="12" x14ac:dyDescent="0.2">
      <c r="A701" s="1444"/>
      <c r="B701" s="851"/>
      <c r="C701" s="837"/>
      <c r="D701" s="837"/>
      <c r="E701" s="837"/>
      <c r="F701" s="837"/>
      <c r="G701" s="837"/>
      <c r="H701" s="837"/>
      <c r="I701" s="837"/>
      <c r="J701" s="837"/>
      <c r="K701" s="837"/>
      <c r="L701" s="894"/>
      <c r="M701" s="894"/>
      <c r="N701" s="2011"/>
    </row>
    <row r="702" spans="1:14" s="15" customFormat="1" ht="12" x14ac:dyDescent="0.2">
      <c r="A702" s="1444"/>
      <c r="B702" s="851"/>
      <c r="C702" s="837"/>
      <c r="D702" s="837"/>
      <c r="E702" s="837"/>
      <c r="F702" s="837"/>
      <c r="G702" s="837"/>
      <c r="H702" s="837"/>
      <c r="I702" s="837"/>
      <c r="J702" s="837"/>
      <c r="K702" s="837"/>
      <c r="L702" s="894"/>
      <c r="M702" s="894"/>
      <c r="N702" s="2011"/>
    </row>
    <row r="703" spans="1:14" s="15" customFormat="1" ht="12" x14ac:dyDescent="0.2">
      <c r="A703" s="1444"/>
      <c r="B703" s="851"/>
      <c r="C703" s="837"/>
      <c r="D703" s="837"/>
      <c r="E703" s="837"/>
      <c r="F703" s="837"/>
      <c r="G703" s="837"/>
      <c r="H703" s="837"/>
      <c r="I703" s="837"/>
      <c r="J703" s="837"/>
      <c r="K703" s="837"/>
      <c r="L703" s="894"/>
      <c r="M703" s="894"/>
      <c r="N703" s="2011"/>
    </row>
    <row r="704" spans="1:14" s="15" customFormat="1" ht="12" x14ac:dyDescent="0.2">
      <c r="A704" s="1444"/>
      <c r="B704" s="851"/>
      <c r="C704" s="837"/>
      <c r="D704" s="837"/>
      <c r="E704" s="837"/>
      <c r="F704" s="837"/>
      <c r="G704" s="837"/>
      <c r="H704" s="837"/>
      <c r="I704" s="837"/>
      <c r="J704" s="837"/>
      <c r="K704" s="837"/>
      <c r="L704" s="894"/>
      <c r="M704" s="894"/>
      <c r="N704" s="2011"/>
    </row>
    <row r="705" spans="1:14" s="15" customFormat="1" ht="12" x14ac:dyDescent="0.2">
      <c r="A705" s="1444"/>
      <c r="B705" s="851"/>
      <c r="C705" s="837"/>
      <c r="D705" s="837"/>
      <c r="E705" s="837"/>
      <c r="F705" s="837"/>
      <c r="G705" s="837"/>
      <c r="H705" s="837"/>
      <c r="I705" s="837"/>
      <c r="J705" s="837"/>
      <c r="K705" s="837"/>
      <c r="L705" s="894"/>
      <c r="M705" s="894"/>
      <c r="N705" s="2011"/>
    </row>
    <row r="706" spans="1:14" s="15" customFormat="1" ht="12" x14ac:dyDescent="0.2">
      <c r="A706" s="1444"/>
      <c r="B706" s="851"/>
      <c r="C706" s="837"/>
      <c r="D706" s="837"/>
      <c r="E706" s="837"/>
      <c r="F706" s="837"/>
      <c r="G706" s="837"/>
      <c r="H706" s="837"/>
      <c r="I706" s="837"/>
      <c r="J706" s="837"/>
      <c r="K706" s="837"/>
      <c r="L706" s="894"/>
      <c r="M706" s="894"/>
      <c r="N706" s="2011"/>
    </row>
    <row r="707" spans="1:14" s="15" customFormat="1" ht="12" x14ac:dyDescent="0.2">
      <c r="A707" s="1444"/>
      <c r="B707" s="851"/>
      <c r="C707" s="837"/>
      <c r="D707" s="837"/>
      <c r="E707" s="837"/>
      <c r="F707" s="837"/>
      <c r="G707" s="837"/>
      <c r="H707" s="837"/>
      <c r="I707" s="837"/>
      <c r="J707" s="837"/>
      <c r="K707" s="837"/>
      <c r="L707" s="894"/>
      <c r="M707" s="894"/>
      <c r="N707" s="2011"/>
    </row>
    <row r="708" spans="1:14" s="15" customFormat="1" ht="12" x14ac:dyDescent="0.2">
      <c r="A708" s="1444"/>
      <c r="B708" s="851"/>
      <c r="C708" s="837"/>
      <c r="D708" s="837"/>
      <c r="E708" s="837"/>
      <c r="F708" s="837"/>
      <c r="G708" s="837"/>
      <c r="H708" s="837"/>
      <c r="I708" s="837"/>
      <c r="J708" s="837"/>
      <c r="K708" s="837"/>
      <c r="L708" s="894"/>
      <c r="M708" s="894"/>
      <c r="N708" s="2011"/>
    </row>
    <row r="709" spans="1:14" s="15" customFormat="1" ht="12" x14ac:dyDescent="0.2">
      <c r="A709" s="1444"/>
      <c r="B709" s="851"/>
      <c r="C709" s="837"/>
      <c r="D709" s="837"/>
      <c r="E709" s="837"/>
      <c r="F709" s="837"/>
      <c r="G709" s="837"/>
      <c r="H709" s="837"/>
      <c r="I709" s="837"/>
      <c r="J709" s="837"/>
      <c r="K709" s="837"/>
      <c r="L709" s="894"/>
      <c r="M709" s="894"/>
      <c r="N709" s="2011"/>
    </row>
    <row r="710" spans="1:14" s="15" customFormat="1" ht="12" x14ac:dyDescent="0.2">
      <c r="A710" s="1444"/>
      <c r="B710" s="851"/>
      <c r="C710" s="837"/>
      <c r="D710" s="837"/>
      <c r="E710" s="837"/>
      <c r="F710" s="837"/>
      <c r="G710" s="837"/>
      <c r="H710" s="837"/>
      <c r="I710" s="837"/>
      <c r="J710" s="837"/>
      <c r="K710" s="837"/>
      <c r="L710" s="894"/>
      <c r="M710" s="894"/>
      <c r="N710" s="2011"/>
    </row>
    <row r="711" spans="1:14" s="15" customFormat="1" ht="12" x14ac:dyDescent="0.2">
      <c r="A711" s="1444"/>
      <c r="B711" s="851"/>
      <c r="C711" s="837"/>
      <c r="D711" s="837"/>
      <c r="E711" s="837"/>
      <c r="F711" s="837"/>
      <c r="G711" s="837"/>
      <c r="H711" s="837"/>
      <c r="I711" s="837"/>
      <c r="J711" s="837"/>
      <c r="K711" s="837"/>
      <c r="L711" s="894"/>
      <c r="M711" s="894"/>
      <c r="N711" s="2011"/>
    </row>
    <row r="712" spans="1:14" s="15" customFormat="1" ht="12" x14ac:dyDescent="0.2">
      <c r="A712" s="1444"/>
      <c r="B712" s="851"/>
      <c r="C712" s="837"/>
      <c r="D712" s="837"/>
      <c r="E712" s="837"/>
      <c r="F712" s="837"/>
      <c r="G712" s="837"/>
      <c r="H712" s="837"/>
      <c r="I712" s="837"/>
      <c r="J712" s="837"/>
      <c r="K712" s="837"/>
      <c r="L712" s="894"/>
      <c r="M712" s="894"/>
      <c r="N712" s="2011"/>
    </row>
    <row r="713" spans="1:14" s="15" customFormat="1" ht="12" x14ac:dyDescent="0.2">
      <c r="A713" s="1444"/>
      <c r="B713" s="851"/>
      <c r="C713" s="837"/>
      <c r="D713" s="837"/>
      <c r="E713" s="837"/>
      <c r="F713" s="837"/>
      <c r="G713" s="837"/>
      <c r="H713" s="837"/>
      <c r="I713" s="837"/>
      <c r="J713" s="837"/>
      <c r="K713" s="837"/>
      <c r="L713" s="894"/>
      <c r="M713" s="894"/>
      <c r="N713" s="2011"/>
    </row>
    <row r="714" spans="1:14" s="15" customFormat="1" ht="12.75" thickBot="1" x14ac:dyDescent="0.25">
      <c r="A714" s="1994"/>
      <c r="B714" s="1995"/>
      <c r="C714" s="1885"/>
      <c r="D714" s="1885"/>
      <c r="E714" s="1885"/>
      <c r="F714" s="1885"/>
      <c r="G714" s="1885"/>
      <c r="H714" s="1885"/>
      <c r="I714" s="1885"/>
      <c r="J714" s="1885"/>
      <c r="K714" s="1885"/>
      <c r="L714" s="1562"/>
      <c r="M714" s="1562"/>
      <c r="N714" s="2012"/>
    </row>
    <row r="715" spans="1:14" s="15" customFormat="1" ht="12.75" thickTop="1" x14ac:dyDescent="0.2">
      <c r="A715" s="1444"/>
      <c r="B715" s="851"/>
      <c r="C715" s="837"/>
      <c r="D715" s="837"/>
      <c r="E715" s="837"/>
      <c r="F715" s="837"/>
      <c r="G715" s="837"/>
      <c r="H715" s="837"/>
      <c r="I715" s="837"/>
      <c r="J715" s="837"/>
      <c r="K715" s="837"/>
      <c r="L715" s="894"/>
      <c r="M715" s="894"/>
      <c r="N715" s="894"/>
    </row>
    <row r="716" spans="1:14" s="15" customFormat="1" ht="12.75" thickBot="1" x14ac:dyDescent="0.25">
      <c r="A716" s="1444"/>
      <c r="B716" s="851"/>
      <c r="C716" s="837"/>
      <c r="D716" s="837"/>
      <c r="E716" s="837"/>
      <c r="F716" s="837"/>
      <c r="G716" s="837"/>
      <c r="H716" s="837"/>
      <c r="I716" s="837"/>
      <c r="J716" s="837"/>
      <c r="K716" s="837"/>
      <c r="L716" s="894"/>
      <c r="M716" s="894"/>
      <c r="N716" s="894"/>
    </row>
    <row r="717" spans="1:14" s="15" customFormat="1" ht="19.5" thickTop="1" x14ac:dyDescent="0.3">
      <c r="A717" s="265" t="s">
        <v>2251</v>
      </c>
      <c r="B717" s="260"/>
      <c r="C717" s="198"/>
      <c r="D717" s="198"/>
      <c r="E717" s="360"/>
      <c r="F717" s="360"/>
      <c r="G717" s="360"/>
      <c r="H717" s="360"/>
      <c r="I717" s="654"/>
      <c r="J717" s="654"/>
      <c r="K717" s="198"/>
      <c r="L717" s="655"/>
      <c r="M717" s="198"/>
      <c r="N717" s="256"/>
    </row>
    <row r="718" spans="1:14" s="15" customFormat="1" x14ac:dyDescent="0.25">
      <c r="A718" s="1267" t="s">
        <v>2254</v>
      </c>
      <c r="B718" s="70"/>
      <c r="C718" s="73"/>
      <c r="D718" s="73"/>
      <c r="E718" s="317"/>
      <c r="F718" s="317"/>
      <c r="G718" s="317"/>
      <c r="H718" s="317"/>
      <c r="I718" s="640"/>
      <c r="J718" s="640"/>
      <c r="N718" s="269"/>
    </row>
    <row r="719" spans="1:14" s="15" customFormat="1" x14ac:dyDescent="0.25">
      <c r="A719" s="1435"/>
      <c r="B719" s="70"/>
      <c r="C719" s="73"/>
      <c r="D719" s="73"/>
      <c r="E719" s="317"/>
      <c r="F719" s="317"/>
      <c r="G719" s="317"/>
      <c r="H719" s="317"/>
      <c r="I719" s="640"/>
      <c r="J719" s="606"/>
      <c r="K719" s="2696"/>
      <c r="L719" s="2697"/>
      <c r="M719" s="2697"/>
      <c r="N719" s="2698"/>
    </row>
    <row r="720" spans="1:14" s="15" customFormat="1" x14ac:dyDescent="0.25">
      <c r="A720" s="1416" t="s">
        <v>3682</v>
      </c>
      <c r="B720" s="70"/>
      <c r="C720" s="73"/>
      <c r="D720" s="73"/>
      <c r="E720" s="317"/>
      <c r="F720" s="317"/>
      <c r="G720" s="317"/>
      <c r="H720" s="317"/>
      <c r="I720" s="640"/>
      <c r="J720" s="2699"/>
      <c r="K720" s="999"/>
      <c r="L720" s="2697"/>
      <c r="M720" s="2697"/>
      <c r="N720" s="2698"/>
    </row>
    <row r="721" spans="1:14" s="15" customFormat="1" ht="16.5" x14ac:dyDescent="0.3">
      <c r="A721" s="139"/>
      <c r="B721" s="70"/>
      <c r="C721" s="1065" t="s">
        <v>331</v>
      </c>
      <c r="D721" s="131"/>
      <c r="E721" s="955"/>
      <c r="F721" s="979"/>
      <c r="G721" s="979" t="s">
        <v>1108</v>
      </c>
      <c r="H721" s="1474"/>
      <c r="I721" s="979" t="s">
        <v>1100</v>
      </c>
      <c r="J721" s="1"/>
      <c r="K721" s="979" t="s">
        <v>1099</v>
      </c>
      <c r="L721" s="172"/>
      <c r="M721" s="797"/>
      <c r="N721" s="962"/>
    </row>
    <row r="722" spans="1:14" s="15" customFormat="1" ht="12.75" thickBot="1" x14ac:dyDescent="0.25">
      <c r="A722" s="168"/>
      <c r="B722" s="70"/>
      <c r="C722" s="73"/>
      <c r="D722" s="73"/>
      <c r="E722" s="317"/>
      <c r="F722" s="317"/>
      <c r="G722" s="317"/>
      <c r="H722" s="317"/>
      <c r="I722" s="640"/>
      <c r="J722" s="640"/>
      <c r="K722" s="73"/>
      <c r="L722" s="408"/>
      <c r="M722" s="73"/>
      <c r="N722" s="200"/>
    </row>
    <row r="723" spans="1:14" s="15" customFormat="1" ht="97.5" thickTop="1" thickBot="1" x14ac:dyDescent="0.25">
      <c r="A723" s="236" t="s">
        <v>142</v>
      </c>
      <c r="B723" s="237" t="s">
        <v>143</v>
      </c>
      <c r="C723" s="371" t="s">
        <v>2252</v>
      </c>
      <c r="D723" s="371" t="s">
        <v>2253</v>
      </c>
      <c r="E723" s="646" t="s">
        <v>2259</v>
      </c>
      <c r="F723" s="646" t="s">
        <v>2258</v>
      </c>
      <c r="G723" s="528" t="s">
        <v>2260</v>
      </c>
      <c r="H723" s="528" t="s">
        <v>2261</v>
      </c>
      <c r="I723" s="656" t="s">
        <v>2262</v>
      </c>
      <c r="J723" s="656" t="s">
        <v>2263</v>
      </c>
      <c r="K723" s="656" t="s">
        <v>2264</v>
      </c>
      <c r="L723" s="2658" t="s">
        <v>595</v>
      </c>
      <c r="M723" s="2658" t="s">
        <v>596</v>
      </c>
      <c r="N723" s="2659" t="s">
        <v>2245</v>
      </c>
    </row>
    <row r="724" spans="1:14" s="15" customFormat="1" ht="12.75" thickTop="1" x14ac:dyDescent="0.2">
      <c r="A724" s="850">
        <f>'1. AgeData'!$D$30</f>
        <v>60</v>
      </c>
      <c r="B724" s="851">
        <f>'1. AgeData'!$D$31</f>
        <v>55</v>
      </c>
      <c r="C724" s="869">
        <f>'7. IRAdata'!$G407</f>
        <v>2000</v>
      </c>
      <c r="D724" s="868">
        <f>'7. IRAdata'!$H407</f>
        <v>0</v>
      </c>
      <c r="E724" s="837">
        <f>'8. RothData'!G338</f>
        <v>0</v>
      </c>
      <c r="F724" s="837">
        <f>'8. RothData'!H338</f>
        <v>0</v>
      </c>
      <c r="G724" s="869">
        <f>'9. SavingsData'!F583</f>
        <v>6000</v>
      </c>
      <c r="H724" s="837">
        <f>'9. SavingsData'!G583</f>
        <v>7170.5554117338652</v>
      </c>
      <c r="I724" s="869">
        <f>C724+E724+G724</f>
        <v>8000</v>
      </c>
      <c r="J724" s="837">
        <f>D724+F724+H724</f>
        <v>7170.5554117338652</v>
      </c>
      <c r="K724" s="1892">
        <f>I724+J724</f>
        <v>15170.555411733865</v>
      </c>
      <c r="L724" s="3042">
        <f>IF(C91=0,0,(I724/C91))</f>
        <v>2.23463687150838E-2</v>
      </c>
      <c r="M724" s="2693">
        <f>IF(D91=0,0,(J724/D91))</f>
        <v>3.6584466386397271E-2</v>
      </c>
      <c r="N724" s="2694">
        <f>IF((C91+D91)=0,0,((I724+J724)/(C91+D91)))</f>
        <v>2.738367402840048E-2</v>
      </c>
    </row>
    <row r="725" spans="1:14" s="15" customFormat="1" ht="12" x14ac:dyDescent="0.2">
      <c r="A725" s="850">
        <f>A724+1</f>
        <v>61</v>
      </c>
      <c r="B725" s="851">
        <f>B724+1</f>
        <v>56</v>
      </c>
      <c r="C725" s="869">
        <f>'7. IRAdata'!$G408</f>
        <v>0</v>
      </c>
      <c r="D725" s="868">
        <f>'7. IRAdata'!$H408</f>
        <v>0</v>
      </c>
      <c r="E725" s="837">
        <f>'8. RothData'!G339</f>
        <v>0</v>
      </c>
      <c r="F725" s="837">
        <f>'8. RothData'!H339</f>
        <v>0</v>
      </c>
      <c r="G725" s="869">
        <f>'9. SavingsData'!F584</f>
        <v>4973.4972335786078</v>
      </c>
      <c r="H725" s="837">
        <f>'9. SavingsData'!G584</f>
        <v>4973.4972335786078</v>
      </c>
      <c r="I725" s="869">
        <f t="shared" ref="I725:I760" si="78">C725+E725+G725</f>
        <v>4973.4972335786078</v>
      </c>
      <c r="J725" s="837">
        <f t="shared" ref="J725:J760" si="79">D725+F725+H725</f>
        <v>4973.4972335786078</v>
      </c>
      <c r="K725" s="837">
        <f t="shared" ref="K725:K760" si="80">I725+J725</f>
        <v>9946.9944671572157</v>
      </c>
      <c r="L725" s="3043">
        <f t="shared" ref="L725:M725" si="81">IF(C92=0,0,(I725/C92))</f>
        <v>1.3726256734981034E-2</v>
      </c>
      <c r="M725" s="894">
        <f t="shared" si="81"/>
        <v>2.4874579069470121E-2</v>
      </c>
      <c r="N725" s="2011">
        <f t="shared" ref="N725:N760" si="82">IF((C92+D92)=0,0,((I725+J725)/(C92+D92)))</f>
        <v>1.769054225726174E-2</v>
      </c>
    </row>
    <row r="726" spans="1:14" s="15" customFormat="1" ht="12" x14ac:dyDescent="0.2">
      <c r="A726" s="850">
        <f t="shared" ref="A726:B726" si="83">A725+1</f>
        <v>62</v>
      </c>
      <c r="B726" s="851">
        <f t="shared" si="83"/>
        <v>57</v>
      </c>
      <c r="C726" s="869">
        <f>'7. IRAdata'!$G409</f>
        <v>0</v>
      </c>
      <c r="D726" s="868">
        <f>'7. IRAdata'!$H409</f>
        <v>0</v>
      </c>
      <c r="E726" s="837">
        <f>'8. RothData'!G340</f>
        <v>0</v>
      </c>
      <c r="F726" s="837">
        <f>'8. RothData'!H340</f>
        <v>0</v>
      </c>
      <c r="G726" s="869">
        <f>'9. SavingsData'!F585</f>
        <v>6729.3416916206461</v>
      </c>
      <c r="H726" s="837">
        <f>'9. SavingsData'!G585</f>
        <v>6729.3416916206461</v>
      </c>
      <c r="I726" s="869">
        <f t="shared" si="78"/>
        <v>6729.3416916206461</v>
      </c>
      <c r="J726" s="837">
        <f t="shared" si="79"/>
        <v>6729.3416916206461</v>
      </c>
      <c r="K726" s="837">
        <f t="shared" si="80"/>
        <v>13458.683383241292</v>
      </c>
      <c r="L726" s="3043">
        <f t="shared" ref="L726:M726" si="84">IF(C93=0,0,(I726/C93))</f>
        <v>1.8419857909543595E-2</v>
      </c>
      <c r="M726" s="894">
        <f t="shared" si="84"/>
        <v>3.2592884117382252E-2</v>
      </c>
      <c r="N726" s="2011">
        <f t="shared" si="82"/>
        <v>2.3537503394250703E-2</v>
      </c>
    </row>
    <row r="727" spans="1:14" s="15" customFormat="1" ht="12" x14ac:dyDescent="0.2">
      <c r="A727" s="850">
        <f t="shared" ref="A727:B727" si="85">A726+1</f>
        <v>63</v>
      </c>
      <c r="B727" s="851">
        <f t="shared" si="85"/>
        <v>58</v>
      </c>
      <c r="C727" s="869">
        <f>'7. IRAdata'!$G410</f>
        <v>0</v>
      </c>
      <c r="D727" s="868">
        <f>'7. IRAdata'!$H410</f>
        <v>1600</v>
      </c>
      <c r="E727" s="837">
        <f>'8. RothData'!G341</f>
        <v>0</v>
      </c>
      <c r="F727" s="837">
        <f>'8. RothData'!H341</f>
        <v>0</v>
      </c>
      <c r="G727" s="869">
        <f>'9. SavingsData'!F586</f>
        <v>3656.9832599842712</v>
      </c>
      <c r="H727" s="837">
        <f>'9. SavingsData'!G586</f>
        <v>2018.8025074861939</v>
      </c>
      <c r="I727" s="869">
        <f t="shared" si="78"/>
        <v>3656.9832599842712</v>
      </c>
      <c r="J727" s="837">
        <f t="shared" si="79"/>
        <v>3618.8025074861939</v>
      </c>
      <c r="K727" s="837">
        <f t="shared" si="80"/>
        <v>7275.7857674704646</v>
      </c>
      <c r="L727" s="3043">
        <f t="shared" ref="L727:M727" si="86">IF(C94=0,0,(I727/C94))</f>
        <v>9.965405356843135E-3</v>
      </c>
      <c r="M727" s="894">
        <f t="shared" si="86"/>
        <v>1.6555272744508614E-2</v>
      </c>
      <c r="N727" s="2011">
        <f t="shared" si="82"/>
        <v>1.2425410818114878E-2</v>
      </c>
    </row>
    <row r="728" spans="1:14" s="15" customFormat="1" ht="12" x14ac:dyDescent="0.2">
      <c r="A728" s="850">
        <f t="shared" ref="A728:B728" si="87">A727+1</f>
        <v>64</v>
      </c>
      <c r="B728" s="851">
        <f t="shared" si="87"/>
        <v>59</v>
      </c>
      <c r="C728" s="869">
        <f>'7. IRAdata'!$G411</f>
        <v>0</v>
      </c>
      <c r="D728" s="868">
        <f>'7. IRAdata'!$H411</f>
        <v>1718.4</v>
      </c>
      <c r="E728" s="837">
        <f>'8. RothData'!G342</f>
        <v>0</v>
      </c>
      <c r="F728" s="837">
        <f>'8. RothData'!H342</f>
        <v>0</v>
      </c>
      <c r="G728" s="869">
        <f>'9. SavingsData'!F587</f>
        <v>4037.6050149723878</v>
      </c>
      <c r="H728" s="837">
        <f>'9. SavingsData'!G587</f>
        <v>1500</v>
      </c>
      <c r="I728" s="869">
        <f t="shared" si="78"/>
        <v>4037.6050149723878</v>
      </c>
      <c r="J728" s="837">
        <f t="shared" si="79"/>
        <v>3218.4</v>
      </c>
      <c r="K728" s="837">
        <f t="shared" si="80"/>
        <v>7256.0050149723884</v>
      </c>
      <c r="L728" s="3043">
        <f t="shared" ref="L728:M728" si="88">IF(C95=0,0,(I728/C95))</f>
        <v>1.139795344257028E-2</v>
      </c>
      <c r="M728" s="894">
        <f t="shared" si="88"/>
        <v>1.4596809853639392E-2</v>
      </c>
      <c r="N728" s="2011">
        <f t="shared" si="82"/>
        <v>1.2625155193042865E-2</v>
      </c>
    </row>
    <row r="729" spans="1:14" s="15" customFormat="1" ht="12" x14ac:dyDescent="0.2">
      <c r="A729" s="850">
        <f t="shared" ref="A729:B729" si="89">A728+1</f>
        <v>65</v>
      </c>
      <c r="B729" s="851">
        <f t="shared" si="89"/>
        <v>60</v>
      </c>
      <c r="C729" s="869">
        <f>'7. IRAdata'!$G412</f>
        <v>0</v>
      </c>
      <c r="D729" s="868">
        <f>'7. IRAdata'!$H412</f>
        <v>5762.8609894467991</v>
      </c>
      <c r="E729" s="837">
        <f>'8. RothData'!G343</f>
        <v>357</v>
      </c>
      <c r="F729" s="837">
        <f>'8. RothData'!H343</f>
        <v>0</v>
      </c>
      <c r="G729" s="869">
        <f>'9. SavingsData'!F588</f>
        <v>1500</v>
      </c>
      <c r="H729" s="837">
        <f>'9. SavingsData'!G588</f>
        <v>44372.778028580477</v>
      </c>
      <c r="I729" s="869">
        <f t="shared" si="78"/>
        <v>1857</v>
      </c>
      <c r="J729" s="837">
        <f t="shared" si="79"/>
        <v>50135.639018027272</v>
      </c>
      <c r="K729" s="837">
        <f t="shared" si="80"/>
        <v>51992.639018027272</v>
      </c>
      <c r="L729" s="3043">
        <f t="shared" ref="L729:M729" si="90">IF(C96=0,0,(I729/C96))</f>
        <v>5.3834388816011566E-3</v>
      </c>
      <c r="M729" s="894">
        <f t="shared" si="90"/>
        <v>0.23647423541192306</v>
      </c>
      <c r="N729" s="2011">
        <f t="shared" si="82"/>
        <v>9.3350774408825249E-2</v>
      </c>
    </row>
    <row r="730" spans="1:14" s="15" customFormat="1" ht="12" x14ac:dyDescent="0.2">
      <c r="A730" s="850">
        <f t="shared" ref="A730:B730" si="91">A729+1</f>
        <v>66</v>
      </c>
      <c r="B730" s="851">
        <f t="shared" si="91"/>
        <v>61</v>
      </c>
      <c r="C730" s="869">
        <f>'7. IRAdata'!$G413</f>
        <v>0</v>
      </c>
      <c r="D730" s="868">
        <f>'7. IRAdata'!$H413</f>
        <v>5949.9267406845092</v>
      </c>
      <c r="E730" s="837">
        <f>'8. RothData'!G344</f>
        <v>357</v>
      </c>
      <c r="F730" s="837">
        <f>'8. RothData'!H344</f>
        <v>600</v>
      </c>
      <c r="G730" s="869">
        <f>'9. SavingsData'!F589</f>
        <v>0</v>
      </c>
      <c r="H730" s="837">
        <f>'9. SavingsData'!G589</f>
        <v>604.93259870199824</v>
      </c>
      <c r="I730" s="869">
        <f t="shared" si="78"/>
        <v>357</v>
      </c>
      <c r="J730" s="837">
        <f t="shared" si="79"/>
        <v>7154.8593393865076</v>
      </c>
      <c r="K730" s="837">
        <f t="shared" si="80"/>
        <v>7511.8593393865076</v>
      </c>
      <c r="L730" s="3043">
        <f t="shared" ref="L730:M730" si="92">IF(C97=0,0,(I730/C97))</f>
        <v>1.0564823247136432E-3</v>
      </c>
      <c r="M730" s="894">
        <f t="shared" si="92"/>
        <v>3.3855459129583966E-2</v>
      </c>
      <c r="N730" s="2011">
        <f t="shared" si="82"/>
        <v>1.3676593131705795E-2</v>
      </c>
    </row>
    <row r="731" spans="1:14" s="15" customFormat="1" ht="12" x14ac:dyDescent="0.2">
      <c r="A731" s="873">
        <f t="shared" ref="A731:B731" si="93">A730+1</f>
        <v>67</v>
      </c>
      <c r="B731" s="874">
        <f t="shared" si="93"/>
        <v>62</v>
      </c>
      <c r="C731" s="869">
        <f>'7. IRAdata'!$G414</f>
        <v>0</v>
      </c>
      <c r="D731" s="868">
        <f>'7. IRAdata'!$H414</f>
        <v>6118.0835438844224</v>
      </c>
      <c r="E731" s="837">
        <f>'8. RothData'!G345</f>
        <v>357</v>
      </c>
      <c r="F731" s="837">
        <f>'8. RothData'!H345</f>
        <v>600</v>
      </c>
      <c r="G731" s="869">
        <f>'9. SavingsData'!F590</f>
        <v>7373.2472420522972</v>
      </c>
      <c r="H731" s="837">
        <f>'9. SavingsData'!G590</f>
        <v>679.39833085934879</v>
      </c>
      <c r="I731" s="869">
        <f t="shared" si="78"/>
        <v>7730.2472420522972</v>
      </c>
      <c r="J731" s="837">
        <f t="shared" si="79"/>
        <v>7397.4818747437712</v>
      </c>
      <c r="K731" s="837">
        <f t="shared" si="80"/>
        <v>15127.729116796068</v>
      </c>
      <c r="L731" s="3043">
        <f t="shared" ref="L731:M731" si="94">IF(C98=0,0,(I731/C98))</f>
        <v>2.0714737490464444E-2</v>
      </c>
      <c r="M731" s="894">
        <f t="shared" si="94"/>
        <v>3.2870125814847689E-2</v>
      </c>
      <c r="N731" s="2011">
        <f t="shared" si="82"/>
        <v>2.5287562867141598E-2</v>
      </c>
    </row>
    <row r="732" spans="1:14" s="15" customFormat="1" ht="12" x14ac:dyDescent="0.2">
      <c r="A732" s="873">
        <f t="shared" ref="A732:B732" si="95">A731+1</f>
        <v>68</v>
      </c>
      <c r="B732" s="874">
        <f t="shared" si="95"/>
        <v>63</v>
      </c>
      <c r="C732" s="869">
        <f>'7. IRAdata'!$G415</f>
        <v>0</v>
      </c>
      <c r="D732" s="868">
        <f>'7. IRAdata'!$H415</f>
        <v>4449.6528891122844</v>
      </c>
      <c r="E732" s="837">
        <f>'8. RothData'!G346</f>
        <v>357</v>
      </c>
      <c r="F732" s="837">
        <f>'8. RothData'!H346</f>
        <v>747.65380000000005</v>
      </c>
      <c r="G732" s="869">
        <f>'9. SavingsData'!F591</f>
        <v>38963.68288815704</v>
      </c>
      <c r="H732" s="837">
        <f>'9. SavingsData'!G591</f>
        <v>3546.3620179471773</v>
      </c>
      <c r="I732" s="869">
        <f t="shared" si="78"/>
        <v>39320.68288815704</v>
      </c>
      <c r="J732" s="837">
        <f t="shared" si="79"/>
        <v>8743.6687070594617</v>
      </c>
      <c r="K732" s="837">
        <f t="shared" si="80"/>
        <v>48064.351595216503</v>
      </c>
      <c r="L732" s="3043">
        <f t="shared" ref="L732:M732" si="96">IF(C99=0,0,(I732/C99))</f>
        <v>9.5063186821389811E-2</v>
      </c>
      <c r="M732" s="894">
        <f t="shared" si="96"/>
        <v>3.7398990295488432E-2</v>
      </c>
      <c r="N732" s="2011">
        <f t="shared" si="82"/>
        <v>7.4239710113371188E-2</v>
      </c>
    </row>
    <row r="733" spans="1:14" s="15" customFormat="1" ht="12" x14ac:dyDescent="0.2">
      <c r="A733" s="873">
        <f t="shared" ref="A733:B733" si="97">A732+1</f>
        <v>69</v>
      </c>
      <c r="B733" s="874">
        <f t="shared" si="97"/>
        <v>64</v>
      </c>
      <c r="C733" s="869">
        <f>'7. IRAdata'!$G416</f>
        <v>0</v>
      </c>
      <c r="D733" s="868">
        <f>'7. IRAdata'!$H416</f>
        <v>1902.8361899667689</v>
      </c>
      <c r="E733" s="837">
        <f>'8. RothData'!G347</f>
        <v>357</v>
      </c>
      <c r="F733" s="837">
        <f>'8. RothData'!H347</f>
        <v>757.85622980000028</v>
      </c>
      <c r="G733" s="869">
        <f>'9. SavingsData'!F592</f>
        <v>3109.1284077425021</v>
      </c>
      <c r="H733" s="837">
        <f>'9. SavingsData'!G592</f>
        <v>924.62425386582709</v>
      </c>
      <c r="I733" s="869">
        <f t="shared" si="78"/>
        <v>3466.1284077425021</v>
      </c>
      <c r="J733" s="837">
        <f t="shared" si="79"/>
        <v>3585.3166736325961</v>
      </c>
      <c r="K733" s="837">
        <f t="shared" si="80"/>
        <v>7051.4450813750982</v>
      </c>
      <c r="L733" s="3043">
        <f t="shared" ref="L733:M733" si="98">IF(C100=0,0,(I733/C100))</f>
        <v>7.9989510608068602E-3</v>
      </c>
      <c r="M733" s="894">
        <f t="shared" si="98"/>
        <v>1.3956149648920802E-2</v>
      </c>
      <c r="N733" s="2011">
        <f t="shared" si="82"/>
        <v>1.0216205111167293E-2</v>
      </c>
    </row>
    <row r="734" spans="1:14" s="15" customFormat="1" ht="12" x14ac:dyDescent="0.2">
      <c r="A734" s="850">
        <f t="shared" ref="A734:B734" si="99">A733+1</f>
        <v>70</v>
      </c>
      <c r="B734" s="851">
        <f t="shared" si="99"/>
        <v>65</v>
      </c>
      <c r="C734" s="869">
        <f>'7. IRAdata'!$G417</f>
        <v>8961.9356210047918</v>
      </c>
      <c r="D734" s="868">
        <f>'7. IRAdata'!$H417</f>
        <v>233.26704610091437</v>
      </c>
      <c r="E734" s="837">
        <f>'8. RothData'!G348</f>
        <v>1108.0357242022824</v>
      </c>
      <c r="F734" s="837">
        <f>'8. RothData'!H348</f>
        <v>774.94754387580053</v>
      </c>
      <c r="G734" s="869">
        <f>'9. SavingsData'!F593</f>
        <v>6764.4577884399123</v>
      </c>
      <c r="H734" s="837">
        <f>'9. SavingsData'!G593</f>
        <v>1008.5332669059877</v>
      </c>
      <c r="I734" s="869">
        <f t="shared" si="78"/>
        <v>16834.429133646987</v>
      </c>
      <c r="J734" s="837">
        <f t="shared" si="79"/>
        <v>2016.7478568827028</v>
      </c>
      <c r="K734" s="837">
        <f t="shared" si="80"/>
        <v>18851.17699052969</v>
      </c>
      <c r="L734" s="3043">
        <f t="shared" ref="L734:M734" si="100">IF(C101=0,0,(I734/C101))</f>
        <v>3.5473221073815273E-2</v>
      </c>
      <c r="M734" s="894">
        <f t="shared" si="100"/>
        <v>7.493357121987454E-3</v>
      </c>
      <c r="N734" s="2011">
        <f t="shared" si="82"/>
        <v>2.5347642069200389E-2</v>
      </c>
    </row>
    <row r="735" spans="1:14" s="15" customFormat="1" ht="12" x14ac:dyDescent="0.2">
      <c r="A735" s="850">
        <f t="shared" ref="A735:B735" si="101">A734+1</f>
        <v>71</v>
      </c>
      <c r="B735" s="851">
        <f t="shared" si="101"/>
        <v>66</v>
      </c>
      <c r="C735" s="869">
        <f>'7. IRAdata'!$G418</f>
        <v>11584.579991029121</v>
      </c>
      <c r="D735" s="868">
        <f>'7. IRAdata'!$H418</f>
        <v>2113.7363242709084</v>
      </c>
      <c r="E735" s="837">
        <f>'8. RothData'!G349</f>
        <v>2039.7838350952738</v>
      </c>
      <c r="F735" s="837">
        <f>'8. RothData'!H349</f>
        <v>582.17490574173576</v>
      </c>
      <c r="G735" s="869">
        <f>'9. SavingsData'!F594</f>
        <v>9845.561683330563</v>
      </c>
      <c r="H735" s="837">
        <f>'9. SavingsData'!G594</f>
        <v>1102.0300527827753</v>
      </c>
      <c r="I735" s="869">
        <f t="shared" si="78"/>
        <v>23469.925509454959</v>
      </c>
      <c r="J735" s="837">
        <f t="shared" si="79"/>
        <v>3797.9412827954197</v>
      </c>
      <c r="K735" s="837">
        <f t="shared" si="80"/>
        <v>27267.866792250377</v>
      </c>
      <c r="L735" s="3043">
        <f t="shared" ref="L735:M735" si="102">IF(C102=0,0,(I735/C102))</f>
        <v>4.3696695628020678E-2</v>
      </c>
      <c r="M735" s="894">
        <f t="shared" si="102"/>
        <v>1.3572660150208284E-2</v>
      </c>
      <c r="N735" s="2011">
        <f t="shared" si="82"/>
        <v>3.3378349070884106E-2</v>
      </c>
    </row>
    <row r="736" spans="1:14" s="15" customFormat="1" ht="12" x14ac:dyDescent="0.2">
      <c r="A736" s="850">
        <f t="shared" ref="A736:B736" si="103">A735+1</f>
        <v>72</v>
      </c>
      <c r="B736" s="851">
        <f t="shared" si="103"/>
        <v>67</v>
      </c>
      <c r="C736" s="869">
        <f>'7. IRAdata'!$G419</f>
        <v>9441.6606836849369</v>
      </c>
      <c r="D736" s="868">
        <f>'7. IRAdata'!$H419</f>
        <v>0</v>
      </c>
      <c r="E736" s="837">
        <f>'8. RothData'!G350</f>
        <v>1439.9180984024238</v>
      </c>
      <c r="F736" s="837">
        <f>'8. RothData'!H350</f>
        <v>86.139972710825063</v>
      </c>
      <c r="G736" s="869">
        <f>'9. SavingsData'!F595</f>
        <v>4503.0267272611982</v>
      </c>
      <c r="H736" s="837">
        <f>'9. SavingsData'!G595</f>
        <v>1286.4762530081027</v>
      </c>
      <c r="I736" s="869">
        <f t="shared" si="78"/>
        <v>15384.605509348559</v>
      </c>
      <c r="J736" s="837">
        <f t="shared" si="79"/>
        <v>1372.6162257189278</v>
      </c>
      <c r="K736" s="837">
        <f t="shared" si="80"/>
        <v>16757.221735067487</v>
      </c>
      <c r="L736" s="3043">
        <f t="shared" ref="L736:M736" si="104">IF(C103=0,0,(I736/C103))</f>
        <v>2.56118321813259E-2</v>
      </c>
      <c r="M736" s="894">
        <f t="shared" si="104"/>
        <v>4.5805317814393513E-3</v>
      </c>
      <c r="N736" s="2011">
        <f t="shared" si="82"/>
        <v>1.8611967747066211E-2</v>
      </c>
    </row>
    <row r="737" spans="1:14" s="15" customFormat="1" ht="12" x14ac:dyDescent="0.2">
      <c r="A737" s="850">
        <f t="shared" ref="A737:B737" si="105">A736+1</f>
        <v>73</v>
      </c>
      <c r="B737" s="851">
        <f t="shared" si="105"/>
        <v>68</v>
      </c>
      <c r="C737" s="869">
        <f>'7. IRAdata'!$G420</f>
        <v>9755.780815869748</v>
      </c>
      <c r="D737" s="868">
        <f>'7. IRAdata'!$H420</f>
        <v>0</v>
      </c>
      <c r="E737" s="837">
        <f>'8. RothData'!G351</f>
        <v>1583.5364872441664</v>
      </c>
      <c r="F737" s="837">
        <f>'8. RothData'!H351</f>
        <v>0</v>
      </c>
      <c r="G737" s="869">
        <f>'9. SavingsData'!F596</f>
        <v>7330.8458278827966</v>
      </c>
      <c r="H737" s="837">
        <f>'9. SavingsData'!G596</f>
        <v>1613.7757376870413</v>
      </c>
      <c r="I737" s="869">
        <f t="shared" si="78"/>
        <v>18670.163130996712</v>
      </c>
      <c r="J737" s="837">
        <f t="shared" si="79"/>
        <v>1613.7757376870413</v>
      </c>
      <c r="K737" s="837">
        <f t="shared" si="80"/>
        <v>20283.938868683756</v>
      </c>
      <c r="L737" s="3043">
        <f t="shared" ref="L737:M737" si="106">IF(C104=0,0,(I737/C104))</f>
        <v>2.9878911119523972E-2</v>
      </c>
      <c r="M737" s="894">
        <f t="shared" si="106"/>
        <v>4.832766608380926E-3</v>
      </c>
      <c r="N737" s="2011">
        <f t="shared" si="82"/>
        <v>2.1155885376761444E-2</v>
      </c>
    </row>
    <row r="738" spans="1:14" s="15" customFormat="1" ht="12" x14ac:dyDescent="0.2">
      <c r="A738" s="873">
        <f t="shared" ref="A738:B738" si="107">A737+1</f>
        <v>74</v>
      </c>
      <c r="B738" s="874">
        <f t="shared" si="107"/>
        <v>69</v>
      </c>
      <c r="C738" s="869">
        <f>'7. IRAdata'!$G421</f>
        <v>9851.4624987162351</v>
      </c>
      <c r="D738" s="868">
        <f>'7. IRAdata'!$H421</f>
        <v>0</v>
      </c>
      <c r="E738" s="837">
        <f>'8. RothData'!G352</f>
        <v>1657.4785253202735</v>
      </c>
      <c r="F738" s="837">
        <f>'8. RothData'!H352</f>
        <v>0</v>
      </c>
      <c r="G738" s="869">
        <f>'9. SavingsData'!F597</f>
        <v>5380.3505105059739</v>
      </c>
      <c r="H738" s="837">
        <f>'9. SavingsData'!G597</f>
        <v>8050.5948403294924</v>
      </c>
      <c r="I738" s="866">
        <f t="shared" si="78"/>
        <v>16889.291534542484</v>
      </c>
      <c r="J738" s="867">
        <f t="shared" si="79"/>
        <v>8050.5948403294924</v>
      </c>
      <c r="K738" s="867">
        <f t="shared" si="80"/>
        <v>24939.886374871978</v>
      </c>
      <c r="L738" s="3043">
        <f t="shared" ref="L738:M738" si="108">IF(C105=0,0,(I738/C105))</f>
        <v>2.597988964680939E-2</v>
      </c>
      <c r="M738" s="894">
        <f t="shared" si="108"/>
        <v>2.1776435303839024E-2</v>
      </c>
      <c r="N738" s="2011">
        <f t="shared" si="82"/>
        <v>2.4456049702115158E-2</v>
      </c>
    </row>
    <row r="739" spans="1:14" s="15" customFormat="1" ht="12" x14ac:dyDescent="0.2">
      <c r="A739" s="850">
        <f t="shared" ref="A739:B739" si="109">A738+1</f>
        <v>75</v>
      </c>
      <c r="B739" s="851">
        <f t="shared" si="109"/>
        <v>70</v>
      </c>
      <c r="C739" s="869">
        <f>'7. IRAdata'!$G422</f>
        <v>15109.559306087787</v>
      </c>
      <c r="D739" s="868">
        <f>'7. IRAdata'!$H422</f>
        <v>9021.2382835803946</v>
      </c>
      <c r="E739" s="837">
        <f>'8. RothData'!G353</f>
        <v>3602.0206728167805</v>
      </c>
      <c r="F739" s="837">
        <f>'8. RothData'!H353</f>
        <v>1746.2912492815417</v>
      </c>
      <c r="G739" s="869">
        <f>'9. SavingsData'!F598</f>
        <v>17197.327716682845</v>
      </c>
      <c r="H739" s="837">
        <f>'9. SavingsData'!G598</f>
        <v>8636.7531966299557</v>
      </c>
      <c r="I739" s="869">
        <f t="shared" si="78"/>
        <v>35908.907695587412</v>
      </c>
      <c r="J739" s="837">
        <f t="shared" si="79"/>
        <v>19404.28272949189</v>
      </c>
      <c r="K739" s="837">
        <f t="shared" si="80"/>
        <v>55313.190425079301</v>
      </c>
      <c r="L739" s="3043">
        <f t="shared" ref="L739:M739" si="110">IF(C106=0,0,(I739/C106))</f>
        <v>5.3132373661389266E-2</v>
      </c>
      <c r="M739" s="894">
        <f t="shared" si="110"/>
        <v>4.8025610255761131E-2</v>
      </c>
      <c r="N739" s="2011">
        <f t="shared" si="82"/>
        <v>5.1221660972578929E-2</v>
      </c>
    </row>
    <row r="740" spans="1:14" s="15" customFormat="1" ht="12" x14ac:dyDescent="0.2">
      <c r="A740" s="850">
        <f t="shared" ref="A740:B740" si="111">A739+1</f>
        <v>76</v>
      </c>
      <c r="B740" s="851">
        <f t="shared" si="111"/>
        <v>71</v>
      </c>
      <c r="C740" s="869">
        <f>'7. IRAdata'!$G423</f>
        <v>7579.3427603419041</v>
      </c>
      <c r="D740" s="868">
        <f>'7. IRAdata'!$H423</f>
        <v>4648.6099465402694</v>
      </c>
      <c r="E740" s="837">
        <f>'8. RothData'!G354</f>
        <v>1489.4478578814353</v>
      </c>
      <c r="F740" s="837">
        <f>'8. RothData'!H354</f>
        <v>740.67121543847838</v>
      </c>
      <c r="G740" s="869">
        <f>'9. SavingsData'!F599</f>
        <v>3900.2526203075686</v>
      </c>
      <c r="H740" s="837">
        <f>'9. SavingsData'!G599</f>
        <v>1669.1376346170464</v>
      </c>
      <c r="I740" s="869">
        <f t="shared" si="78"/>
        <v>12969.043238530909</v>
      </c>
      <c r="J740" s="837">
        <f t="shared" si="79"/>
        <v>7058.4187965957944</v>
      </c>
      <c r="K740" s="837">
        <f t="shared" si="80"/>
        <v>20027.462035126704</v>
      </c>
      <c r="L740" s="3043">
        <f t="shared" ref="L740:M740" si="112">IF(C107=0,0,(I740/C107))</f>
        <v>2.1333702532492411E-2</v>
      </c>
      <c r="M740" s="894">
        <f t="shared" si="112"/>
        <v>2.0869605211826139E-2</v>
      </c>
      <c r="N740" s="2011">
        <f t="shared" si="82"/>
        <v>2.1167800363464974E-2</v>
      </c>
    </row>
    <row r="741" spans="1:14" s="15" customFormat="1" ht="12" x14ac:dyDescent="0.2">
      <c r="A741" s="850">
        <f t="shared" ref="A741:B741" si="113">A740+1</f>
        <v>77</v>
      </c>
      <c r="B741" s="851">
        <f t="shared" si="113"/>
        <v>72</v>
      </c>
      <c r="C741" s="869">
        <f>'7. IRAdata'!$G424</f>
        <v>7516.6256019947541</v>
      </c>
      <c r="D741" s="868">
        <f>'7. IRAdata'!$H424</f>
        <v>4650.03995580027</v>
      </c>
      <c r="E741" s="837">
        <f>'8. RothData'!G355</f>
        <v>1541.929290336393</v>
      </c>
      <c r="F741" s="837">
        <f>'8. RothData'!H355</f>
        <v>1950.0545033826211</v>
      </c>
      <c r="G741" s="869">
        <f>'9. SavingsData'!F600</f>
        <v>21550.735626209207</v>
      </c>
      <c r="H741" s="837">
        <f>'9. SavingsData'!G600</f>
        <v>19206.236352934306</v>
      </c>
      <c r="I741" s="869">
        <f t="shared" si="78"/>
        <v>30609.290518540354</v>
      </c>
      <c r="J741" s="837">
        <f t="shared" si="79"/>
        <v>25806.330812117198</v>
      </c>
      <c r="K741" s="837">
        <f t="shared" si="80"/>
        <v>56415.621330657552</v>
      </c>
      <c r="L741" s="3043">
        <f t="shared" ref="L741:M741" si="114">IF(C108=0,0,(I741/C108))</f>
        <v>4.8379342820589262E-2</v>
      </c>
      <c r="M741" s="894">
        <f t="shared" si="114"/>
        <v>7.2746195455007615E-2</v>
      </c>
      <c r="N741" s="2011">
        <f t="shared" si="82"/>
        <v>5.71333220867625E-2</v>
      </c>
    </row>
    <row r="742" spans="1:14" s="15" customFormat="1" ht="12" x14ac:dyDescent="0.2">
      <c r="A742" s="850">
        <f t="shared" ref="A742:B742" si="115">A741+1</f>
        <v>78</v>
      </c>
      <c r="B742" s="851">
        <f t="shared" si="115"/>
        <v>73</v>
      </c>
      <c r="C742" s="869">
        <f>'7. IRAdata'!$G425</f>
        <v>7488.650041736475</v>
      </c>
      <c r="D742" s="868">
        <f>'7. IRAdata'!$H425</f>
        <v>4651.430283256057</v>
      </c>
      <c r="E742" s="837">
        <f>'8. RothData'!G356</f>
        <v>1601.8148448412101</v>
      </c>
      <c r="F742" s="837">
        <f>'8. RothData'!H356</f>
        <v>2018.8881320302469</v>
      </c>
      <c r="G742" s="869">
        <f>'9. SavingsData'!F601</f>
        <v>22239.144519391026</v>
      </c>
      <c r="H742" s="837">
        <f>'9. SavingsData'!G601</f>
        <v>19769.739956668913</v>
      </c>
      <c r="I742" s="869">
        <f t="shared" si="78"/>
        <v>31329.609405968709</v>
      </c>
      <c r="J742" s="837">
        <f t="shared" si="79"/>
        <v>26440.058371955216</v>
      </c>
      <c r="K742" s="837">
        <f t="shared" si="80"/>
        <v>57769.667777923925</v>
      </c>
      <c r="L742" s="3043">
        <f t="shared" ref="L742:M742" si="116">IF(C109=0,0,(I742/C109))</f>
        <v>4.7420407755086935E-2</v>
      </c>
      <c r="M742" s="894">
        <f t="shared" si="116"/>
        <v>7.0835534801146682E-2</v>
      </c>
      <c r="N742" s="2011">
        <f t="shared" si="82"/>
        <v>5.5873457568413817E-2</v>
      </c>
    </row>
    <row r="743" spans="1:14" s="15" customFormat="1" ht="12" x14ac:dyDescent="0.2">
      <c r="A743" s="850">
        <f t="shared" ref="A743:B743" si="117">A742+1</f>
        <v>79</v>
      </c>
      <c r="B743" s="851">
        <f t="shared" si="117"/>
        <v>74</v>
      </c>
      <c r="C743" s="869">
        <f>'7. IRAdata'!$G426</f>
        <v>7421.1239439928586</v>
      </c>
      <c r="D743" s="868">
        <f>'7. IRAdata'!$H426</f>
        <v>4652.7506382301772</v>
      </c>
      <c r="E743" s="837">
        <f>'8. RothData'!G357</f>
        <v>1660.5933364700297</v>
      </c>
      <c r="F743" s="837">
        <f>'8. RothData'!H357</f>
        <v>2090.9150205556411</v>
      </c>
      <c r="G743" s="869">
        <f>'9. SavingsData'!F602</f>
        <v>22946.120193141087</v>
      </c>
      <c r="H743" s="837">
        <f>'9. SavingsData'!G602</f>
        <v>20348.88601111247</v>
      </c>
      <c r="I743" s="869">
        <f t="shared" si="78"/>
        <v>32027.837473603977</v>
      </c>
      <c r="J743" s="837">
        <f t="shared" si="79"/>
        <v>27092.55166989829</v>
      </c>
      <c r="K743" s="837">
        <f t="shared" si="80"/>
        <v>59120.389143502267</v>
      </c>
      <c r="L743" s="3043">
        <f t="shared" ref="L743:M743" si="118">IF(C110=0,0,(I743/C110))</f>
        <v>4.6424276945929099E-2</v>
      </c>
      <c r="M743" s="894">
        <f t="shared" si="118"/>
        <v>6.8995733827308461E-2</v>
      </c>
      <c r="N743" s="2011">
        <f t="shared" si="82"/>
        <v>5.4611443731144682E-2</v>
      </c>
    </row>
    <row r="744" spans="1:14" s="15" customFormat="1" ht="12" x14ac:dyDescent="0.2">
      <c r="A744" s="850">
        <f t="shared" ref="A744:B744" si="119">A743+1</f>
        <v>80</v>
      </c>
      <c r="B744" s="851">
        <f t="shared" si="119"/>
        <v>75</v>
      </c>
      <c r="C744" s="869">
        <f>'7. IRAdata'!$G427</f>
        <v>7351.2641876396683</v>
      </c>
      <c r="D744" s="868">
        <f>'7. IRAdata'!$H427</f>
        <v>4653.9656372227955</v>
      </c>
      <c r="E744" s="837">
        <f>'8. RothData'!G358</f>
        <v>1723.0499501712466</v>
      </c>
      <c r="F744" s="837">
        <f>'8. RothData'!H358</f>
        <v>2166.3263451926978</v>
      </c>
      <c r="G744" s="869">
        <f>'9. SavingsData'!F603</f>
        <v>23613.957617016997</v>
      </c>
      <c r="H744" s="837">
        <f>'9. SavingsData'!G603</f>
        <v>20867.419670522027</v>
      </c>
      <c r="I744" s="869">
        <f t="shared" si="78"/>
        <v>32688.271754827911</v>
      </c>
      <c r="J744" s="837">
        <f t="shared" si="79"/>
        <v>27687.71165293752</v>
      </c>
      <c r="K744" s="837">
        <f t="shared" si="80"/>
        <v>60375.98340776543</v>
      </c>
      <c r="L744" s="3043">
        <f t="shared" ref="L744:M744" si="120">IF(C111=0,0,(I744/C111))</f>
        <v>4.5743884768409959E-2</v>
      </c>
      <c r="M744" s="894">
        <f t="shared" si="120"/>
        <v>6.8308049053557113E-2</v>
      </c>
      <c r="N744" s="2011">
        <f t="shared" si="82"/>
        <v>5.3910532858069848E-2</v>
      </c>
    </row>
    <row r="745" spans="1:14" s="15" customFormat="1" ht="12" x14ac:dyDescent="0.2">
      <c r="A745" s="850">
        <f t="shared" ref="A745:B745" si="121">A744+1</f>
        <v>81</v>
      </c>
      <c r="B745" s="851">
        <f t="shared" si="121"/>
        <v>76</v>
      </c>
      <c r="C745" s="869">
        <f>'7. IRAdata'!$G428</f>
        <v>7278.8711846139395</v>
      </c>
      <c r="D745" s="868">
        <f>'7. IRAdata'!$H428</f>
        <v>4655.0339259530156</v>
      </c>
      <c r="E745" s="837">
        <f>'8. RothData'!G359</f>
        <v>1789.3406855675075</v>
      </c>
      <c r="F745" s="837">
        <f>'8. RothData'!H359</f>
        <v>880.25588745493837</v>
      </c>
      <c r="G745" s="869">
        <f>'9. SavingsData'!F604</f>
        <v>5529.2896399179945</v>
      </c>
      <c r="H745" s="837">
        <f>'9. SavingsData'!G604</f>
        <v>2648.9631901995831</v>
      </c>
      <c r="I745" s="869">
        <f t="shared" si="78"/>
        <v>14597.501510099442</v>
      </c>
      <c r="J745" s="837">
        <f t="shared" si="79"/>
        <v>8184.2530036075368</v>
      </c>
      <c r="K745" s="837">
        <f t="shared" si="80"/>
        <v>22781.754513706979</v>
      </c>
      <c r="L745" s="3043">
        <f t="shared" ref="L745:M745" si="122">IF(C112=0,0,(I745/C112))</f>
        <v>1.9716627557738127E-2</v>
      </c>
      <c r="M745" s="894">
        <f t="shared" si="122"/>
        <v>1.9461130392157095E-2</v>
      </c>
      <c r="N745" s="2011">
        <f t="shared" si="82"/>
        <v>1.9624072736224407E-2</v>
      </c>
    </row>
    <row r="746" spans="1:14" s="15" customFormat="1" ht="12" x14ac:dyDescent="0.2">
      <c r="A746" s="850">
        <f t="shared" ref="A746:B746" si="123">A745+1</f>
        <v>82</v>
      </c>
      <c r="B746" s="851">
        <f t="shared" si="123"/>
        <v>77</v>
      </c>
      <c r="C746" s="869">
        <f>'7. IRAdata'!$G429</f>
        <v>7203.7190240805339</v>
      </c>
      <c r="D746" s="868">
        <f>'7. IRAdata'!$H429</f>
        <v>4633.9452913606929</v>
      </c>
      <c r="E746" s="837">
        <f>'8. RothData'!G360</f>
        <v>1859.8903415298621</v>
      </c>
      <c r="F746" s="837">
        <f>'8. RothData'!H360</f>
        <v>909.49300038847559</v>
      </c>
      <c r="G746" s="869">
        <f>'9. SavingsData'!F605</f>
        <v>5855.8576690854934</v>
      </c>
      <c r="H746" s="837">
        <f>'9. SavingsData'!G605</f>
        <v>2825.1347226781636</v>
      </c>
      <c r="I746" s="869">
        <f t="shared" si="78"/>
        <v>14919.46703469589</v>
      </c>
      <c r="J746" s="837">
        <f t="shared" si="79"/>
        <v>8368.573014427333</v>
      </c>
      <c r="K746" s="837">
        <f t="shared" si="80"/>
        <v>23288.040049123221</v>
      </c>
      <c r="L746" s="3043">
        <f t="shared" ref="L746:M746" si="124">IF(C113=0,0,(I746/C113))</f>
        <v>1.9445718160373059E-2</v>
      </c>
      <c r="M746" s="894">
        <f t="shared" si="124"/>
        <v>1.9233161159578859E-2</v>
      </c>
      <c r="N746" s="2011">
        <f t="shared" si="82"/>
        <v>1.9368796994084104E-2</v>
      </c>
    </row>
    <row r="747" spans="1:14" s="15" customFormat="1" ht="12" x14ac:dyDescent="0.2">
      <c r="A747" s="850">
        <f t="shared" ref="A747:B747" si="125">A746+1</f>
        <v>83</v>
      </c>
      <c r="B747" s="851">
        <f t="shared" si="125"/>
        <v>78</v>
      </c>
      <c r="C747" s="869">
        <f>'7. IRAdata'!$G430</f>
        <v>7125.5506336153812</v>
      </c>
      <c r="D747" s="868">
        <f>'7. IRAdata'!$H430</f>
        <v>4634.6717971060316</v>
      </c>
      <c r="E747" s="837">
        <f>'8. RothData'!G361</f>
        <v>1935.185270019887</v>
      </c>
      <c r="F747" s="837">
        <f>'8. RothData'!H361</f>
        <v>945.33551819364209</v>
      </c>
      <c r="G747" s="869">
        <f>'9. SavingsData'!F606</f>
        <v>24233.179769165297</v>
      </c>
      <c r="H747" s="837">
        <f>'9. SavingsData'!G606</f>
        <v>21047.930659682359</v>
      </c>
      <c r="I747" s="869">
        <f t="shared" si="78"/>
        <v>33293.915672800562</v>
      </c>
      <c r="J747" s="837">
        <f t="shared" si="79"/>
        <v>26627.937974982033</v>
      </c>
      <c r="K747" s="837">
        <f t="shared" si="80"/>
        <v>59921.853647782598</v>
      </c>
      <c r="L747" s="3043">
        <f t="shared" ref="L747:M747" si="126">IF(C114=0,0,(I747/C114))</f>
        <v>4.1866260050955652E-2</v>
      </c>
      <c r="M747" s="894">
        <f t="shared" si="126"/>
        <v>5.9129873954874158E-2</v>
      </c>
      <c r="N747" s="2011">
        <f t="shared" si="82"/>
        <v>4.8107813222866225E-2</v>
      </c>
    </row>
    <row r="748" spans="1:14" s="15" customFormat="1" ht="12" x14ac:dyDescent="0.2">
      <c r="A748" s="850">
        <f t="shared" ref="A748:B748" si="127">A747+1</f>
        <v>84</v>
      </c>
      <c r="B748" s="851">
        <f t="shared" si="127"/>
        <v>79</v>
      </c>
      <c r="C748" s="869">
        <f>'7. IRAdata'!$G431</f>
        <v>7044.0717593487179</v>
      </c>
      <c r="D748" s="868">
        <f>'7. IRAdata'!$H431</f>
        <v>4611.3216492740676</v>
      </c>
      <c r="E748" s="837">
        <f>'8. RothData'!G362</f>
        <v>2015.8024163824475</v>
      </c>
      <c r="F748" s="837">
        <f>'8. RothData'!H362</f>
        <v>978.70539193863488</v>
      </c>
      <c r="G748" s="869">
        <f>'9. SavingsData'!F607</f>
        <v>24941.301091275793</v>
      </c>
      <c r="H748" s="837">
        <f>'9. SavingsData'!G607</f>
        <v>21597.569196341901</v>
      </c>
      <c r="I748" s="869">
        <f t="shared" si="78"/>
        <v>34001.175267006955</v>
      </c>
      <c r="J748" s="837">
        <f t="shared" si="79"/>
        <v>27187.596237554604</v>
      </c>
      <c r="K748" s="837">
        <f t="shared" si="80"/>
        <v>61188.771504561562</v>
      </c>
      <c r="L748" s="3043">
        <f t="shared" ref="L748:M748" si="128">IF(C115=0,0,(I748/C115))</f>
        <v>4.1242371086604043E-2</v>
      </c>
      <c r="M748" s="894">
        <f t="shared" si="128"/>
        <v>5.8312605420447E-2</v>
      </c>
      <c r="N748" s="2011">
        <f t="shared" si="82"/>
        <v>4.7408821999198499E-2</v>
      </c>
    </row>
    <row r="749" spans="1:14" s="15" customFormat="1" ht="12" x14ac:dyDescent="0.2">
      <c r="A749" s="850">
        <f t="shared" ref="A749:B749" si="129">A748+1</f>
        <v>85</v>
      </c>
      <c r="B749" s="851">
        <f t="shared" si="129"/>
        <v>80</v>
      </c>
      <c r="C749" s="869">
        <f>'7. IRAdata'!$G432</f>
        <v>6911.9235088211781</v>
      </c>
      <c r="D749" s="868">
        <f>'7. IRAdata'!$H432</f>
        <v>4586.824810646779</v>
      </c>
      <c r="E749" s="837">
        <f>'8. RothData'!G363</f>
        <v>2094.3661674300292</v>
      </c>
      <c r="F749" s="837">
        <f>'8. RothData'!H363</f>
        <v>1014.5511010112991</v>
      </c>
      <c r="G749" s="869">
        <f>'9. SavingsData'!F608</f>
        <v>25667.479466548095</v>
      </c>
      <c r="H749" s="837">
        <f>'9. SavingsData'!G608</f>
        <v>22160.934447480744</v>
      </c>
      <c r="I749" s="869">
        <f t="shared" si="78"/>
        <v>34673.769142799298</v>
      </c>
      <c r="J749" s="837">
        <f t="shared" si="79"/>
        <v>27762.310359138821</v>
      </c>
      <c r="K749" s="837">
        <f t="shared" si="80"/>
        <v>62436.079501938118</v>
      </c>
      <c r="L749" s="3043">
        <f t="shared" ref="L749:M749" si="130">IF(C116=0,0,(I749/C116))</f>
        <v>4.0562697854757988E-2</v>
      </c>
      <c r="M749" s="894">
        <f t="shared" si="130"/>
        <v>5.7496689351296454E-2</v>
      </c>
      <c r="N749" s="2011">
        <f t="shared" si="82"/>
        <v>4.6675258976917128E-2</v>
      </c>
    </row>
    <row r="750" spans="1:14" s="15" customFormat="1" ht="12" x14ac:dyDescent="0.2">
      <c r="A750" s="850">
        <f t="shared" ref="A750:B750" si="131">A749+1</f>
        <v>86</v>
      </c>
      <c r="B750" s="851">
        <f t="shared" si="131"/>
        <v>81</v>
      </c>
      <c r="C750" s="869">
        <f>'7. IRAdata'!$G433</f>
        <v>6775.6633270515913</v>
      </c>
      <c r="D750" s="868">
        <f>'7. IRAdata'!$H433</f>
        <v>4561.0457340740159</v>
      </c>
      <c r="E750" s="837">
        <f>'8. RothData'!G364</f>
        <v>1237.2481942145641</v>
      </c>
      <c r="F750" s="837">
        <f>'8. RothData'!H364</f>
        <v>1052.9734248653303</v>
      </c>
      <c r="G750" s="869">
        <f>'9. SavingsData'!F609</f>
        <v>19144.761127488</v>
      </c>
      <c r="H750" s="837">
        <f>'9. SavingsData'!G609</f>
        <v>24326.405642428788</v>
      </c>
      <c r="I750" s="869">
        <f t="shared" si="78"/>
        <v>27157.672648754156</v>
      </c>
      <c r="J750" s="837">
        <f t="shared" si="79"/>
        <v>29940.424801368135</v>
      </c>
      <c r="K750" s="837">
        <f t="shared" si="80"/>
        <v>57098.097450122295</v>
      </c>
      <c r="L750" s="3043">
        <f t="shared" ref="L750:M750" si="132">IF(C117=0,0,(I750/C117))</f>
        <v>0.16998497543594829</v>
      </c>
      <c r="M750" s="894">
        <f t="shared" si="132"/>
        <v>4.543378533364667E-2</v>
      </c>
      <c r="N750" s="2011">
        <f t="shared" si="82"/>
        <v>6.9737669483247444E-2</v>
      </c>
    </row>
    <row r="751" spans="1:14" s="15" customFormat="1" ht="12" x14ac:dyDescent="0.2">
      <c r="A751" s="850">
        <f t="shared" ref="A751:B751" si="133">A750+1</f>
        <v>87</v>
      </c>
      <c r="B751" s="851">
        <f t="shared" si="133"/>
        <v>82</v>
      </c>
      <c r="C751" s="869">
        <f>'7. IRAdata'!$G434</f>
        <v>6634.9314053412454</v>
      </c>
      <c r="D751" s="868">
        <f>'7. IRAdata'!$H434</f>
        <v>4533.8295309253135</v>
      </c>
      <c r="E751" s="837">
        <f>'8. RothData'!G365</f>
        <v>1293.6641949890191</v>
      </c>
      <c r="F751" s="837">
        <f>'8. RothData'!H365</f>
        <v>1094.3078065364252</v>
      </c>
      <c r="G751" s="869">
        <f>'9. SavingsData'!F610</f>
        <v>0</v>
      </c>
      <c r="H751" s="837">
        <f>'9. SavingsData'!G610</f>
        <v>5277.5508513253544</v>
      </c>
      <c r="I751" s="869">
        <f t="shared" si="78"/>
        <v>7928.5956003302645</v>
      </c>
      <c r="J751" s="837">
        <f t="shared" si="79"/>
        <v>10905.688188787093</v>
      </c>
      <c r="K751" s="837">
        <f t="shared" si="80"/>
        <v>18834.283789117359</v>
      </c>
      <c r="L751" s="3043">
        <f t="shared" ref="L751:M751" si="134">IF(C118=0,0,(I751/C118))</f>
        <v>5.1250275534833349E-2</v>
      </c>
      <c r="M751" s="894">
        <f t="shared" si="134"/>
        <v>1.6380632497401883E-2</v>
      </c>
      <c r="N751" s="2011">
        <f t="shared" si="82"/>
        <v>2.2955461927673095E-2</v>
      </c>
    </row>
    <row r="752" spans="1:14" s="15" customFormat="1" ht="12" x14ac:dyDescent="0.2">
      <c r="A752" s="850">
        <f t="shared" ref="A752:B752" si="135">A751+1</f>
        <v>88</v>
      </c>
      <c r="B752" s="851">
        <f t="shared" si="135"/>
        <v>83</v>
      </c>
      <c r="C752" s="869">
        <f>'7. IRAdata'!$G435</f>
        <v>6489.316801132949</v>
      </c>
      <c r="D752" s="868">
        <f>'7. IRAdata'!$H435</f>
        <v>4504.9984145393655</v>
      </c>
      <c r="E752" s="837">
        <f>'8. RothData'!G366</f>
        <v>1355.6703610361587</v>
      </c>
      <c r="F752" s="837">
        <f>'8. RothData'!H366</f>
        <v>1138.9411808316336</v>
      </c>
      <c r="G752" s="869">
        <f>'9. SavingsData'!F611</f>
        <v>0</v>
      </c>
      <c r="H752" s="837">
        <f>'9. SavingsData'!G611</f>
        <v>5373.7142497786217</v>
      </c>
      <c r="I752" s="869">
        <f t="shared" si="78"/>
        <v>7844.9871621691073</v>
      </c>
      <c r="J752" s="837">
        <f t="shared" si="79"/>
        <v>11017.65384514962</v>
      </c>
      <c r="K752" s="837">
        <f t="shared" si="80"/>
        <v>18862.641007318729</v>
      </c>
      <c r="L752" s="3043">
        <f t="shared" ref="L752:M752" si="136">IF(C119=0,0,(I752/C119))</f>
        <v>5.2359571074520966E-2</v>
      </c>
      <c r="M752" s="894">
        <f t="shared" si="136"/>
        <v>1.6380048747037215E-2</v>
      </c>
      <c r="N752" s="2011">
        <f t="shared" si="82"/>
        <v>2.2934542040928114E-2</v>
      </c>
    </row>
    <row r="753" spans="1:14" s="15" customFormat="1" ht="12" x14ac:dyDescent="0.2">
      <c r="A753" s="850">
        <f t="shared" ref="A753:B753" si="137">A752+1</f>
        <v>89</v>
      </c>
      <c r="B753" s="851">
        <f t="shared" si="137"/>
        <v>84</v>
      </c>
      <c r="C753" s="869">
        <f>'7. IRAdata'!$G436</f>
        <v>6338.3468932073392</v>
      </c>
      <c r="D753" s="868">
        <f>'7. IRAdata'!$H436</f>
        <v>4474.3472854550237</v>
      </c>
      <c r="E753" s="837">
        <f>'8. RothData'!G367</f>
        <v>1424.1798964142099</v>
      </c>
      <c r="F753" s="837">
        <f>'8. RothData'!H367</f>
        <v>1187.3372262942755</v>
      </c>
      <c r="G753" s="869">
        <f>'9. SavingsData'!F612</f>
        <v>3000</v>
      </c>
      <c r="H753" s="837">
        <f>'9. SavingsData'!G612</f>
        <v>5470.1230807073634</v>
      </c>
      <c r="I753" s="869">
        <f t="shared" si="78"/>
        <v>10762.526789621548</v>
      </c>
      <c r="J753" s="837">
        <f t="shared" si="79"/>
        <v>11131.807592456662</v>
      </c>
      <c r="K753" s="837">
        <f t="shared" si="80"/>
        <v>21894.33438207821</v>
      </c>
      <c r="L753" s="3043">
        <f t="shared" ref="L753:M753" si="138">IF(C120=0,0,(I753/C120))</f>
        <v>7.4148670597879163E-2</v>
      </c>
      <c r="M753" s="894">
        <f t="shared" si="138"/>
        <v>1.6380695906001712E-2</v>
      </c>
      <c r="N753" s="2011">
        <f t="shared" si="82"/>
        <v>2.6547706619280863E-2</v>
      </c>
    </row>
    <row r="754" spans="1:14" s="15" customFormat="1" ht="12" x14ac:dyDescent="0.2">
      <c r="A754" s="850">
        <f t="shared" ref="A754:B754" si="139">A753+1</f>
        <v>90</v>
      </c>
      <c r="B754" s="851">
        <f t="shared" si="139"/>
        <v>85</v>
      </c>
      <c r="C754" s="869">
        <f>'7. IRAdata'!$G437</f>
        <v>6127.2504167544475</v>
      </c>
      <c r="D754" s="868">
        <f>'7. IRAdata'!$H437</f>
        <v>4411.6271241096811</v>
      </c>
      <c r="E754" s="837">
        <f>'8. RothData'!G368</f>
        <v>1487.1611572098077</v>
      </c>
      <c r="F754" s="837">
        <f>'8. RothData'!H368</f>
        <v>1231.6769626019181</v>
      </c>
      <c r="G754" s="869">
        <f>'9. SavingsData'!F613</f>
        <v>3000</v>
      </c>
      <c r="H754" s="837">
        <f>'9. SavingsData'!G613</f>
        <v>5566.7683079070084</v>
      </c>
      <c r="I754" s="869">
        <f t="shared" si="78"/>
        <v>10614.411573964255</v>
      </c>
      <c r="J754" s="837">
        <f t="shared" si="79"/>
        <v>11210.072394618608</v>
      </c>
      <c r="K754" s="837">
        <f t="shared" si="80"/>
        <v>21824.483968582863</v>
      </c>
      <c r="L754" s="3043">
        <f t="shared" ref="L754:M754" si="140">IF(C121=0,0,(I754/C121))</f>
        <v>7.5449443912876488E-2</v>
      </c>
      <c r="M754" s="894">
        <f t="shared" si="140"/>
        <v>1.6326721800225315E-2</v>
      </c>
      <c r="N754" s="2011">
        <f t="shared" si="82"/>
        <v>2.6380651143263247E-2</v>
      </c>
    </row>
    <row r="755" spans="1:14" s="15" customFormat="1" ht="12" x14ac:dyDescent="0.2">
      <c r="A755" s="850">
        <f t="shared" ref="A755:B755" si="141">A754+1</f>
        <v>91</v>
      </c>
      <c r="B755" s="851">
        <f t="shared" si="141"/>
        <v>86</v>
      </c>
      <c r="C755" s="869">
        <f>'7. IRAdata'!$G438</f>
        <v>5911.632363744995</v>
      </c>
      <c r="D755" s="868">
        <f>'7. IRAdata'!$H438</f>
        <v>4346.2168803228033</v>
      </c>
      <c r="E755" s="837">
        <f>'8. RothData'!G369</f>
        <v>1557.3624668877642</v>
      </c>
      <c r="F755" s="837">
        <f>'8. RothData'!H369</f>
        <v>1279.9650522990696</v>
      </c>
      <c r="G755" s="869">
        <f>'9. SavingsData'!F614</f>
        <v>3000</v>
      </c>
      <c r="H755" s="837">
        <f>'9. SavingsData'!G614</f>
        <v>5663.115680074975</v>
      </c>
      <c r="I755" s="869">
        <f t="shared" si="78"/>
        <v>10468.994830632759</v>
      </c>
      <c r="J755" s="837">
        <f t="shared" si="79"/>
        <v>11289.297612696848</v>
      </c>
      <c r="K755" s="837">
        <f t="shared" si="80"/>
        <v>21758.292443329607</v>
      </c>
      <c r="L755" s="3043">
        <f t="shared" ref="L755:M755" si="142">IF(C122=0,0,(I755/C122))</f>
        <v>7.6706949726024792E-2</v>
      </c>
      <c r="M755" s="894">
        <f t="shared" si="142"/>
        <v>1.6273667184580672E-2</v>
      </c>
      <c r="N755" s="2011">
        <f t="shared" si="82"/>
        <v>2.6208619707300929E-2</v>
      </c>
    </row>
    <row r="756" spans="1:14" s="15" customFormat="1" ht="12" x14ac:dyDescent="0.2">
      <c r="A756" s="850">
        <f t="shared" ref="A756:B756" si="143">A755+1</f>
        <v>92</v>
      </c>
      <c r="B756" s="851">
        <f t="shared" si="143"/>
        <v>87</v>
      </c>
      <c r="C756" s="869">
        <f>'7. IRAdata'!$G439</f>
        <v>5691.1188291031267</v>
      </c>
      <c r="D756" s="868">
        <f>'7. IRAdata'!$H439</f>
        <v>4277.8340893965724</v>
      </c>
      <c r="E756" s="837">
        <f>'8. RothData'!G370</f>
        <v>1634.9131638609717</v>
      </c>
      <c r="F756" s="837">
        <f>'8. RothData'!H370</f>
        <v>1332.3461008098152</v>
      </c>
      <c r="G756" s="869">
        <f>'9. SavingsData'!F615</f>
        <v>3000</v>
      </c>
      <c r="H756" s="837">
        <f>'9. SavingsData'!G615</f>
        <v>5765.4697695189789</v>
      </c>
      <c r="I756" s="869">
        <f t="shared" si="78"/>
        <v>10326.031992964097</v>
      </c>
      <c r="J756" s="837">
        <f t="shared" si="79"/>
        <v>11375.649959725366</v>
      </c>
      <c r="K756" s="837">
        <f t="shared" si="80"/>
        <v>21701.681952689461</v>
      </c>
      <c r="L756" s="3043">
        <f t="shared" ref="L756:M756" si="144">IF(C123=0,0,(I756/C123))</f>
        <v>7.7903692832485563E-2</v>
      </c>
      <c r="M756" s="894">
        <f t="shared" si="144"/>
        <v>1.6215641645427725E-2</v>
      </c>
      <c r="N756" s="2011">
        <f t="shared" si="82"/>
        <v>2.6018956550257197E-2</v>
      </c>
    </row>
    <row r="757" spans="1:14" s="15" customFormat="1" ht="12" x14ac:dyDescent="0.2">
      <c r="A757" s="850">
        <f t="shared" ref="A757:B757" si="145">A756+1</f>
        <v>93</v>
      </c>
      <c r="B757" s="851">
        <f t="shared" si="145"/>
        <v>88</v>
      </c>
      <c r="C757" s="869">
        <f>'7. IRAdata'!$G440</f>
        <v>5465.2827950375513</v>
      </c>
      <c r="D757" s="868">
        <f>'7. IRAdata'!$H440</f>
        <v>4206.1555921274421</v>
      </c>
      <c r="E757" s="837">
        <f>'8. RothData'!G371</f>
        <v>1721.1931226992508</v>
      </c>
      <c r="F757" s="837">
        <f>'8. RothData'!H371</f>
        <v>1389.4784693914255</v>
      </c>
      <c r="G757" s="869">
        <f>'9. SavingsData'!F616</f>
        <v>3000</v>
      </c>
      <c r="H757" s="837">
        <f>'9. SavingsData'!G616</f>
        <v>0</v>
      </c>
      <c r="I757" s="869">
        <f t="shared" si="78"/>
        <v>10186.475917736803</v>
      </c>
      <c r="J757" s="837">
        <f t="shared" si="79"/>
        <v>5595.6340615188674</v>
      </c>
      <c r="K757" s="837">
        <f t="shared" si="80"/>
        <v>15782.109979255671</v>
      </c>
      <c r="L757" s="3043">
        <f t="shared" ref="L757:M757" si="146">IF(C124=0,0,(I757/C124))</f>
        <v>7.9030216418403451E-2</v>
      </c>
      <c r="M757" s="894">
        <f t="shared" si="146"/>
        <v>4.5621860975332038E-2</v>
      </c>
      <c r="N757" s="2011">
        <f t="shared" si="82"/>
        <v>6.274047641536086E-2</v>
      </c>
    </row>
    <row r="758" spans="1:14" s="15" customFormat="1" ht="12" x14ac:dyDescent="0.2">
      <c r="A758" s="850">
        <f t="shared" ref="A758:B758" si="147">A757+1</f>
        <v>94</v>
      </c>
      <c r="B758" s="851">
        <f t="shared" si="147"/>
        <v>89</v>
      </c>
      <c r="C758" s="869">
        <f>'7. IRAdata'!$G441</f>
        <v>5176.1201718904013</v>
      </c>
      <c r="D758" s="868">
        <f>'7. IRAdata'!$H441</f>
        <v>4130.8093373749125</v>
      </c>
      <c r="E758" s="837">
        <f>'8. RothData'!G372</f>
        <v>1797.8383353200554</v>
      </c>
      <c r="F758" s="837">
        <f>'8. RothData'!H372</f>
        <v>1452.1343166851145</v>
      </c>
      <c r="G758" s="869">
        <f>'9. SavingsData'!F617</f>
        <v>3000</v>
      </c>
      <c r="H758" s="837">
        <f>'9. SavingsData'!G617</f>
        <v>0</v>
      </c>
      <c r="I758" s="869">
        <f t="shared" si="78"/>
        <v>9973.9585072104564</v>
      </c>
      <c r="J758" s="837">
        <f t="shared" si="79"/>
        <v>5582.9436540600273</v>
      </c>
      <c r="K758" s="837">
        <f t="shared" si="80"/>
        <v>15556.902161270484</v>
      </c>
      <c r="L758" s="3043">
        <f t="shared" ref="L758:M758" si="148">IF(C125=0,0,(I758/C125))</f>
        <v>7.9445489341505388E-2</v>
      </c>
      <c r="M758" s="894">
        <f t="shared" si="148"/>
        <v>4.6355815720200491E-2</v>
      </c>
      <c r="N758" s="2011">
        <f t="shared" si="82"/>
        <v>6.3244214690772835E-2</v>
      </c>
    </row>
    <row r="759" spans="1:14" s="15" customFormat="1" ht="12" x14ac:dyDescent="0.2">
      <c r="A759" s="850">
        <f t="shared" ref="A759:B759" si="149">A758+1</f>
        <v>95</v>
      </c>
      <c r="B759" s="851">
        <f t="shared" si="149"/>
        <v>90</v>
      </c>
      <c r="C759" s="869">
        <f>'7. IRAdata'!$G442</f>
        <v>4886.107815387847</v>
      </c>
      <c r="D759" s="868">
        <f>'7. IRAdata'!$H442</f>
        <v>4015.8256409198434</v>
      </c>
      <c r="E759" s="837">
        <f>'8. RothData'!G373</f>
        <v>1884.3382960931476</v>
      </c>
      <c r="F759" s="837">
        <f>'8. RothData'!H373</f>
        <v>1507.9263744148057</v>
      </c>
      <c r="G759" s="869">
        <f>'9. SavingsData'!F618</f>
        <v>3000</v>
      </c>
      <c r="H759" s="868">
        <f>'9. SavingsData'!G618</f>
        <v>0</v>
      </c>
      <c r="I759" s="869">
        <f t="shared" si="78"/>
        <v>9770.4461114809947</v>
      </c>
      <c r="J759" s="837">
        <f t="shared" si="79"/>
        <v>5523.7520153346486</v>
      </c>
      <c r="K759" s="837">
        <f t="shared" si="80"/>
        <v>15294.198126815643</v>
      </c>
      <c r="L759" s="3043">
        <f t="shared" ref="L759:M759" si="150">IF(C126=0,0,(I759/C126))</f>
        <v>7.9728254579522415E-2</v>
      </c>
      <c r="M759" s="894">
        <f t="shared" si="150"/>
        <v>4.6671263671918296E-2</v>
      </c>
      <c r="N759" s="2011">
        <f t="shared" si="82"/>
        <v>6.3487403468806963E-2</v>
      </c>
    </row>
    <row r="760" spans="1:14" s="15" customFormat="1" ht="12.75" thickBot="1" x14ac:dyDescent="0.25">
      <c r="A760" s="1994">
        <f t="shared" ref="A760:B760" si="151">A759+1</f>
        <v>96</v>
      </c>
      <c r="B760" s="1995">
        <f t="shared" si="151"/>
        <v>91</v>
      </c>
      <c r="C760" s="1975">
        <f>'7. IRAdata'!$G443</f>
        <v>4595.1919930376125</v>
      </c>
      <c r="D760" s="1896">
        <f>'7. IRAdata'!$H443</f>
        <v>3897.1368240209572</v>
      </c>
      <c r="E760" s="1885">
        <f>'8. RothData'!G374</f>
        <v>1980.2929824886655</v>
      </c>
      <c r="F760" s="1885">
        <f>'8. RothData'!H374</f>
        <v>1569.7269392449907</v>
      </c>
      <c r="G760" s="1975">
        <f>'9. SavingsData'!F619</f>
        <v>3000</v>
      </c>
      <c r="H760" s="1896">
        <f>'9. SavingsData'!G619</f>
        <v>0</v>
      </c>
      <c r="I760" s="1975">
        <f t="shared" si="78"/>
        <v>9575.4849755262785</v>
      </c>
      <c r="J760" s="1885">
        <f t="shared" si="79"/>
        <v>5466.8637632659484</v>
      </c>
      <c r="K760" s="1885">
        <f t="shared" si="80"/>
        <v>15042.348738792227</v>
      </c>
      <c r="L760" s="3044">
        <f t="shared" ref="L760:M760" si="152">IF(C127=0,0,(I760/C127))</f>
        <v>7.985936177262172E-2</v>
      </c>
      <c r="M760" s="1562">
        <f t="shared" si="152"/>
        <v>4.6954085663390578E-2</v>
      </c>
      <c r="N760" s="2012">
        <f t="shared" si="82"/>
        <v>6.3648594603815237E-2</v>
      </c>
    </row>
    <row r="761" spans="1:14" s="1317" customFormat="1" ht="15.75" thickTop="1" x14ac:dyDescent="0.25">
      <c r="A761" s="1416"/>
      <c r="B761" s="1296"/>
      <c r="C761" s="1403"/>
      <c r="D761" s="1403"/>
      <c r="E761" s="1403"/>
      <c r="F761" s="1403"/>
      <c r="G761" s="1403"/>
      <c r="H761" s="1403"/>
      <c r="I761" s="1403"/>
      <c r="J761" s="1403"/>
      <c r="K761" s="1403"/>
      <c r="L761" s="2695"/>
      <c r="M761" s="2695"/>
      <c r="N761" s="2695"/>
    </row>
    <row r="762" spans="1:14" s="1317" customFormat="1" x14ac:dyDescent="0.25">
      <c r="A762" s="1416"/>
      <c r="B762" s="1296"/>
      <c r="C762" s="1403"/>
      <c r="D762" s="1403"/>
      <c r="E762" s="1403"/>
      <c r="F762" s="1403"/>
      <c r="G762" s="1403"/>
      <c r="H762" s="1403"/>
      <c r="I762" s="1403"/>
      <c r="J762" s="1403"/>
      <c r="K762" s="1403"/>
      <c r="L762" s="2695"/>
      <c r="M762" s="2695"/>
      <c r="N762" s="2695"/>
    </row>
    <row r="763" spans="1:14" s="1317" customFormat="1" x14ac:dyDescent="0.25">
      <c r="A763" s="1416"/>
      <c r="B763" s="1296"/>
      <c r="C763" s="1403"/>
      <c r="D763" s="1403"/>
      <c r="E763" s="1403"/>
      <c r="F763" s="1403"/>
      <c r="G763" s="1403"/>
      <c r="H763" s="1403"/>
      <c r="I763" s="1403"/>
      <c r="J763" s="1403"/>
      <c r="K763" s="1403"/>
      <c r="L763" s="2695"/>
      <c r="M763" s="2695"/>
      <c r="N763" s="2695"/>
    </row>
    <row r="764" spans="1:14" s="1317" customFormat="1" x14ac:dyDescent="0.25">
      <c r="A764" s="1416"/>
      <c r="B764" s="1296"/>
      <c r="C764" s="1403"/>
      <c r="D764" s="1403"/>
      <c r="E764" s="1403"/>
      <c r="F764" s="1403"/>
      <c r="G764" s="1403"/>
      <c r="H764" s="1403"/>
      <c r="I764" s="1403"/>
      <c r="J764" s="1403"/>
      <c r="K764" s="1403"/>
      <c r="L764" s="2695"/>
      <c r="M764" s="2695"/>
      <c r="N764" s="2695"/>
    </row>
    <row r="765" spans="1:14" s="1317" customFormat="1" x14ac:dyDescent="0.25">
      <c r="A765" s="1416"/>
      <c r="B765" s="1296"/>
      <c r="C765" s="1403"/>
      <c r="D765" s="1403"/>
      <c r="E765" s="1403"/>
      <c r="F765" s="1403"/>
      <c r="G765" s="1403"/>
      <c r="H765" s="1403"/>
      <c r="I765" s="1403"/>
      <c r="J765" s="1403"/>
      <c r="K765" s="1403"/>
      <c r="L765" s="2695"/>
      <c r="M765" s="2695"/>
      <c r="N765" s="2695"/>
    </row>
    <row r="766" spans="1:14" s="1317" customFormat="1" x14ac:dyDescent="0.25">
      <c r="A766" s="1416"/>
      <c r="B766" s="1296"/>
      <c r="C766" s="1403"/>
      <c r="D766" s="1403"/>
      <c r="E766" s="1403"/>
      <c r="F766" s="1403"/>
      <c r="G766" s="1403"/>
      <c r="H766" s="1403"/>
      <c r="I766" s="1403"/>
      <c r="J766" s="1403"/>
      <c r="K766" s="1403"/>
      <c r="L766" s="2695"/>
      <c r="M766" s="2695"/>
      <c r="N766" s="2695"/>
    </row>
    <row r="767" spans="1:14" s="1317" customFormat="1" x14ac:dyDescent="0.25">
      <c r="A767" s="1416"/>
      <c r="B767" s="1296"/>
      <c r="C767" s="1403"/>
      <c r="D767" s="1403"/>
      <c r="E767" s="1403"/>
      <c r="F767" s="1403"/>
      <c r="G767" s="1403"/>
      <c r="H767" s="1403"/>
      <c r="I767" s="1403"/>
      <c r="J767" s="1403"/>
      <c r="K767" s="1403"/>
      <c r="L767" s="2695"/>
      <c r="M767" s="2695"/>
      <c r="N767" s="2695"/>
    </row>
    <row r="768" spans="1:14" s="1317" customFormat="1" x14ac:dyDescent="0.25">
      <c r="A768" s="1416"/>
      <c r="B768" s="1296"/>
      <c r="C768" s="1403"/>
      <c r="D768" s="1403"/>
      <c r="E768" s="1403"/>
      <c r="F768" s="1403"/>
      <c r="G768" s="1403"/>
      <c r="H768" s="1403"/>
      <c r="I768" s="1403"/>
      <c r="J768" s="1403"/>
      <c r="K768" s="1403"/>
      <c r="L768" s="2695"/>
      <c r="M768" s="2695"/>
      <c r="N768" s="2695"/>
    </row>
    <row r="769" spans="1:14" s="1317" customFormat="1" x14ac:dyDescent="0.25">
      <c r="A769" s="1416"/>
      <c r="B769" s="1296"/>
      <c r="C769" s="1403"/>
      <c r="D769" s="1403"/>
      <c r="E769" s="1403"/>
      <c r="F769" s="1403"/>
      <c r="G769" s="1403"/>
      <c r="H769" s="1403"/>
      <c r="I769" s="1403"/>
      <c r="J769" s="1403"/>
      <c r="K769" s="1403"/>
      <c r="L769" s="2695"/>
      <c r="M769" s="2695"/>
      <c r="N769" s="2695"/>
    </row>
    <row r="770" spans="1:14" s="1317" customFormat="1" x14ac:dyDescent="0.25">
      <c r="A770" s="1416"/>
      <c r="B770" s="1296"/>
      <c r="C770" s="1403"/>
      <c r="D770" s="1403"/>
      <c r="E770" s="1403"/>
      <c r="F770" s="1403"/>
      <c r="G770" s="1403"/>
      <c r="H770" s="1403"/>
      <c r="I770" s="1403"/>
      <c r="J770" s="1403"/>
      <c r="K770" s="1403"/>
      <c r="L770" s="2695"/>
      <c r="M770" s="2695"/>
      <c r="N770" s="2695"/>
    </row>
    <row r="771" spans="1:14" s="1317" customFormat="1" x14ac:dyDescent="0.25">
      <c r="A771" s="1416"/>
      <c r="B771" s="1296"/>
      <c r="C771" s="1403"/>
      <c r="D771" s="1403"/>
      <c r="E771" s="1403"/>
      <c r="F771" s="1403"/>
      <c r="G771" s="1403"/>
      <c r="H771" s="1403"/>
      <c r="I771" s="1403"/>
      <c r="J771" s="1403"/>
      <c r="K771" s="1403"/>
      <c r="L771" s="2695"/>
      <c r="M771" s="2695"/>
      <c r="N771" s="2695"/>
    </row>
    <row r="772" spans="1:14" s="1317" customFormat="1" x14ac:dyDescent="0.25">
      <c r="A772" s="1416"/>
      <c r="B772" s="1296"/>
      <c r="C772" s="1403"/>
      <c r="D772" s="1403"/>
      <c r="E772" s="1403"/>
      <c r="F772" s="1403"/>
      <c r="G772" s="1403"/>
      <c r="H772" s="1403"/>
      <c r="I772" s="1403"/>
      <c r="J772" s="1403"/>
      <c r="K772" s="1403"/>
      <c r="L772" s="2695"/>
      <c r="M772" s="2695"/>
      <c r="N772" s="2695"/>
    </row>
    <row r="773" spans="1:14" s="1317" customFormat="1" x14ac:dyDescent="0.25">
      <c r="A773" s="1416"/>
      <c r="B773" s="1296"/>
      <c r="C773" s="1403"/>
      <c r="D773" s="1403"/>
      <c r="E773" s="1403"/>
      <c r="F773" s="1403"/>
      <c r="G773" s="1403"/>
      <c r="H773" s="1403"/>
      <c r="I773" s="1403"/>
      <c r="J773" s="1403"/>
      <c r="K773" s="1403"/>
      <c r="L773" s="2695"/>
      <c r="M773" s="2695"/>
      <c r="N773" s="2695"/>
    </row>
    <row r="774" spans="1:14" s="1317" customFormat="1" x14ac:dyDescent="0.25">
      <c r="A774" s="1416"/>
      <c r="B774" s="1296"/>
      <c r="C774" s="1403"/>
      <c r="D774" s="1403"/>
      <c r="E774" s="1403"/>
      <c r="F774" s="1403"/>
      <c r="G774" s="1403"/>
      <c r="H774" s="1403"/>
      <c r="I774" s="1403"/>
      <c r="J774" s="1403"/>
      <c r="K774" s="1403"/>
      <c r="L774" s="2695"/>
      <c r="M774" s="2695"/>
      <c r="N774" s="2695"/>
    </row>
    <row r="775" spans="1:14" s="1317" customFormat="1" x14ac:dyDescent="0.25">
      <c r="A775" s="1416"/>
      <c r="B775" s="1296"/>
      <c r="C775" s="1403"/>
      <c r="D775" s="1403"/>
      <c r="E775" s="1403"/>
      <c r="F775" s="1403"/>
      <c r="G775" s="1403"/>
      <c r="H775" s="1403"/>
      <c r="I775" s="1403"/>
      <c r="J775" s="1403"/>
      <c r="K775" s="1403"/>
      <c r="L775" s="2695"/>
      <c r="M775" s="2695"/>
      <c r="N775" s="2695"/>
    </row>
    <row r="776" spans="1:14" s="1317" customFormat="1" x14ac:dyDescent="0.25">
      <c r="A776" s="1416"/>
      <c r="B776" s="1296"/>
      <c r="C776" s="1403"/>
      <c r="D776" s="1403"/>
      <c r="E776" s="1403"/>
      <c r="F776" s="1403"/>
      <c r="G776" s="1403"/>
      <c r="H776" s="1403"/>
      <c r="I776" s="1403"/>
      <c r="J776" s="1403"/>
      <c r="K776" s="1403"/>
      <c r="L776" s="2695"/>
      <c r="M776" s="2695"/>
      <c r="N776" s="2695"/>
    </row>
    <row r="777" spans="1:14" s="1317" customFormat="1" x14ac:dyDescent="0.25">
      <c r="A777" s="1416"/>
      <c r="B777" s="1296"/>
      <c r="C777" s="1403"/>
      <c r="D777" s="1403"/>
      <c r="E777" s="1403"/>
      <c r="F777" s="1403"/>
      <c r="G777" s="1403"/>
      <c r="H777" s="1403"/>
      <c r="I777" s="1403"/>
      <c r="J777" s="1403"/>
      <c r="K777" s="1403"/>
      <c r="L777" s="2695"/>
      <c r="M777" s="2695"/>
      <c r="N777" s="2695"/>
    </row>
    <row r="778" spans="1:14" s="1317" customFormat="1" x14ac:dyDescent="0.25">
      <c r="A778" s="1416"/>
      <c r="B778" s="1296"/>
      <c r="C778" s="1403"/>
      <c r="D778" s="1403"/>
      <c r="E778" s="1403"/>
      <c r="F778" s="1403"/>
      <c r="G778" s="1403"/>
      <c r="H778" s="1403"/>
      <c r="I778" s="1403"/>
      <c r="J778" s="1403"/>
      <c r="K778" s="1403"/>
      <c r="L778" s="2695"/>
      <c r="M778" s="2695"/>
      <c r="N778" s="2695"/>
    </row>
    <row r="779" spans="1:14" s="1317" customFormat="1" x14ac:dyDescent="0.25">
      <c r="A779" s="1416"/>
      <c r="B779" s="1296"/>
      <c r="C779" s="1403"/>
      <c r="D779" s="1403"/>
      <c r="E779" s="1403"/>
      <c r="F779" s="1403"/>
      <c r="G779" s="1403"/>
      <c r="H779" s="1403"/>
      <c r="I779" s="1403"/>
      <c r="J779" s="1403"/>
      <c r="K779" s="1403"/>
      <c r="L779" s="2695"/>
      <c r="M779" s="2695"/>
      <c r="N779" s="2695"/>
    </row>
    <row r="780" spans="1:14" s="1317" customFormat="1" x14ac:dyDescent="0.25">
      <c r="A780" s="1416"/>
      <c r="B780" s="1296"/>
      <c r="C780" s="1403"/>
      <c r="D780" s="1403"/>
      <c r="E780" s="1403"/>
      <c r="F780" s="1403"/>
      <c r="G780" s="1403"/>
      <c r="H780" s="1403"/>
      <c r="I780" s="1403"/>
      <c r="J780" s="1403"/>
      <c r="K780" s="1403"/>
      <c r="L780" s="2695"/>
      <c r="M780" s="2695"/>
      <c r="N780" s="2695"/>
    </row>
    <row r="781" spans="1:14" s="1317" customFormat="1" x14ac:dyDescent="0.25">
      <c r="A781" s="1416"/>
      <c r="B781" s="1296"/>
      <c r="C781" s="1403"/>
      <c r="D781" s="1403"/>
      <c r="E781" s="1403"/>
      <c r="F781" s="1403"/>
      <c r="G781" s="1403"/>
      <c r="H781" s="1403"/>
      <c r="I781" s="1403"/>
      <c r="J781" s="1403"/>
      <c r="K781" s="1403"/>
      <c r="L781" s="2695"/>
      <c r="M781" s="2695"/>
      <c r="N781" s="2695"/>
    </row>
    <row r="782" spans="1:14" s="1317" customFormat="1" x14ac:dyDescent="0.25">
      <c r="A782" s="1416"/>
      <c r="B782" s="1296"/>
      <c r="C782" s="1403"/>
      <c r="D782" s="1403"/>
      <c r="E782" s="1403"/>
      <c r="F782" s="1403"/>
      <c r="G782" s="1403"/>
      <c r="H782" s="1403"/>
      <c r="I782" s="1403"/>
      <c r="J782" s="1403"/>
      <c r="K782" s="1403"/>
      <c r="L782" s="2695"/>
      <c r="M782" s="2695"/>
      <c r="N782" s="2695"/>
    </row>
    <row r="783" spans="1:14" s="1317" customFormat="1" x14ac:dyDescent="0.25">
      <c r="A783" s="1416"/>
      <c r="B783" s="1296"/>
      <c r="C783" s="1403"/>
      <c r="D783" s="1403"/>
      <c r="E783" s="1403"/>
      <c r="F783" s="1403"/>
      <c r="G783" s="1403"/>
      <c r="H783" s="1403"/>
      <c r="I783" s="1403"/>
      <c r="J783" s="1403"/>
      <c r="K783" s="1403"/>
      <c r="L783" s="2695"/>
      <c r="M783" s="2695"/>
      <c r="N783" s="2695"/>
    </row>
    <row r="784" spans="1:14" s="1317" customFormat="1" x14ac:dyDescent="0.25">
      <c r="A784" s="1416"/>
      <c r="B784" s="1296"/>
      <c r="C784" s="1403"/>
      <c r="D784" s="1403"/>
      <c r="E784" s="1403"/>
      <c r="F784" s="1403"/>
      <c r="G784" s="1403"/>
      <c r="H784" s="1403"/>
      <c r="I784" s="1403"/>
      <c r="J784" s="1403"/>
      <c r="K784" s="1403"/>
      <c r="L784" s="2695"/>
      <c r="M784" s="2695"/>
      <c r="N784" s="2695"/>
    </row>
    <row r="785" spans="1:14" s="1317" customFormat="1" x14ac:dyDescent="0.25">
      <c r="A785" s="1416"/>
      <c r="B785" s="1296"/>
      <c r="C785" s="1403"/>
      <c r="D785" s="1403"/>
      <c r="E785" s="1403"/>
      <c r="F785" s="1403"/>
      <c r="G785" s="1403"/>
      <c r="H785" s="1403"/>
      <c r="I785" s="1403"/>
      <c r="J785" s="1403"/>
      <c r="K785" s="1403"/>
      <c r="L785" s="2695"/>
      <c r="M785" s="2695"/>
      <c r="N785" s="2695"/>
    </row>
    <row r="786" spans="1:14" s="1317" customFormat="1" x14ac:dyDescent="0.25">
      <c r="A786" s="1416"/>
      <c r="B786" s="1296"/>
      <c r="C786" s="1403"/>
      <c r="D786" s="1403"/>
      <c r="E786" s="1403"/>
      <c r="F786" s="1403"/>
      <c r="G786" s="1403"/>
      <c r="H786" s="1403"/>
      <c r="I786" s="1403"/>
      <c r="J786" s="1403"/>
      <c r="K786" s="1403"/>
      <c r="L786" s="2695"/>
      <c r="M786" s="2695"/>
      <c r="N786" s="2695"/>
    </row>
    <row r="787" spans="1:14" s="1317" customFormat="1" x14ac:dyDescent="0.25">
      <c r="A787" s="1416"/>
      <c r="B787" s="1296"/>
      <c r="C787" s="1403"/>
      <c r="D787" s="1403"/>
      <c r="E787" s="1403"/>
      <c r="F787" s="1403"/>
      <c r="G787" s="1403"/>
      <c r="H787" s="1403"/>
      <c r="I787" s="1403"/>
      <c r="J787" s="1403"/>
      <c r="K787" s="1403"/>
      <c r="L787" s="2695"/>
      <c r="M787" s="2695"/>
      <c r="N787" s="2695"/>
    </row>
    <row r="788" spans="1:14" s="1317" customFormat="1" x14ac:dyDescent="0.25">
      <c r="A788" s="1416"/>
      <c r="B788" s="1296"/>
      <c r="C788" s="1403"/>
      <c r="D788" s="1403"/>
      <c r="E788" s="1403"/>
      <c r="F788" s="1403"/>
      <c r="G788" s="1403"/>
      <c r="H788" s="1403"/>
      <c r="I788" s="1403"/>
      <c r="J788" s="1403"/>
      <c r="K788" s="1403"/>
      <c r="L788" s="2695"/>
      <c r="M788" s="2695"/>
      <c r="N788" s="2695"/>
    </row>
    <row r="789" spans="1:14" s="1317" customFormat="1" x14ac:dyDescent="0.25">
      <c r="A789" s="1416"/>
      <c r="B789" s="1296"/>
      <c r="C789" s="1403"/>
      <c r="D789" s="1403"/>
      <c r="E789" s="1403"/>
      <c r="F789" s="1403"/>
      <c r="G789" s="1403"/>
      <c r="H789" s="1403"/>
      <c r="I789" s="1403"/>
      <c r="J789" s="1403"/>
      <c r="K789" s="1403"/>
      <c r="L789" s="2695"/>
      <c r="M789" s="2695"/>
      <c r="N789" s="2695"/>
    </row>
    <row r="790" spans="1:14" s="1317" customFormat="1" x14ac:dyDescent="0.25">
      <c r="A790" s="1416"/>
      <c r="B790" s="1296"/>
      <c r="C790" s="1403"/>
      <c r="D790" s="1403"/>
      <c r="E790" s="1403"/>
      <c r="F790" s="1403"/>
      <c r="G790" s="1403"/>
      <c r="H790" s="1403"/>
      <c r="I790" s="1403"/>
      <c r="J790" s="1403"/>
      <c r="K790" s="1403"/>
      <c r="L790" s="2695"/>
      <c r="M790" s="2695"/>
      <c r="N790" s="2695"/>
    </row>
    <row r="791" spans="1:14" s="1317" customFormat="1" x14ac:dyDescent="0.25">
      <c r="A791" s="1416"/>
      <c r="B791" s="1296"/>
      <c r="C791" s="1403"/>
      <c r="D791" s="1403"/>
      <c r="E791" s="1403"/>
      <c r="F791" s="1403"/>
      <c r="G791" s="1403"/>
      <c r="H791" s="1403"/>
      <c r="I791" s="1403"/>
      <c r="J791" s="1403"/>
      <c r="K791" s="1403"/>
      <c r="L791" s="2695"/>
      <c r="M791" s="2695"/>
      <c r="N791" s="2695"/>
    </row>
    <row r="792" spans="1:14" s="1317" customFormat="1" x14ac:dyDescent="0.25">
      <c r="A792" s="1416"/>
      <c r="B792" s="1296"/>
      <c r="C792" s="1403"/>
      <c r="D792" s="1403"/>
      <c r="E792" s="1403"/>
      <c r="F792" s="1403"/>
      <c r="G792" s="1403"/>
      <c r="H792" s="1403"/>
      <c r="I792" s="1403"/>
      <c r="J792" s="1403"/>
      <c r="K792" s="1403"/>
      <c r="L792" s="2695"/>
      <c r="M792" s="2695"/>
      <c r="N792" s="2695"/>
    </row>
    <row r="793" spans="1:14" s="1317" customFormat="1" x14ac:dyDescent="0.25">
      <c r="A793" s="1416"/>
      <c r="B793" s="1296"/>
      <c r="C793" s="1403"/>
      <c r="D793" s="1403"/>
      <c r="E793" s="1403"/>
      <c r="F793" s="1403"/>
      <c r="G793" s="1403"/>
      <c r="H793" s="1403"/>
      <c r="I793" s="1403"/>
      <c r="J793" s="1403"/>
      <c r="K793" s="1403"/>
      <c r="L793" s="2695"/>
      <c r="M793" s="2695"/>
      <c r="N793" s="2695"/>
    </row>
    <row r="794" spans="1:14" s="1317" customFormat="1" x14ac:dyDescent="0.25">
      <c r="A794" s="1416"/>
      <c r="B794" s="1296"/>
      <c r="C794" s="1403"/>
      <c r="D794" s="1403"/>
      <c r="E794" s="1403"/>
      <c r="F794" s="1403"/>
      <c r="G794" s="1403"/>
      <c r="H794" s="1403"/>
      <c r="I794" s="1403"/>
      <c r="J794" s="1403"/>
      <c r="K794" s="1403"/>
      <c r="L794" s="2695"/>
      <c r="M794" s="2695"/>
      <c r="N794" s="2695"/>
    </row>
    <row r="795" spans="1:14" s="1317" customFormat="1" x14ac:dyDescent="0.25">
      <c r="A795" s="1416"/>
      <c r="B795" s="1296"/>
      <c r="C795" s="1403"/>
      <c r="D795" s="1403"/>
      <c r="E795" s="1403"/>
      <c r="F795" s="1403"/>
      <c r="G795" s="1403"/>
      <c r="H795" s="1403"/>
      <c r="I795" s="1403"/>
      <c r="J795" s="1403"/>
      <c r="K795" s="1403"/>
      <c r="L795" s="2695"/>
      <c r="M795" s="2695"/>
      <c r="N795" s="2695"/>
    </row>
    <row r="796" spans="1:14" s="1317" customFormat="1" x14ac:dyDescent="0.25">
      <c r="A796" s="1416"/>
      <c r="B796" s="1296"/>
      <c r="C796" s="1403"/>
      <c r="D796" s="1403"/>
      <c r="E796" s="1403"/>
      <c r="F796" s="1403"/>
      <c r="G796" s="1403"/>
      <c r="H796" s="1403"/>
      <c r="I796" s="1403"/>
      <c r="J796" s="1403"/>
      <c r="K796" s="1403"/>
      <c r="L796" s="2695"/>
      <c r="M796" s="2695"/>
      <c r="N796" s="2695"/>
    </row>
    <row r="797" spans="1:14" s="1317" customFormat="1" x14ac:dyDescent="0.25">
      <c r="A797" s="1416"/>
      <c r="B797" s="1296"/>
      <c r="C797" s="1403"/>
      <c r="D797" s="1403"/>
      <c r="E797" s="1403"/>
      <c r="F797" s="1403"/>
      <c r="G797" s="1403"/>
      <c r="H797" s="1403"/>
      <c r="I797" s="1403"/>
      <c r="J797" s="1403"/>
      <c r="K797" s="1403"/>
      <c r="L797" s="2695"/>
      <c r="M797" s="2695"/>
      <c r="N797" s="2695"/>
    </row>
    <row r="798" spans="1:14" s="1317" customFormat="1" x14ac:dyDescent="0.25">
      <c r="A798" s="1416"/>
      <c r="B798" s="1296"/>
      <c r="C798" s="1403"/>
      <c r="D798" s="1403"/>
      <c r="E798" s="1403"/>
      <c r="F798" s="1403"/>
      <c r="G798" s="1403"/>
      <c r="H798" s="1403"/>
      <c r="I798" s="1403"/>
      <c r="J798" s="1403"/>
      <c r="K798" s="1403"/>
      <c r="L798" s="2695"/>
      <c r="M798" s="2695"/>
      <c r="N798" s="2695"/>
    </row>
    <row r="799" spans="1:14" s="1317" customFormat="1" x14ac:dyDescent="0.25">
      <c r="A799" s="1416"/>
      <c r="B799" s="1296"/>
      <c r="C799" s="1403"/>
      <c r="D799" s="1403"/>
      <c r="E799" s="1403"/>
      <c r="F799" s="1403"/>
      <c r="G799" s="1403"/>
      <c r="H799" s="1403"/>
      <c r="I799" s="1403"/>
      <c r="J799" s="1403"/>
      <c r="K799" s="1403"/>
      <c r="L799" s="2695"/>
      <c r="M799" s="2695"/>
      <c r="N799" s="2695"/>
    </row>
    <row r="800" spans="1:14" s="1317" customFormat="1" x14ac:dyDescent="0.25">
      <c r="A800" s="1416"/>
      <c r="B800" s="1296"/>
      <c r="C800" s="1403"/>
      <c r="D800" s="1403"/>
      <c r="E800" s="1403"/>
      <c r="F800" s="1403"/>
      <c r="G800" s="1403"/>
      <c r="H800" s="1403"/>
      <c r="I800" s="1403"/>
      <c r="J800" s="1403"/>
      <c r="K800" s="1403"/>
      <c r="L800" s="2695"/>
      <c r="M800" s="2695"/>
      <c r="N800" s="2695"/>
    </row>
    <row r="801" spans="1:16" s="1317" customFormat="1" x14ac:dyDescent="0.25">
      <c r="A801" s="1416"/>
      <c r="B801" s="1296"/>
      <c r="C801" s="1403"/>
      <c r="D801" s="1403"/>
      <c r="E801" s="1403"/>
      <c r="F801" s="1403"/>
      <c r="G801" s="1403"/>
      <c r="H801" s="1403"/>
      <c r="I801" s="1403"/>
      <c r="J801" s="1403"/>
      <c r="K801" s="1403"/>
      <c r="L801" s="2695"/>
      <c r="M801" s="2695"/>
      <c r="N801" s="2695"/>
    </row>
    <row r="802" spans="1:16" s="1317" customFormat="1" x14ac:dyDescent="0.25">
      <c r="A802" s="1416"/>
      <c r="B802" s="1296"/>
      <c r="C802" s="1403"/>
      <c r="D802" s="1403"/>
      <c r="E802" s="1403"/>
      <c r="F802" s="1403"/>
      <c r="G802" s="1403"/>
      <c r="H802" s="1403"/>
      <c r="I802" s="1403"/>
      <c r="J802" s="1403"/>
      <c r="K802" s="1403"/>
      <c r="L802" s="2695"/>
      <c r="M802" s="2695"/>
      <c r="N802" s="2695"/>
    </row>
    <row r="803" spans="1:16" s="1317" customFormat="1" x14ac:dyDescent="0.25">
      <c r="A803" s="1416"/>
      <c r="B803" s="1296"/>
      <c r="C803" s="1403"/>
      <c r="D803" s="1403"/>
      <c r="E803" s="1403"/>
      <c r="F803" s="1403"/>
      <c r="G803" s="1403"/>
      <c r="H803" s="1403"/>
      <c r="I803" s="1403"/>
      <c r="J803" s="1403"/>
      <c r="K803" s="1403"/>
      <c r="L803" s="2695"/>
      <c r="M803" s="2695"/>
      <c r="N803" s="2695"/>
    </row>
    <row r="804" spans="1:16" s="1317" customFormat="1" x14ac:dyDescent="0.25">
      <c r="A804" s="1416"/>
      <c r="B804" s="1296"/>
      <c r="C804" s="1403"/>
      <c r="D804" s="1403"/>
      <c r="E804" s="1403"/>
      <c r="F804" s="1403"/>
      <c r="G804" s="1403"/>
      <c r="H804" s="1403"/>
      <c r="I804" s="1403"/>
      <c r="J804" s="1403"/>
      <c r="K804" s="1403"/>
      <c r="L804" s="2695"/>
      <c r="M804" s="2695"/>
      <c r="N804" s="2695"/>
    </row>
    <row r="805" spans="1:16" s="1317" customFormat="1" x14ac:dyDescent="0.25">
      <c r="A805" s="1416"/>
      <c r="B805" s="1296"/>
      <c r="C805" s="1403"/>
      <c r="D805" s="1403"/>
      <c r="E805" s="1403"/>
      <c r="F805" s="1403"/>
      <c r="G805" s="1403"/>
      <c r="H805" s="1403"/>
      <c r="I805" s="1403"/>
      <c r="J805" s="1403"/>
      <c r="K805" s="1403"/>
      <c r="L805" s="2695"/>
      <c r="M805" s="2695"/>
      <c r="N805" s="2695"/>
    </row>
    <row r="806" spans="1:16" s="1317" customFormat="1" x14ac:dyDescent="0.25">
      <c r="A806" s="1416"/>
      <c r="B806" s="1296"/>
      <c r="C806" s="1403"/>
      <c r="D806" s="1403"/>
      <c r="E806" s="1403"/>
      <c r="F806" s="1403"/>
      <c r="G806" s="1403"/>
      <c r="H806" s="1403"/>
      <c r="I806" s="1403"/>
      <c r="J806" s="1403"/>
      <c r="K806" s="1403"/>
      <c r="L806" s="2695"/>
      <c r="M806" s="2695"/>
      <c r="N806" s="2695"/>
    </row>
    <row r="807" spans="1:16" s="1317" customFormat="1" ht="15.75" thickBot="1" x14ac:dyDescent="0.3">
      <c r="A807" s="1416"/>
      <c r="B807" s="1296"/>
      <c r="C807" s="1403"/>
      <c r="D807" s="1403"/>
      <c r="E807" s="1403"/>
      <c r="F807" s="1403"/>
      <c r="G807" s="1403"/>
      <c r="H807" s="1403"/>
      <c r="I807" s="1403"/>
      <c r="J807" s="1403"/>
      <c r="K807" s="1403"/>
      <c r="L807" s="2695"/>
      <c r="M807" s="2695"/>
      <c r="N807" s="2695"/>
    </row>
    <row r="808" spans="1:16" s="15" customFormat="1" ht="19.5" thickTop="1" x14ac:dyDescent="0.3">
      <c r="A808" s="1340" t="s">
        <v>2246</v>
      </c>
      <c r="B808" s="1445"/>
      <c r="C808" s="1446"/>
      <c r="D808" s="1446"/>
      <c r="E808" s="1447"/>
      <c r="F808" s="1447"/>
      <c r="G808" s="1447"/>
      <c r="H808" s="1447"/>
      <c r="I808" s="1448"/>
      <c r="J808" s="1448"/>
      <c r="K808" s="1446"/>
      <c r="L808" s="1447"/>
      <c r="M808" s="1446"/>
      <c r="N808" s="1449"/>
    </row>
    <row r="809" spans="1:16" s="15" customFormat="1" x14ac:dyDescent="0.25">
      <c r="A809" s="1416" t="s">
        <v>1064</v>
      </c>
      <c r="B809" s="272"/>
      <c r="C809" s="274"/>
      <c r="D809" s="274"/>
      <c r="E809" s="408"/>
      <c r="F809" s="408"/>
      <c r="G809" s="408"/>
      <c r="H809" s="408"/>
      <c r="I809" s="1450"/>
      <c r="J809" s="1450"/>
      <c r="K809" s="274"/>
      <c r="L809" s="408"/>
      <c r="M809" s="274"/>
      <c r="N809" s="1451"/>
    </row>
    <row r="810" spans="1:16" s="15" customFormat="1" x14ac:dyDescent="0.25">
      <c r="A810" s="1416" t="s">
        <v>1084</v>
      </c>
      <c r="B810" s="272"/>
      <c r="C810" s="274"/>
      <c r="D810" s="274"/>
      <c r="E810" s="408"/>
      <c r="F810" s="408"/>
      <c r="G810" s="408"/>
      <c r="H810" s="408"/>
      <c r="I810" s="1450"/>
      <c r="J810" s="1450"/>
      <c r="K810" s="274"/>
      <c r="L810" s="408"/>
      <c r="M810" s="274"/>
      <c r="N810" s="1451"/>
    </row>
    <row r="811" spans="1:16" s="15" customFormat="1" ht="18.75" x14ac:dyDescent="0.3">
      <c r="A811" s="1438"/>
      <c r="B811" s="272"/>
      <c r="C811" s="274"/>
      <c r="D811" s="274"/>
      <c r="E811" s="408"/>
      <c r="F811" s="408"/>
      <c r="G811" s="408"/>
      <c r="H811" s="408"/>
      <c r="I811" s="1450"/>
      <c r="J811" s="1450"/>
      <c r="K811" s="274"/>
      <c r="L811" s="408"/>
      <c r="M811" s="274"/>
      <c r="N811" s="1451"/>
    </row>
    <row r="812" spans="1:16" s="15" customFormat="1" x14ac:dyDescent="0.25">
      <c r="A812" s="1416" t="s">
        <v>3683</v>
      </c>
      <c r="B812" s="272"/>
      <c r="C812" s="274"/>
      <c r="D812" s="274"/>
      <c r="E812" s="408"/>
      <c r="F812" s="408"/>
      <c r="G812" s="408"/>
      <c r="H812" s="408"/>
      <c r="I812" s="1450"/>
      <c r="J812" s="1450"/>
      <c r="K812" s="999"/>
      <c r="L812" s="408"/>
      <c r="M812" s="274"/>
      <c r="N812" s="1451"/>
    </row>
    <row r="813" spans="1:16" s="15" customFormat="1" ht="16.5" x14ac:dyDescent="0.3">
      <c r="A813" s="1416"/>
      <c r="B813" s="272"/>
      <c r="C813" s="1065" t="s">
        <v>331</v>
      </c>
      <c r="D813" s="131"/>
      <c r="E813" s="131"/>
      <c r="F813" s="979"/>
      <c r="G813" s="979" t="s">
        <v>1108</v>
      </c>
      <c r="H813" s="1474"/>
      <c r="I813" s="979" t="s">
        <v>1100</v>
      </c>
      <c r="J813" s="1"/>
      <c r="K813" s="979" t="s">
        <v>1099</v>
      </c>
      <c r="L813" s="172"/>
      <c r="M813" s="1452"/>
      <c r="N813" s="1453"/>
    </row>
    <row r="814" spans="1:16" s="15" customFormat="1" ht="17.25" thickBot="1" x14ac:dyDescent="0.35">
      <c r="A814" s="1416"/>
      <c r="B814" s="272"/>
      <c r="C814" s="1065"/>
      <c r="D814" s="131"/>
      <c r="E814" s="131"/>
      <c r="F814" s="979"/>
      <c r="G814" s="979"/>
      <c r="H814" s="979"/>
      <c r="I814" s="979"/>
      <c r="J814" s="3"/>
      <c r="K814" s="1067"/>
      <c r="L814" s="1452"/>
      <c r="M814" s="1452"/>
      <c r="N814" s="1453"/>
    </row>
    <row r="815" spans="1:16" s="1317" customFormat="1" ht="31.5" thickTop="1" thickBot="1" x14ac:dyDescent="0.3">
      <c r="A815" s="1460" t="s">
        <v>1065</v>
      </c>
      <c r="B815" s="1461"/>
      <c r="C815" s="1462"/>
      <c r="D815" s="1463" t="s">
        <v>1081</v>
      </c>
      <c r="E815" s="1464" t="s">
        <v>1066</v>
      </c>
      <c r="F815" s="1462" t="s">
        <v>1067</v>
      </c>
      <c r="G815" s="1465" t="s">
        <v>1068</v>
      </c>
      <c r="H815" s="1464" t="s">
        <v>1082</v>
      </c>
      <c r="I815" s="1464" t="s">
        <v>1069</v>
      </c>
      <c r="J815" s="1462" t="s">
        <v>1067</v>
      </c>
      <c r="K815" s="1465" t="s">
        <v>1068</v>
      </c>
      <c r="L815" s="1462" t="s">
        <v>1083</v>
      </c>
      <c r="M815" s="1466" t="s">
        <v>1070</v>
      </c>
      <c r="N815" s="1467" t="s">
        <v>1071</v>
      </c>
    </row>
    <row r="816" spans="1:16" s="2" customFormat="1" ht="15.75" thickTop="1" x14ac:dyDescent="0.25">
      <c r="A816" s="1510" t="s">
        <v>2075</v>
      </c>
      <c r="B816" s="1511"/>
      <c r="C816" s="1512"/>
      <c r="D816" s="2495">
        <f>'7. IRAdata'!D131</f>
        <v>215000</v>
      </c>
      <c r="E816" s="1513">
        <f>IF(D$825=0,0,D816/D$825)</f>
        <v>0.56578947368421051</v>
      </c>
      <c r="F816" s="2498">
        <f>'7. IRAdata'!$G131</f>
        <v>0.51930232558139533</v>
      </c>
      <c r="G816" s="2502">
        <f>100%-F816</f>
        <v>0.48069767441860467</v>
      </c>
      <c r="H816" s="2495">
        <f>'7. IRAdata'!D137</f>
        <v>90000</v>
      </c>
      <c r="I816" s="1513">
        <f>IF(H$825=0,0,H816/H$825)</f>
        <v>0.40268456375838924</v>
      </c>
      <c r="J816" s="1513">
        <f>'7. IRAdata'!G137</f>
        <v>0.53</v>
      </c>
      <c r="K816" s="2496">
        <f>100%-J816</f>
        <v>0.47</v>
      </c>
      <c r="L816" s="2495">
        <f>D816+H816</f>
        <v>305000</v>
      </c>
      <c r="M816" s="1513">
        <f>IF($L$825=0,0,((F816*$D$825)+(J816*$H$825))/$L$825)</f>
        <v>0.52326409895763082</v>
      </c>
      <c r="N816" s="1514">
        <f>IF($L$825=0,0,((G816*$D$825)+(K816*$H$825))/$L$825)</f>
        <v>0.47673590104236918</v>
      </c>
      <c r="P816"/>
    </row>
    <row r="817" spans="1:16" s="2" customFormat="1" x14ac:dyDescent="0.25">
      <c r="A817" s="1416" t="s">
        <v>2076</v>
      </c>
      <c r="B817" s="1296"/>
      <c r="C817" s="1403"/>
      <c r="D817" s="1457">
        <f>'7. IRAdata'!D132</f>
        <v>10000</v>
      </c>
      <c r="E817" s="1458">
        <f t="shared" ref="E817:E819" si="153">IF(D$825=0,0,D817/D$825)</f>
        <v>2.6315789473684209E-2</v>
      </c>
      <c r="F817" s="2499">
        <f>'7. IRAdata'!$G132</f>
        <v>0.6</v>
      </c>
      <c r="G817" s="2503">
        <f t="shared" ref="G817:G819" si="154">100%-F817</f>
        <v>0.4</v>
      </c>
      <c r="H817" s="1457">
        <f>'7. IRAdata'!D138</f>
        <v>8000</v>
      </c>
      <c r="I817" s="1458">
        <f t="shared" ref="I817:I819" si="155">IF(H$825=0,0,H817/H$825)</f>
        <v>3.5794183445190156E-2</v>
      </c>
      <c r="J817" s="1458">
        <f>'7. IRAdata'!G138</f>
        <v>0.65</v>
      </c>
      <c r="K817" s="2497">
        <f t="shared" ref="K817:K823" si="156">100%-J817</f>
        <v>0.35</v>
      </c>
      <c r="L817" s="1457">
        <f t="shared" ref="L817:L819" si="157">D817+H817</f>
        <v>18000</v>
      </c>
      <c r="M817" s="1458">
        <f t="shared" ref="M817:M819" si="158">IF($L$825=0,0,((F817*$D$825)+(J817*$H$825))/$L$825)</f>
        <v>0.61851698425849211</v>
      </c>
      <c r="N817" s="1459">
        <f t="shared" ref="N817:N819" si="159">IF($L$825=0,0,((G817*$D$825)+(K817*$H$825))/$L$825)</f>
        <v>0.38148301574150789</v>
      </c>
    </row>
    <row r="818" spans="1:16" s="2" customFormat="1" x14ac:dyDescent="0.25">
      <c r="A818" s="1416" t="s">
        <v>2077</v>
      </c>
      <c r="B818" s="1296"/>
      <c r="C818" s="1403"/>
      <c r="D818" s="1457">
        <f>'7. IRAdata'!D133</f>
        <v>6000</v>
      </c>
      <c r="E818" s="1458">
        <f t="shared" si="153"/>
        <v>1.5789473684210527E-2</v>
      </c>
      <c r="F818" s="2499">
        <f>'7. IRAdata'!$G133</f>
        <v>0.4</v>
      </c>
      <c r="G818" s="2503">
        <f t="shared" si="154"/>
        <v>0.6</v>
      </c>
      <c r="H818" s="1457">
        <f>'7. IRAdata'!D139</f>
        <v>12000</v>
      </c>
      <c r="I818" s="1458">
        <f t="shared" si="155"/>
        <v>5.3691275167785234E-2</v>
      </c>
      <c r="J818" s="1458">
        <f>'7. IRAdata'!G139</f>
        <v>0.45</v>
      </c>
      <c r="K818" s="2497">
        <f t="shared" si="156"/>
        <v>0.55000000000000004</v>
      </c>
      <c r="L818" s="1457">
        <f t="shared" si="157"/>
        <v>18000</v>
      </c>
      <c r="M818" s="1458">
        <f t="shared" si="158"/>
        <v>0.41851698425849215</v>
      </c>
      <c r="N818" s="1459">
        <f t="shared" si="159"/>
        <v>0.58148301574150785</v>
      </c>
      <c r="P818"/>
    </row>
    <row r="819" spans="1:16" s="2" customFormat="1" ht="15.75" thickBot="1" x14ac:dyDescent="0.3">
      <c r="A819" s="1416" t="s">
        <v>2832</v>
      </c>
      <c r="B819" s="1515"/>
      <c r="C819" s="1516"/>
      <c r="D819" s="1517">
        <f>'7. IRAdata'!D134</f>
        <v>0</v>
      </c>
      <c r="E819" s="1518">
        <f t="shared" si="153"/>
        <v>0</v>
      </c>
      <c r="F819" s="2504">
        <f>'7. IRAdata'!$G134</f>
        <v>0</v>
      </c>
      <c r="G819" s="2505">
        <f t="shared" si="154"/>
        <v>1</v>
      </c>
      <c r="H819" s="1517">
        <f>'7. IRAdata'!D140</f>
        <v>0</v>
      </c>
      <c r="I819" s="1518">
        <f t="shared" si="155"/>
        <v>0</v>
      </c>
      <c r="J819" s="1518">
        <f>'7. IRAdata'!G140</f>
        <v>0</v>
      </c>
      <c r="K819" s="2507">
        <f t="shared" si="156"/>
        <v>1</v>
      </c>
      <c r="L819" s="1517">
        <f t="shared" si="157"/>
        <v>0</v>
      </c>
      <c r="M819" s="1518">
        <f t="shared" si="158"/>
        <v>0</v>
      </c>
      <c r="N819" s="2506">
        <f t="shared" si="159"/>
        <v>1</v>
      </c>
      <c r="P819"/>
    </row>
    <row r="820" spans="1:16" s="2" customFormat="1" ht="15.75" thickTop="1" x14ac:dyDescent="0.25">
      <c r="A820" s="1510" t="s">
        <v>2078</v>
      </c>
      <c r="B820" s="1296"/>
      <c r="C820" s="1403"/>
      <c r="D820" s="1457">
        <f>'8. RothData'!D92</f>
        <v>16000</v>
      </c>
      <c r="E820" s="1458">
        <f>IF(D$825=0,0,D820/D$825)</f>
        <v>4.2105263157894736E-2</v>
      </c>
      <c r="F820" s="2499">
        <f>'8. RothData'!$G92</f>
        <v>0.52</v>
      </c>
      <c r="G820" s="2503">
        <f>100%-F820</f>
        <v>0.48</v>
      </c>
      <c r="H820" s="2508">
        <f>'8. RothData'!D98</f>
        <v>11000</v>
      </c>
      <c r="I820" s="2509">
        <f>IF(H$825=0,0,H820/H$825)</f>
        <v>4.9217002237136466E-2</v>
      </c>
      <c r="J820" s="2509">
        <f>'8. RothData'!G98</f>
        <v>0.53</v>
      </c>
      <c r="K820" s="2510">
        <f t="shared" si="156"/>
        <v>0.47</v>
      </c>
      <c r="L820" s="1403">
        <f t="shared" ref="L820:L825" si="160">D820+H820</f>
        <v>27000</v>
      </c>
      <c r="M820" s="1458">
        <f>IF($L$825=0,0,((F820*$D$825)+(J820*$H$825))/$L$825)</f>
        <v>0.52370339685169842</v>
      </c>
      <c r="N820" s="1459">
        <f>IF($L$825=0,0,((G820*$D$825)+(K820*$H$825))/$L$825)</f>
        <v>0.47629660314830158</v>
      </c>
    </row>
    <row r="821" spans="1:16" s="2" customFormat="1" x14ac:dyDescent="0.25">
      <c r="A821" s="1416" t="s">
        <v>2079</v>
      </c>
      <c r="B821" s="1296"/>
      <c r="C821" s="1403"/>
      <c r="D821" s="1457">
        <f>'8. RothData'!D93</f>
        <v>4000</v>
      </c>
      <c r="E821" s="1458">
        <f t="shared" ref="E821:E823" si="161">IF(D$825=0,0,D821/D$825)</f>
        <v>1.0526315789473684E-2</v>
      </c>
      <c r="F821" s="2499">
        <f>'8. RothData'!$G93</f>
        <v>0.59</v>
      </c>
      <c r="G821" s="2503">
        <f t="shared" ref="G821:G823" si="162">100%-F821</f>
        <v>0.41000000000000003</v>
      </c>
      <c r="H821" s="1457">
        <f>'8. RothData'!D99</f>
        <v>3000</v>
      </c>
      <c r="I821" s="1458">
        <f t="shared" ref="I821:I823" si="163">IF(H$825=0,0,H821/H$825)</f>
        <v>1.3422818791946308E-2</v>
      </c>
      <c r="J821" s="1458">
        <f>'8. RothData'!G99</f>
        <v>0.65</v>
      </c>
      <c r="K821" s="2497">
        <f t="shared" si="156"/>
        <v>0.35</v>
      </c>
      <c r="L821" s="1403">
        <f t="shared" ref="L821:L823" si="164">D821+H821</f>
        <v>7000</v>
      </c>
      <c r="M821" s="1458">
        <f t="shared" ref="M821:M823" si="165">IF($L$825=0,0,((F821*$D$825)+(J821*$H$825))/$L$825)</f>
        <v>0.6122203811101905</v>
      </c>
      <c r="N821" s="1459">
        <f t="shared" ref="N821:N823" si="166">IF($L$825=0,0,((G821*$D$825)+(K821*$H$825))/$L$825)</f>
        <v>0.38777961888980944</v>
      </c>
    </row>
    <row r="822" spans="1:16" s="2" customFormat="1" x14ac:dyDescent="0.25">
      <c r="A822" s="1416" t="s">
        <v>2080</v>
      </c>
      <c r="B822" s="1296"/>
      <c r="C822" s="1403"/>
      <c r="D822" s="1457">
        <f>'8. RothData'!D94</f>
        <v>2000</v>
      </c>
      <c r="E822" s="1458">
        <f t="shared" si="161"/>
        <v>5.263157894736842E-3</v>
      </c>
      <c r="F822" s="2499">
        <f>'8. RothData'!$G94</f>
        <v>0.39</v>
      </c>
      <c r="G822" s="2503">
        <f t="shared" si="162"/>
        <v>0.61</v>
      </c>
      <c r="H822" s="1457">
        <f>'8. RothData'!D100</f>
        <v>4500</v>
      </c>
      <c r="I822" s="1458">
        <f t="shared" si="163"/>
        <v>2.0134228187919462E-2</v>
      </c>
      <c r="J822" s="1458">
        <f>'8. RothData'!G100</f>
        <v>0.45</v>
      </c>
      <c r="K822" s="2497">
        <f t="shared" si="156"/>
        <v>0.55000000000000004</v>
      </c>
      <c r="L822" s="1403">
        <f t="shared" si="164"/>
        <v>6500</v>
      </c>
      <c r="M822" s="1458">
        <f t="shared" si="165"/>
        <v>0.41222038111019055</v>
      </c>
      <c r="N822" s="1459">
        <f t="shared" si="166"/>
        <v>0.58777961888980945</v>
      </c>
      <c r="P822" s="2511"/>
    </row>
    <row r="823" spans="1:16" s="2" customFormat="1" ht="15.75" thickBot="1" x14ac:dyDescent="0.3">
      <c r="A823" s="1416" t="s">
        <v>1795</v>
      </c>
      <c r="B823" s="1296"/>
      <c r="C823" s="1403"/>
      <c r="D823" s="1517">
        <f>'8. RothData'!D95</f>
        <v>17000</v>
      </c>
      <c r="E823" s="1518">
        <f t="shared" si="161"/>
        <v>4.4736842105263158E-2</v>
      </c>
      <c r="F823" s="2504">
        <f>'8. RothData'!$G95</f>
        <v>0.5</v>
      </c>
      <c r="G823" s="2505">
        <f t="shared" si="162"/>
        <v>0.5</v>
      </c>
      <c r="H823" s="1517">
        <f>'8. RothData'!D101</f>
        <v>15000</v>
      </c>
      <c r="I823" s="1518">
        <f t="shared" si="163"/>
        <v>6.7114093959731544E-2</v>
      </c>
      <c r="J823" s="1518">
        <f>'8. RothData'!G101</f>
        <v>0</v>
      </c>
      <c r="K823" s="2507">
        <f t="shared" si="156"/>
        <v>1</v>
      </c>
      <c r="L823" s="1403">
        <f t="shared" si="164"/>
        <v>32000</v>
      </c>
      <c r="M823" s="1458">
        <f t="shared" si="165"/>
        <v>0.31483015741507869</v>
      </c>
      <c r="N823" s="1459">
        <f t="shared" si="166"/>
        <v>0.68516984258492131</v>
      </c>
    </row>
    <row r="824" spans="1:16" s="2" customFormat="1" ht="15.75" thickBot="1" x14ac:dyDescent="0.3">
      <c r="A824" s="2487" t="s">
        <v>399</v>
      </c>
      <c r="B824" s="2488"/>
      <c r="C824" s="2489"/>
      <c r="D824" s="2490">
        <f>'9. SavingsData'!$F59</f>
        <v>110000</v>
      </c>
      <c r="E824" s="2491">
        <f>IF(D$825=0,0,D824/D$825)</f>
        <v>0.28947368421052633</v>
      </c>
      <c r="F824" s="2500">
        <f>'9. SavingsData'!F83*E824</f>
        <v>0.14763157894736842</v>
      </c>
      <c r="G824" s="2501">
        <f>'9. SavingsData'!F84*E824</f>
        <v>0.12881578947368422</v>
      </c>
      <c r="H824" s="2489">
        <f>'9. SavingsData'!F60</f>
        <v>80000</v>
      </c>
      <c r="I824" s="2491">
        <f>IF(H$825=0,0,H824/H$825)</f>
        <v>0.35794183445190159</v>
      </c>
      <c r="J824" s="2492">
        <f>'9. SavingsData'!F88*I824</f>
        <v>0.17181208053691274</v>
      </c>
      <c r="K824" s="2493">
        <f>'9. SavingsData'!F89*I824</f>
        <v>0.14138702460850114</v>
      </c>
      <c r="L824" s="2489">
        <f t="shared" si="160"/>
        <v>190000</v>
      </c>
      <c r="M824" s="2491">
        <f>IF($L$825=0,0,((F824*$D$825)+(J824*$H$825))/$L$825)</f>
        <v>0.15658657829328915</v>
      </c>
      <c r="N824" s="2494">
        <f>IF($L$825=0,0,((G824*$D$825)+(K824*$H$825))/$L$825)</f>
        <v>0.13347141673570836</v>
      </c>
    </row>
    <row r="825" spans="1:16" s="2" customFormat="1" ht="15.75" thickBot="1" x14ac:dyDescent="0.3">
      <c r="A825" s="1504"/>
      <c r="B825" s="1505"/>
      <c r="C825" s="1506" t="s">
        <v>1072</v>
      </c>
      <c r="D825" s="1507">
        <f t="shared" ref="D825:I825" si="167">SUM(D816:D824)</f>
        <v>380000</v>
      </c>
      <c r="E825" s="1508">
        <f t="shared" si="167"/>
        <v>1</v>
      </c>
      <c r="F825" s="2512">
        <f>SUMPRODUCT(D816:D824,F816:F824)/D825</f>
        <v>0.41118282548476454</v>
      </c>
      <c r="G825" s="2513">
        <f>100%-F825</f>
        <v>0.58881717451523552</v>
      </c>
      <c r="H825" s="1509">
        <f t="shared" si="167"/>
        <v>223500</v>
      </c>
      <c r="I825" s="1508">
        <f t="shared" si="167"/>
        <v>1</v>
      </c>
      <c r="J825" s="2512">
        <f>SUMPRODUCT(H816:H824,J816:J824)/H825</f>
        <v>0.36621908923021484</v>
      </c>
      <c r="K825" s="2513">
        <f>100%-J825</f>
        <v>0.63378091076978516</v>
      </c>
      <c r="L825" s="1509">
        <f t="shared" si="160"/>
        <v>603500</v>
      </c>
      <c r="M825" s="2512">
        <f>SUMPRODUCT(L816:L824,M816:M824)/L825</f>
        <v>0.39634323676615407</v>
      </c>
      <c r="N825" s="2514">
        <f>100%-M825</f>
        <v>0.60365676323384587</v>
      </c>
    </row>
    <row r="826" spans="1:16" s="2" customFormat="1" ht="15.75" thickTop="1" x14ac:dyDescent="0.25">
      <c r="A826" s="1416"/>
      <c r="B826" s="1296"/>
      <c r="C826" s="152"/>
      <c r="D826" s="1352"/>
      <c r="E826" s="1355"/>
      <c r="F826" s="1355"/>
      <c r="G826" s="1355"/>
      <c r="H826" s="1352"/>
      <c r="I826" s="1355"/>
      <c r="J826" s="1355"/>
      <c r="K826" s="1355"/>
      <c r="L826" s="1352"/>
      <c r="M826" s="1355"/>
      <c r="N826" s="1355"/>
    </row>
    <row r="827" spans="1:16" s="15" customFormat="1" ht="16.5" customHeight="1" x14ac:dyDescent="0.2">
      <c r="A827" s="168"/>
      <c r="B827" s="70"/>
      <c r="C827" s="71"/>
      <c r="D827" s="71"/>
      <c r="E827" s="216"/>
      <c r="F827" s="217"/>
      <c r="G827" s="114"/>
      <c r="H827" s="114"/>
      <c r="I827" s="73"/>
      <c r="J827" s="73"/>
      <c r="K827" s="73"/>
      <c r="L827" s="73"/>
      <c r="M827" s="73"/>
      <c r="N827" s="73"/>
    </row>
    <row r="828" spans="1:16" s="15" customFormat="1" ht="15" customHeight="1" thickBot="1" x14ac:dyDescent="0.25">
      <c r="A828" s="168"/>
      <c r="B828" s="70"/>
      <c r="C828" s="71"/>
      <c r="D828" s="71"/>
      <c r="E828" s="216"/>
      <c r="F828" s="217"/>
      <c r="G828" s="114"/>
      <c r="H828" s="114"/>
      <c r="I828" s="73"/>
      <c r="J828" s="73"/>
      <c r="K828" s="73"/>
      <c r="L828" s="73"/>
      <c r="M828" s="73"/>
      <c r="N828" s="73"/>
    </row>
    <row r="829" spans="1:16" s="15" customFormat="1" ht="19.5" thickTop="1" x14ac:dyDescent="0.3">
      <c r="A829" s="265" t="s">
        <v>5</v>
      </c>
      <c r="B829" s="260"/>
      <c r="C829" s="201"/>
      <c r="D829" s="201"/>
      <c r="E829" s="403"/>
      <c r="F829" s="404"/>
      <c r="G829" s="405"/>
      <c r="H829" s="405"/>
      <c r="I829" s="198"/>
      <c r="J829" s="198"/>
      <c r="K829" s="198"/>
      <c r="L829" s="198"/>
      <c r="M829" s="198"/>
      <c r="N829" s="256"/>
    </row>
    <row r="830" spans="1:16" s="91" customFormat="1" x14ac:dyDescent="0.25">
      <c r="A830" s="139" t="s">
        <v>27</v>
      </c>
      <c r="B830" s="64"/>
      <c r="C830" s="449"/>
      <c r="D830" s="449"/>
      <c r="E830" s="451"/>
      <c r="F830" s="451"/>
      <c r="G830" s="452"/>
      <c r="H830" s="452"/>
      <c r="I830" s="449"/>
      <c r="J830" s="449"/>
      <c r="K830" s="449"/>
      <c r="L830" s="449"/>
      <c r="M830" s="449"/>
      <c r="N830" s="450"/>
    </row>
    <row r="831" spans="1:16" s="91" customFormat="1" x14ac:dyDescent="0.25">
      <c r="A831" s="1267" t="s">
        <v>1199</v>
      </c>
      <c r="B831" s="64"/>
      <c r="C831" s="449"/>
      <c r="D831" s="449"/>
      <c r="E831" s="451"/>
      <c r="F831" s="451"/>
      <c r="G831" s="452"/>
      <c r="H831" s="452"/>
      <c r="I831" s="449"/>
      <c r="J831" s="449"/>
      <c r="K831" s="449"/>
      <c r="L831" s="449"/>
      <c r="M831" s="449"/>
      <c r="N831" s="450"/>
    </row>
    <row r="832" spans="1:16" s="91" customFormat="1" x14ac:dyDescent="0.25">
      <c r="A832" s="139" t="s">
        <v>664</v>
      </c>
      <c r="B832" s="64"/>
      <c r="C832" s="449"/>
      <c r="D832" s="449"/>
      <c r="E832" s="451"/>
      <c r="F832" s="451"/>
      <c r="G832" s="452"/>
      <c r="H832" s="452"/>
      <c r="I832" s="449"/>
      <c r="J832" s="449"/>
      <c r="K832" s="449"/>
      <c r="L832" s="449"/>
      <c r="M832" s="449"/>
      <c r="N832" s="450"/>
    </row>
    <row r="833" spans="1:15" s="91" customFormat="1" x14ac:dyDescent="0.25">
      <c r="A833" s="139" t="s">
        <v>302</v>
      </c>
      <c r="B833" s="64"/>
      <c r="C833" s="449"/>
      <c r="D833" s="449"/>
      <c r="E833" s="451"/>
      <c r="F833" s="451"/>
      <c r="G833" s="452"/>
      <c r="H833" s="452"/>
      <c r="I833" s="449"/>
      <c r="J833" s="449"/>
      <c r="K833" s="449"/>
      <c r="L833" s="449"/>
      <c r="M833" s="449"/>
      <c r="N833" s="450"/>
    </row>
    <row r="834" spans="1:15" s="91" customFormat="1" x14ac:dyDescent="0.25">
      <c r="A834" s="139" t="s">
        <v>308</v>
      </c>
      <c r="B834" s="64"/>
      <c r="C834" s="449"/>
      <c r="D834" s="449"/>
      <c r="E834" s="451"/>
      <c r="F834" s="451"/>
      <c r="G834" s="452"/>
      <c r="H834" s="452"/>
      <c r="I834" s="449"/>
      <c r="J834" s="449"/>
      <c r="K834" s="449"/>
      <c r="L834" s="449"/>
      <c r="M834" s="449"/>
      <c r="N834" s="450"/>
    </row>
    <row r="835" spans="1:15" s="91" customFormat="1" x14ac:dyDescent="0.25">
      <c r="A835" s="64"/>
      <c r="B835" s="64"/>
      <c r="C835" s="449"/>
      <c r="D835" s="449"/>
      <c r="E835" s="451"/>
      <c r="F835" s="451"/>
      <c r="G835" s="452"/>
      <c r="H835" s="452"/>
      <c r="I835" s="449"/>
      <c r="J835" s="449"/>
      <c r="K835" s="449"/>
      <c r="L835" s="449"/>
      <c r="M835" s="449"/>
      <c r="N835" s="450"/>
    </row>
    <row r="836" spans="1:15" s="91" customFormat="1" x14ac:dyDescent="0.25">
      <c r="A836" s="64" t="s">
        <v>309</v>
      </c>
      <c r="B836" s="64"/>
      <c r="C836" s="449"/>
      <c r="D836" s="449"/>
      <c r="E836" s="451"/>
      <c r="F836" s="451"/>
      <c r="G836" s="452"/>
      <c r="H836" s="452"/>
      <c r="I836" s="449"/>
      <c r="J836" s="449"/>
      <c r="K836" s="449"/>
      <c r="L836" s="449"/>
      <c r="M836" s="449"/>
      <c r="N836" s="450"/>
    </row>
    <row r="837" spans="1:15" s="91" customFormat="1" x14ac:dyDescent="0.25">
      <c r="A837" s="64"/>
      <c r="B837" s="64"/>
      <c r="C837" s="449"/>
      <c r="D837" s="449"/>
      <c r="E837" s="451"/>
      <c r="F837" s="451"/>
      <c r="G837" s="452"/>
      <c r="H837" s="452"/>
      <c r="I837" s="449"/>
      <c r="J837" s="449"/>
      <c r="K837" s="449"/>
      <c r="L837" s="449"/>
      <c r="M837" s="449"/>
      <c r="N837" s="450"/>
    </row>
    <row r="838" spans="1:15" s="91" customFormat="1" x14ac:dyDescent="0.25">
      <c r="A838" s="64"/>
      <c r="B838" s="64"/>
      <c r="C838" s="152" t="s">
        <v>980</v>
      </c>
      <c r="D838" s="449"/>
      <c r="E838" s="451"/>
      <c r="F838" s="451"/>
      <c r="G838" s="452"/>
      <c r="H838" s="452"/>
      <c r="I838" s="449"/>
      <c r="J838" s="961" t="s">
        <v>1200</v>
      </c>
      <c r="K838" s="449"/>
      <c r="L838" s="449"/>
      <c r="M838" s="449"/>
      <c r="N838" s="450"/>
    </row>
    <row r="839" spans="1:15" s="91" customFormat="1" x14ac:dyDescent="0.25">
      <c r="A839" s="64"/>
      <c r="B839" s="64"/>
      <c r="C839" s="152"/>
      <c r="D839" s="449"/>
      <c r="E839" s="451"/>
      <c r="F839" s="451"/>
      <c r="G839" s="452"/>
      <c r="H839" s="452"/>
      <c r="I839" s="449"/>
      <c r="J839" s="961"/>
      <c r="K839" s="449"/>
      <c r="L839" s="449"/>
      <c r="M839" s="449"/>
      <c r="N839" s="1437"/>
    </row>
    <row r="840" spans="1:15" s="91" customFormat="1" x14ac:dyDescent="0.25">
      <c r="A840" s="1416" t="s">
        <v>3684</v>
      </c>
      <c r="B840" s="64"/>
      <c r="C840" s="152"/>
      <c r="D840" s="449"/>
      <c r="E840" s="451"/>
      <c r="F840" s="451"/>
      <c r="G840" s="452"/>
      <c r="H840" s="452"/>
      <c r="I840" s="449"/>
      <c r="J840" s="961"/>
      <c r="K840" s="449"/>
      <c r="L840" s="449"/>
      <c r="M840" s="449"/>
      <c r="N840" s="1437"/>
    </row>
    <row r="841" spans="1:15" s="91" customFormat="1" x14ac:dyDescent="0.25">
      <c r="A841" s="64" t="s">
        <v>296</v>
      </c>
      <c r="B841" s="64"/>
      <c r="C841" s="449"/>
      <c r="D841" s="449"/>
      <c r="E841" s="451"/>
      <c r="F841" s="451"/>
      <c r="G841" s="452"/>
      <c r="H841" s="452"/>
      <c r="I841" s="449"/>
      <c r="J841" s="449"/>
      <c r="K841" s="449"/>
      <c r="L841" s="449"/>
      <c r="M841" s="449"/>
      <c r="N841" s="450"/>
    </row>
    <row r="842" spans="1:15" s="91" customFormat="1" ht="16.5" x14ac:dyDescent="0.3">
      <c r="A842" s="1065" t="s">
        <v>303</v>
      </c>
      <c r="B842" s="131"/>
      <c r="C842" s="955"/>
      <c r="D842" s="979"/>
      <c r="H842" s="979"/>
      <c r="I842" s="979"/>
      <c r="J842" s="979"/>
      <c r="K842" s="978" t="s">
        <v>1097</v>
      </c>
      <c r="M842" s="449"/>
      <c r="N842" s="450"/>
    </row>
    <row r="843" spans="1:15" s="91" customFormat="1" x14ac:dyDescent="0.25">
      <c r="A843" s="139"/>
      <c r="B843" s="64"/>
      <c r="C843" s="449"/>
      <c r="D843" s="449"/>
      <c r="E843" s="451"/>
      <c r="F843" s="451"/>
      <c r="G843" s="452"/>
      <c r="H843" s="452"/>
      <c r="I843" s="449"/>
      <c r="J843" s="449"/>
      <c r="K843" s="449"/>
      <c r="L843" s="449"/>
      <c r="M843" s="449"/>
      <c r="N843" s="450"/>
    </row>
    <row r="844" spans="1:15" s="2" customFormat="1" ht="16.5" x14ac:dyDescent="0.3">
      <c r="A844" s="1068" t="s">
        <v>304</v>
      </c>
      <c r="B844" s="3"/>
      <c r="D844" s="131"/>
      <c r="E844" s="963"/>
      <c r="F844" s="963"/>
      <c r="G844" s="267"/>
      <c r="H844" s="267"/>
      <c r="I844" s="131"/>
      <c r="J844" s="131"/>
      <c r="K844" s="131"/>
      <c r="L844" s="131"/>
      <c r="M844" s="131"/>
      <c r="N844" s="537"/>
    </row>
    <row r="845" spans="1:15" s="2" customFormat="1" ht="16.5" x14ac:dyDescent="0.3">
      <c r="A845" s="1068" t="s">
        <v>2757</v>
      </c>
      <c r="B845" s="3"/>
      <c r="D845" s="131"/>
      <c r="E845" s="963"/>
      <c r="F845" s="963"/>
      <c r="G845" s="267"/>
      <c r="H845" s="267"/>
      <c r="I845" s="131"/>
      <c r="J845" s="131"/>
      <c r="K845" s="131"/>
      <c r="L845" s="131"/>
      <c r="M845" s="131"/>
      <c r="N845" s="537"/>
    </row>
    <row r="846" spans="1:15" s="15" customFormat="1" ht="12" thickBot="1" x14ac:dyDescent="0.25">
      <c r="A846" s="262"/>
      <c r="B846" s="70"/>
      <c r="C846" s="71"/>
      <c r="D846" s="71"/>
      <c r="E846" s="216"/>
      <c r="F846" s="217"/>
      <c r="G846" s="114"/>
      <c r="H846" s="114"/>
      <c r="I846" s="73"/>
      <c r="J846" s="73"/>
      <c r="K846" s="73"/>
      <c r="L846" s="73"/>
      <c r="M846" s="73"/>
      <c r="N846" s="200"/>
    </row>
    <row r="847" spans="1:15" s="15" customFormat="1" ht="157.5" thickTop="1" thickBot="1" x14ac:dyDescent="0.25">
      <c r="A847" s="325" t="s">
        <v>142</v>
      </c>
      <c r="B847" s="326" t="s">
        <v>143</v>
      </c>
      <c r="C847" s="453" t="str">
        <f>"Excess adjusted Cash S1 " &amp;IF('11. CashData'!$J$39="yes","rebalanced","unrebalanced")&amp;" (I+W-E-T) if &gt; 0" &amp; " FV"</f>
        <v>Excess adjusted Cash S1 unrebalanced (I+W-E-T) if &gt; 0 FV</v>
      </c>
      <c r="D847" s="453" t="str">
        <f>"Excess adjusted Cash S2 " &amp;IF('11. CashData'!$J$39="yes","rebalanced","unrebalanced")&amp;" (I+W-E-T) if &gt; 0" &amp; " FV"</f>
        <v>Excess adjusted Cash S2 unrebalanced (I+W-E-T) if &gt; 0 FV</v>
      </c>
      <c r="E847" s="238" t="s">
        <v>461</v>
      </c>
      <c r="F847" s="238" t="s">
        <v>462</v>
      </c>
      <c r="G847" s="512" t="s">
        <v>463</v>
      </c>
      <c r="H847" s="512" t="s">
        <v>464</v>
      </c>
      <c r="I847" s="431" t="s">
        <v>465</v>
      </c>
      <c r="J847" s="431" t="s">
        <v>466</v>
      </c>
      <c r="K847" s="431" t="s">
        <v>467</v>
      </c>
      <c r="L847" s="456" t="s">
        <v>469</v>
      </c>
      <c r="M847" s="456" t="s">
        <v>468</v>
      </c>
      <c r="N847" s="514" t="s">
        <v>470</v>
      </c>
    </row>
    <row r="848" spans="1:15" s="306" customFormat="1" ht="12.75" thickTop="1" x14ac:dyDescent="0.2">
      <c r="A848" s="718">
        <f>'1. AgeData'!$D$30</f>
        <v>60</v>
      </c>
      <c r="B848" s="719">
        <f>'1. AgeData'!$D$31</f>
        <v>55</v>
      </c>
      <c r="C848" s="726">
        <f>'11. CashData'!$M52</f>
        <v>1015.25</v>
      </c>
      <c r="D848" s="727">
        <f>'11. CashData'!$N52</f>
        <v>1015.25</v>
      </c>
      <c r="E848" s="616">
        <f t="shared" ref="E848:E884" si="168">E499+G499 +I499</f>
        <v>2365</v>
      </c>
      <c r="F848" s="616">
        <f t="shared" ref="F848:F884" si="169">F499+H499 +J499</f>
        <v>2200</v>
      </c>
      <c r="G848" s="545">
        <f t="shared" ref="G848:G884" si="170">E397+I397+K499+M499</f>
        <v>-7477</v>
      </c>
      <c r="H848" s="660">
        <f t="shared" ref="H848:H884" si="171">F397+J397+L499+N499</f>
        <v>1000</v>
      </c>
      <c r="I848" s="545">
        <f t="shared" ref="I848:I884" si="172">C239+I239+K312</f>
        <v>55500</v>
      </c>
      <c r="J848" s="616">
        <f t="shared" ref="J848:J884" si="173">D239+J239+L312</f>
        <v>45500</v>
      </c>
      <c r="K848" s="616">
        <f>I848+J848</f>
        <v>101000</v>
      </c>
      <c r="L848" s="545">
        <f t="shared" ref="L848:L884" si="174">E848+I848 +(G239-C239)</f>
        <v>57865</v>
      </c>
      <c r="M848" s="660">
        <f t="shared" ref="M848:M884" si="175">F848+J848 +(H239-D239)</f>
        <v>47700</v>
      </c>
      <c r="N848" s="720">
        <f t="shared" ref="N848" si="176">L848+M848</f>
        <v>105565</v>
      </c>
      <c r="O848" s="543"/>
    </row>
    <row r="849" spans="1:15" s="306" customFormat="1" ht="12" x14ac:dyDescent="0.2">
      <c r="A849" s="395">
        <f>A848+1</f>
        <v>61</v>
      </c>
      <c r="B849" s="272">
        <f>B848+1</f>
        <v>56</v>
      </c>
      <c r="C849" s="728">
        <f>'11. CashData'!$M53</f>
        <v>250.24194117646402</v>
      </c>
      <c r="D849" s="729">
        <f>'11. CashData'!$N53</f>
        <v>250.24194117646402</v>
      </c>
      <c r="E849" s="274">
        <f t="shared" si="168"/>
        <v>2459.1753750000003</v>
      </c>
      <c r="F849" s="274">
        <f t="shared" si="169"/>
        <v>2288.4193749999999</v>
      </c>
      <c r="G849" s="345">
        <f t="shared" si="170"/>
        <v>-17463.834999999999</v>
      </c>
      <c r="H849" s="346">
        <f t="shared" si="171"/>
        <v>-12740.25</v>
      </c>
      <c r="I849" s="345">
        <f t="shared" si="172"/>
        <v>56610</v>
      </c>
      <c r="J849" s="274">
        <f t="shared" si="173"/>
        <v>46209.999999999993</v>
      </c>
      <c r="K849" s="174">
        <f t="shared" ref="K849:K884" si="177">I849+J849</f>
        <v>102820</v>
      </c>
      <c r="L849" s="345">
        <f t="shared" si="174"/>
        <v>59069.175374999999</v>
      </c>
      <c r="M849" s="346">
        <f t="shared" si="175"/>
        <v>48498.41937499999</v>
      </c>
      <c r="N849" s="721">
        <f t="shared" ref="N849:N884" si="178">L849+M849</f>
        <v>107567.59474999999</v>
      </c>
      <c r="O849" s="558"/>
    </row>
    <row r="850" spans="1:15" s="306" customFormat="1" ht="12" x14ac:dyDescent="0.2">
      <c r="A850" s="395">
        <f t="shared" ref="A850:B865" si="179">A849+1</f>
        <v>62</v>
      </c>
      <c r="B850" s="272">
        <f t="shared" si="179"/>
        <v>57</v>
      </c>
      <c r="C850" s="728">
        <f>'11. CashData'!$M54</f>
        <v>-943.30633277655579</v>
      </c>
      <c r="D850" s="729">
        <f>'11. CashData'!$N54</f>
        <v>-943.30633277655579</v>
      </c>
      <c r="E850" s="274">
        <f t="shared" si="168"/>
        <v>2539.1428472977941</v>
      </c>
      <c r="F850" s="274">
        <f t="shared" si="169"/>
        <v>2358.2325611948531</v>
      </c>
      <c r="G850" s="345">
        <f t="shared" si="170"/>
        <v>-13979.482324999999</v>
      </c>
      <c r="H850" s="346">
        <f t="shared" si="171"/>
        <v>-11943.627974999999</v>
      </c>
      <c r="I850" s="345">
        <f t="shared" si="172"/>
        <v>57742.2</v>
      </c>
      <c r="J850" s="274">
        <f t="shared" si="173"/>
        <v>46931.199999999983</v>
      </c>
      <c r="K850" s="174">
        <f t="shared" si="177"/>
        <v>104673.39999999998</v>
      </c>
      <c r="L850" s="345">
        <f t="shared" si="174"/>
        <v>60281.34284729779</v>
      </c>
      <c r="M850" s="346">
        <f t="shared" si="175"/>
        <v>49289.432561194837</v>
      </c>
      <c r="N850" s="721">
        <f t="shared" si="178"/>
        <v>109570.77540849263</v>
      </c>
      <c r="O850" s="1103"/>
    </row>
    <row r="851" spans="1:15" s="306" customFormat="1" ht="12" x14ac:dyDescent="0.2">
      <c r="A851" s="395">
        <f t="shared" si="179"/>
        <v>63</v>
      </c>
      <c r="B851" s="272">
        <f t="shared" si="179"/>
        <v>58</v>
      </c>
      <c r="C851" s="728">
        <f>'11. CashData'!$M55</f>
        <v>-14259.096726377626</v>
      </c>
      <c r="D851" s="729">
        <f>'11. CashData'!$N55</f>
        <v>-14259.096726377626</v>
      </c>
      <c r="E851" s="274">
        <f t="shared" si="168"/>
        <v>2595.3854823600004</v>
      </c>
      <c r="F851" s="274">
        <f t="shared" si="169"/>
        <v>2397.1430324763555</v>
      </c>
      <c r="G851" s="345">
        <f t="shared" si="170"/>
        <v>-33224.522759874999</v>
      </c>
      <c r="H851" s="346">
        <f t="shared" si="171"/>
        <v>-30398.440404302499</v>
      </c>
      <c r="I851" s="345">
        <f t="shared" si="172"/>
        <v>46439.648999999983</v>
      </c>
      <c r="J851" s="274">
        <f t="shared" si="173"/>
        <v>21521.819624999993</v>
      </c>
      <c r="K851" s="174">
        <f t="shared" si="177"/>
        <v>67961.46862499998</v>
      </c>
      <c r="L851" s="345">
        <f t="shared" si="174"/>
        <v>49035.034482359981</v>
      </c>
      <c r="M851" s="346">
        <f t="shared" si="175"/>
        <v>23918.96265747635</v>
      </c>
      <c r="N851" s="721">
        <f t="shared" si="178"/>
        <v>72953.997139836327</v>
      </c>
      <c r="O851" s="1103"/>
    </row>
    <row r="852" spans="1:15" s="306" customFormat="1" ht="12" x14ac:dyDescent="0.2">
      <c r="A852" s="548">
        <f t="shared" si="179"/>
        <v>64</v>
      </c>
      <c r="B852" s="173">
        <f t="shared" si="179"/>
        <v>59</v>
      </c>
      <c r="C852" s="728">
        <f>'11. CashData'!$M56</f>
        <v>-12966.53788193412</v>
      </c>
      <c r="D852" s="729">
        <f>'11. CashData'!$N56</f>
        <v>-12966.53788193412</v>
      </c>
      <c r="E852" s="174">
        <f t="shared" si="168"/>
        <v>2366.7671621136219</v>
      </c>
      <c r="F852" s="174">
        <f t="shared" si="169"/>
        <v>2103.9393058940714</v>
      </c>
      <c r="G852" s="545">
        <f t="shared" si="170"/>
        <v>-36131.541713273131</v>
      </c>
      <c r="H852" s="660">
        <f t="shared" si="171"/>
        <v>-33413.983902631961</v>
      </c>
      <c r="I852" s="545">
        <f t="shared" si="172"/>
        <v>46759.396904999972</v>
      </c>
      <c r="J852" s="174">
        <f t="shared" si="173"/>
        <v>21873.830139374993</v>
      </c>
      <c r="K852" s="174">
        <f t="shared" si="177"/>
        <v>68633.227044374973</v>
      </c>
      <c r="L852" s="545">
        <f t="shared" si="174"/>
        <v>49126.164067113597</v>
      </c>
      <c r="M852" s="660">
        <f t="shared" si="175"/>
        <v>23977.769445269063</v>
      </c>
      <c r="N852" s="721">
        <f t="shared" si="178"/>
        <v>73103.93351238266</v>
      </c>
      <c r="O852" s="1103"/>
    </row>
    <row r="853" spans="1:15" s="306" customFormat="1" ht="12" x14ac:dyDescent="0.2">
      <c r="A853" s="395">
        <f t="shared" si="179"/>
        <v>65</v>
      </c>
      <c r="B853" s="272">
        <f t="shared" si="179"/>
        <v>60</v>
      </c>
      <c r="C853" s="728">
        <f>'11. CashData'!$M57</f>
        <v>-8720.8003967600598</v>
      </c>
      <c r="D853" s="729">
        <f>'11. CashData'!$N57</f>
        <v>-8720.8003967600598</v>
      </c>
      <c r="E853" s="274">
        <f t="shared" si="168"/>
        <v>2138.8720916374814</v>
      </c>
      <c r="F853" s="274">
        <f t="shared" si="169"/>
        <v>1838.2178450529702</v>
      </c>
      <c r="G853" s="345">
        <f t="shared" si="170"/>
        <v>-21126.373654399998</v>
      </c>
      <c r="H853" s="346">
        <f t="shared" si="171"/>
        <v>-19518.52962765058</v>
      </c>
      <c r="I853" s="345">
        <f t="shared" si="172"/>
        <v>47082.494542724962</v>
      </c>
      <c r="J853" s="274">
        <f t="shared" si="173"/>
        <v>22231.704475865612</v>
      </c>
      <c r="K853" s="174">
        <f t="shared" si="177"/>
        <v>69314.199018590574</v>
      </c>
      <c r="L853" s="345">
        <f t="shared" si="174"/>
        <v>49221.366634362443</v>
      </c>
      <c r="M853" s="346">
        <f t="shared" si="175"/>
        <v>24069.922320918584</v>
      </c>
      <c r="N853" s="721">
        <f t="shared" si="178"/>
        <v>73291.288955281023</v>
      </c>
      <c r="O853" s="1103"/>
    </row>
    <row r="854" spans="1:15" s="306" customFormat="1" ht="12" x14ac:dyDescent="0.2">
      <c r="A854" s="395">
        <f t="shared" si="179"/>
        <v>66</v>
      </c>
      <c r="B854" s="272">
        <f t="shared" si="179"/>
        <v>61</v>
      </c>
      <c r="C854" s="728">
        <f>'11. CashData'!$M58</f>
        <v>32929.659013036828</v>
      </c>
      <c r="D854" s="729">
        <f>'11. CashData'!$N58</f>
        <v>5187.9411680065514</v>
      </c>
      <c r="E854" s="274">
        <f t="shared" si="168"/>
        <v>1997.3606330773455</v>
      </c>
      <c r="F854" s="274">
        <f t="shared" si="169"/>
        <v>1663.5646464304953</v>
      </c>
      <c r="G854" s="345">
        <f t="shared" si="170"/>
        <v>-27006.410804544001</v>
      </c>
      <c r="H854" s="346">
        <f t="shared" si="171"/>
        <v>-24825.819537596708</v>
      </c>
      <c r="I854" s="345">
        <f t="shared" si="172"/>
        <v>78199.191085638391</v>
      </c>
      <c r="J854" s="274">
        <f t="shared" si="173"/>
        <v>50385.739669027404</v>
      </c>
      <c r="K854" s="174">
        <f t="shared" si="177"/>
        <v>128584.93075466579</v>
      </c>
      <c r="L854" s="345">
        <f t="shared" si="174"/>
        <v>80196.551718715738</v>
      </c>
      <c r="M854" s="346">
        <f t="shared" si="175"/>
        <v>52049.304315457899</v>
      </c>
      <c r="N854" s="721">
        <f t="shared" si="178"/>
        <v>132245.85603417363</v>
      </c>
      <c r="O854" s="1103"/>
    </row>
    <row r="855" spans="1:15" s="306" customFormat="1" ht="12" x14ac:dyDescent="0.2">
      <c r="A855" s="548">
        <f t="shared" si="179"/>
        <v>67</v>
      </c>
      <c r="B855" s="173">
        <f t="shared" si="179"/>
        <v>62</v>
      </c>
      <c r="C855" s="813">
        <f>'11. CashData'!$M59</f>
        <v>36947.833010506234</v>
      </c>
      <c r="D855" s="814">
        <f>'11. CashData'!$N59</f>
        <v>2766.8168137789908</v>
      </c>
      <c r="E855" s="174">
        <f t="shared" si="168"/>
        <v>2748.2915554687997</v>
      </c>
      <c r="F855" s="174">
        <f t="shared" si="169"/>
        <v>1868.3454098632092</v>
      </c>
      <c r="G855" s="545">
        <f t="shared" si="170"/>
        <v>-11642.257714739118</v>
      </c>
      <c r="H855" s="660">
        <f t="shared" si="171"/>
        <v>-2997.3723668159564</v>
      </c>
      <c r="I855" s="545">
        <f t="shared" si="172"/>
        <v>79144.948401714893</v>
      </c>
      <c r="J855" s="174">
        <f t="shared" si="173"/>
        <v>51311.446217612247</v>
      </c>
      <c r="K855" s="174">
        <f t="shared" si="177"/>
        <v>130456.39461932714</v>
      </c>
      <c r="L855" s="545">
        <f t="shared" si="174"/>
        <v>81893.239957183687</v>
      </c>
      <c r="M855" s="660">
        <f t="shared" si="175"/>
        <v>53179.791627475453</v>
      </c>
      <c r="N855" s="721">
        <f t="shared" si="178"/>
        <v>135073.03158465913</v>
      </c>
      <c r="O855" s="1104"/>
    </row>
    <row r="856" spans="1:15" s="306" customFormat="1" ht="12" x14ac:dyDescent="0.2">
      <c r="A856" s="548">
        <f t="shared" si="179"/>
        <v>68</v>
      </c>
      <c r="B856" s="173">
        <f t="shared" si="179"/>
        <v>63</v>
      </c>
      <c r="C856" s="813">
        <f>'11. CashData'!$M60</f>
        <v>16887.655460737413</v>
      </c>
      <c r="D856" s="814">
        <f>'11. CashData'!$N60</f>
        <v>16887.655460737413</v>
      </c>
      <c r="E856" s="174">
        <f t="shared" si="168"/>
        <v>3574.2753180825753</v>
      </c>
      <c r="F856" s="174">
        <f t="shared" si="169"/>
        <v>2010.1289169147376</v>
      </c>
      <c r="G856" s="545">
        <f t="shared" si="170"/>
        <v>-8534.4317793242735</v>
      </c>
      <c r="H856" s="660">
        <f t="shared" si="171"/>
        <v>-1413.2692196370385</v>
      </c>
      <c r="I856" s="545">
        <f t="shared" si="172"/>
        <v>80106.529731584742</v>
      </c>
      <c r="J856" s="174">
        <f t="shared" si="173"/>
        <v>52254.436773496869</v>
      </c>
      <c r="K856" s="174">
        <f t="shared" si="177"/>
        <v>132360.96650508163</v>
      </c>
      <c r="L856" s="545">
        <f t="shared" si="174"/>
        <v>83680.805049667324</v>
      </c>
      <c r="M856" s="660">
        <f t="shared" si="175"/>
        <v>54264.565690411604</v>
      </c>
      <c r="N856" s="721">
        <f t="shared" si="178"/>
        <v>137945.37074007891</v>
      </c>
      <c r="O856" s="1104"/>
    </row>
    <row r="857" spans="1:15" s="306" customFormat="1" ht="12" x14ac:dyDescent="0.2">
      <c r="A857" s="548">
        <f t="shared" si="179"/>
        <v>69</v>
      </c>
      <c r="B857" s="173">
        <f t="shared" si="179"/>
        <v>64</v>
      </c>
      <c r="C857" s="813">
        <f>'11. CashData'!$M61</f>
        <v>38807.954695237131</v>
      </c>
      <c r="D857" s="814">
        <f>'11. CashData'!$N61</f>
        <v>5572.8088597508649</v>
      </c>
      <c r="E857" s="174">
        <f t="shared" si="168"/>
        <v>3978.464076646379</v>
      </c>
      <c r="F857" s="174">
        <f t="shared" si="169"/>
        <v>2542.7166981310247</v>
      </c>
      <c r="G857" s="545">
        <f t="shared" si="170"/>
        <v>-5207.4484077425022</v>
      </c>
      <c r="H857" s="660">
        <f t="shared" si="171"/>
        <v>-4621.8703816345169</v>
      </c>
      <c r="I857" s="545">
        <f t="shared" si="172"/>
        <v>91495.882557698758</v>
      </c>
      <c r="J857" s="174">
        <f t="shared" si="173"/>
        <v>63626.685022809717</v>
      </c>
      <c r="K857" s="174">
        <f t="shared" si="177"/>
        <v>155122.56758050848</v>
      </c>
      <c r="L857" s="545">
        <f t="shared" si="174"/>
        <v>95474.346634345144</v>
      </c>
      <c r="M857" s="660">
        <f t="shared" si="175"/>
        <v>66169.401720940747</v>
      </c>
      <c r="N857" s="721">
        <f t="shared" si="178"/>
        <v>161643.7483552859</v>
      </c>
      <c r="O857" s="1104"/>
    </row>
    <row r="858" spans="1:15" s="306" customFormat="1" ht="12" x14ac:dyDescent="0.2">
      <c r="A858" s="395">
        <f t="shared" si="179"/>
        <v>70</v>
      </c>
      <c r="B858" s="272">
        <f t="shared" si="179"/>
        <v>65</v>
      </c>
      <c r="C858" s="728">
        <f>'11. CashData'!$M62</f>
        <v>55278.320600512903</v>
      </c>
      <c r="D858" s="729">
        <f>'11. CashData'!$N62</f>
        <v>6384.7453705932821</v>
      </c>
      <c r="E858" s="274">
        <f t="shared" si="168"/>
        <v>4858.5874394754101</v>
      </c>
      <c r="F858" s="274">
        <f t="shared" si="169"/>
        <v>2773.4664839914662</v>
      </c>
      <c r="G858" s="345">
        <f t="shared" si="170"/>
        <v>-26300.729236543801</v>
      </c>
      <c r="H858" s="346">
        <f t="shared" si="171"/>
        <v>-6911.7199568564884</v>
      </c>
      <c r="I858" s="345">
        <f t="shared" si="172"/>
        <v>92698.25386136568</v>
      </c>
      <c r="J858" s="274">
        <f t="shared" si="173"/>
        <v>68313.464475111352</v>
      </c>
      <c r="K858" s="174">
        <f t="shared" si="177"/>
        <v>161011.71833647703</v>
      </c>
      <c r="L858" s="345">
        <f t="shared" si="174"/>
        <v>97556.841300841086</v>
      </c>
      <c r="M858" s="346">
        <f t="shared" si="175"/>
        <v>71086.930959102814</v>
      </c>
      <c r="N858" s="721">
        <f t="shared" si="178"/>
        <v>168643.77225994389</v>
      </c>
    </row>
    <row r="859" spans="1:15" s="306" customFormat="1" ht="12" x14ac:dyDescent="0.2">
      <c r="A859" s="395">
        <f t="shared" si="179"/>
        <v>71</v>
      </c>
      <c r="B859" s="272">
        <f t="shared" si="179"/>
        <v>66</v>
      </c>
      <c r="C859" s="728">
        <f>'11. CashData'!$M63</f>
        <v>61180.395681853865</v>
      </c>
      <c r="D859" s="729">
        <f>'11. CashData'!$N63</f>
        <v>15316.067430162868</v>
      </c>
      <c r="E859" s="274">
        <f t="shared" si="168"/>
        <v>6102.9450879404048</v>
      </c>
      <c r="F859" s="274">
        <f t="shared" si="169"/>
        <v>3030.5826451526318</v>
      </c>
      <c r="G859" s="345">
        <f t="shared" si="170"/>
        <v>-61737.669422212515</v>
      </c>
      <c r="H859" s="346">
        <f t="shared" si="171"/>
        <v>-7571.438516374028</v>
      </c>
      <c r="I859" s="345">
        <f t="shared" si="172"/>
        <v>93921.534859368519</v>
      </c>
      <c r="J859" s="274">
        <f t="shared" si="173"/>
        <v>69522.693202736671</v>
      </c>
      <c r="K859" s="174">
        <f t="shared" si="177"/>
        <v>163444.22806210519</v>
      </c>
      <c r="L859" s="345">
        <f t="shared" si="174"/>
        <v>100024.47994730892</v>
      </c>
      <c r="M859" s="346">
        <f t="shared" si="175"/>
        <v>72553.275847889308</v>
      </c>
      <c r="N859" s="721">
        <f t="shared" si="178"/>
        <v>172577.75579519823</v>
      </c>
    </row>
    <row r="860" spans="1:15" s="306" customFormat="1" ht="12" x14ac:dyDescent="0.2">
      <c r="A860" s="395">
        <f t="shared" si="179"/>
        <v>72</v>
      </c>
      <c r="B860" s="272">
        <f t="shared" si="179"/>
        <v>67</v>
      </c>
      <c r="C860" s="728">
        <f>'11. CashData'!$M64</f>
        <v>29278.615025129708</v>
      </c>
      <c r="D860" s="729">
        <f>'11. CashData'!$N64</f>
        <v>29278.615025129708</v>
      </c>
      <c r="E860" s="274">
        <f t="shared" si="168"/>
        <v>7488.5074636115769</v>
      </c>
      <c r="F860" s="274">
        <f t="shared" si="169"/>
        <v>3537.8096957722823</v>
      </c>
      <c r="G860" s="345">
        <f t="shared" si="170"/>
        <v>-30047.023454974016</v>
      </c>
      <c r="H860" s="346">
        <f t="shared" si="171"/>
        <v>-6513.8251985316538</v>
      </c>
      <c r="I860" s="345">
        <f t="shared" si="172"/>
        <v>95166.128056935282</v>
      </c>
      <c r="J860" s="274">
        <f t="shared" si="173"/>
        <v>52820.528324563376</v>
      </c>
      <c r="K860" s="174">
        <f t="shared" si="177"/>
        <v>147986.65638149867</v>
      </c>
      <c r="L860" s="345">
        <f t="shared" si="174"/>
        <v>102654.63552054686</v>
      </c>
      <c r="M860" s="346">
        <f t="shared" si="175"/>
        <v>56358.338020335657</v>
      </c>
      <c r="N860" s="721">
        <f t="shared" si="178"/>
        <v>159012.97354088252</v>
      </c>
    </row>
    <row r="861" spans="1:15" s="306" customFormat="1" ht="12" x14ac:dyDescent="0.2">
      <c r="A861" s="395">
        <f t="shared" si="179"/>
        <v>73</v>
      </c>
      <c r="B861" s="272">
        <f t="shared" si="179"/>
        <v>68</v>
      </c>
      <c r="C861" s="728">
        <f>'11. CashData'!$M65</f>
        <v>30160.592725914274</v>
      </c>
      <c r="D861" s="729">
        <f>'11. CashData'!$N65</f>
        <v>30160.592725914274</v>
      </c>
      <c r="E861" s="274">
        <f t="shared" si="168"/>
        <v>8204.1155224833983</v>
      </c>
      <c r="F861" s="274">
        <f t="shared" si="169"/>
        <v>4437.8832786393632</v>
      </c>
      <c r="G861" s="345">
        <f t="shared" si="170"/>
        <v>-18155.184987989913</v>
      </c>
      <c r="H861" s="346">
        <f t="shared" si="171"/>
        <v>-413.77573768704133</v>
      </c>
      <c r="I861" s="345">
        <f t="shared" si="172"/>
        <v>96432.443930955284</v>
      </c>
      <c r="J861" s="274">
        <f t="shared" si="173"/>
        <v>53806.93889105464</v>
      </c>
      <c r="K861" s="174">
        <f t="shared" si="177"/>
        <v>150239.38282200991</v>
      </c>
      <c r="L861" s="345">
        <f t="shared" si="174"/>
        <v>104636.55945343868</v>
      </c>
      <c r="M861" s="346">
        <f t="shared" si="175"/>
        <v>58244.822169694002</v>
      </c>
      <c r="N861" s="721">
        <f t="shared" si="178"/>
        <v>162881.38162313268</v>
      </c>
    </row>
    <row r="862" spans="1:15" s="306" customFormat="1" ht="12" x14ac:dyDescent="0.2">
      <c r="A862" s="395">
        <f t="shared" si="179"/>
        <v>74</v>
      </c>
      <c r="B862" s="272">
        <f t="shared" si="179"/>
        <v>69</v>
      </c>
      <c r="C862" s="728">
        <f>'11. CashData'!$M66</f>
        <v>30569.808550529691</v>
      </c>
      <c r="D862" s="729">
        <f>'11. CashData'!$N66</f>
        <v>30569.808550529691</v>
      </c>
      <c r="E862" s="274">
        <f t="shared" si="168"/>
        <v>8946.9155945991151</v>
      </c>
      <c r="F862" s="274">
        <f t="shared" si="169"/>
        <v>5377.962535978194</v>
      </c>
      <c r="G862" s="345">
        <f t="shared" si="170"/>
        <v>-18670.297114547724</v>
      </c>
      <c r="H862" s="346">
        <f t="shared" si="171"/>
        <v>-1955.622740355707</v>
      </c>
      <c r="I862" s="345">
        <f t="shared" si="172"/>
        <v>97720.901089020088</v>
      </c>
      <c r="J862" s="274">
        <f t="shared" si="173"/>
        <v>54813.077668875732</v>
      </c>
      <c r="K862" s="174">
        <f t="shared" si="177"/>
        <v>152533.97875789582</v>
      </c>
      <c r="L862" s="345">
        <f t="shared" si="174"/>
        <v>106667.8166836192</v>
      </c>
      <c r="M862" s="346">
        <f t="shared" si="175"/>
        <v>60191.040204853925</v>
      </c>
      <c r="N862" s="721">
        <f t="shared" si="178"/>
        <v>166858.85688847312</v>
      </c>
    </row>
    <row r="863" spans="1:15" s="306" customFormat="1" ht="12" x14ac:dyDescent="0.2">
      <c r="A863" s="395">
        <f t="shared" si="179"/>
        <v>75</v>
      </c>
      <c r="B863" s="272">
        <f t="shared" si="179"/>
        <v>70</v>
      </c>
      <c r="C863" s="728">
        <f>'11. CashData'!$M67</f>
        <v>-66657.861311698391</v>
      </c>
      <c r="D863" s="729">
        <f>'11. CashData'!$N67</f>
        <v>-66657.861311698391</v>
      </c>
      <c r="E863" s="274">
        <f t="shared" si="168"/>
        <v>9707.0560077733935</v>
      </c>
      <c r="F863" s="274">
        <f t="shared" si="169"/>
        <v>6312.7466154973799</v>
      </c>
      <c r="G863" s="345">
        <f t="shared" si="170"/>
        <v>-36993.436456554991</v>
      </c>
      <c r="H863" s="346">
        <f t="shared" si="171"/>
        <v>-21811.217955786004</v>
      </c>
      <c r="I863" s="345">
        <f t="shared" si="172"/>
        <v>55924.616928120173</v>
      </c>
      <c r="J863" s="274">
        <f t="shared" si="173"/>
        <v>55839.339222253242</v>
      </c>
      <c r="K863" s="174">
        <f t="shared" si="177"/>
        <v>111763.95615037341</v>
      </c>
      <c r="L863" s="345">
        <f t="shared" si="174"/>
        <v>65631.67293589357</v>
      </c>
      <c r="M863" s="346">
        <f t="shared" si="175"/>
        <v>62152.085837750623</v>
      </c>
      <c r="N863" s="721">
        <f t="shared" si="178"/>
        <v>127783.75877364419</v>
      </c>
    </row>
    <row r="864" spans="1:15" s="306" customFormat="1" ht="12" x14ac:dyDescent="0.2">
      <c r="A864" s="395">
        <f t="shared" si="179"/>
        <v>76</v>
      </c>
      <c r="B864" s="272">
        <f t="shared" si="179"/>
        <v>71</v>
      </c>
      <c r="C864" s="728">
        <f>'11. CashData'!$M68</f>
        <v>26563.0100768103</v>
      </c>
      <c r="D864" s="729">
        <f>'11. CashData'!$N68</f>
        <v>16788.880971146267</v>
      </c>
      <c r="E864" s="274">
        <f t="shared" si="168"/>
        <v>8385.5431336612728</v>
      </c>
      <c r="F864" s="274">
        <f t="shared" si="169"/>
        <v>4590.1284951968782</v>
      </c>
      <c r="G864" s="345">
        <f t="shared" si="170"/>
        <v>-12969.043238530909</v>
      </c>
      <c r="H864" s="346">
        <f t="shared" si="171"/>
        <v>-7058.4187965957944</v>
      </c>
      <c r="I864" s="345">
        <f t="shared" si="172"/>
        <v>57043.109266682579</v>
      </c>
      <c r="J864" s="274">
        <f t="shared" si="173"/>
        <v>56886.126006698309</v>
      </c>
      <c r="K864" s="174">
        <f t="shared" si="177"/>
        <v>113929.23527338088</v>
      </c>
      <c r="L864" s="345">
        <f t="shared" si="174"/>
        <v>65428.652400343854</v>
      </c>
      <c r="M864" s="346">
        <f t="shared" si="175"/>
        <v>61476.254501895186</v>
      </c>
      <c r="N864" s="721">
        <f t="shared" si="178"/>
        <v>126904.90690223905</v>
      </c>
    </row>
    <row r="865" spans="1:14" s="306" customFormat="1" ht="12" x14ac:dyDescent="0.2">
      <c r="A865" s="395">
        <f t="shared" si="179"/>
        <v>77</v>
      </c>
      <c r="B865" s="272">
        <f t="shared" si="179"/>
        <v>72</v>
      </c>
      <c r="C865" s="728">
        <f>'11. CashData'!$M69</f>
        <v>29318.543348040937</v>
      </c>
      <c r="D865" s="729">
        <f>'11. CashData'!$N69</f>
        <v>18404.446755825655</v>
      </c>
      <c r="E865" s="274">
        <f t="shared" si="168"/>
        <v>9053.0815963497989</v>
      </c>
      <c r="F865" s="274">
        <f t="shared" si="169"/>
        <v>5132.1499705693441</v>
      </c>
      <c r="G865" s="345">
        <f t="shared" si="170"/>
        <v>-13269.290518540356</v>
      </c>
      <c r="H865" s="346">
        <f t="shared" si="171"/>
        <v>-8466.3308121171976</v>
      </c>
      <c r="I865" s="345">
        <f t="shared" si="172"/>
        <v>58183.971452016238</v>
      </c>
      <c r="J865" s="274">
        <f t="shared" si="173"/>
        <v>57953.848526832284</v>
      </c>
      <c r="K865" s="174">
        <f t="shared" si="177"/>
        <v>116137.81997884852</v>
      </c>
      <c r="L865" s="345">
        <f t="shared" si="174"/>
        <v>67237.05304836604</v>
      </c>
      <c r="M865" s="346">
        <f t="shared" si="175"/>
        <v>63085.998497401626</v>
      </c>
      <c r="N865" s="721">
        <f t="shared" si="178"/>
        <v>130323.05154576767</v>
      </c>
    </row>
    <row r="866" spans="1:14" s="306" customFormat="1" ht="12" x14ac:dyDescent="0.2">
      <c r="A866" s="395">
        <f t="shared" ref="A866:B881" si="180">A865+1</f>
        <v>78</v>
      </c>
      <c r="B866" s="272">
        <f t="shared" si="180"/>
        <v>73</v>
      </c>
      <c r="C866" s="728">
        <f>'11. CashData'!$M70</f>
        <v>30088.771177706611</v>
      </c>
      <c r="D866" s="729">
        <f>'11. CashData'!$N70</f>
        <v>18895.860520185142</v>
      </c>
      <c r="E866" s="274">
        <f t="shared" si="168"/>
        <v>9787.5407166907025</v>
      </c>
      <c r="F866" s="274">
        <f t="shared" si="169"/>
        <v>5728.084880839514</v>
      </c>
      <c r="G866" s="345">
        <f t="shared" si="170"/>
        <v>-13642.80940596871</v>
      </c>
      <c r="H866" s="346">
        <f t="shared" si="171"/>
        <v>-8753.2583719552185</v>
      </c>
      <c r="I866" s="345">
        <f t="shared" si="172"/>
        <v>59347.650881056557</v>
      </c>
      <c r="J866" s="274">
        <f t="shared" si="173"/>
        <v>59042.925497368924</v>
      </c>
      <c r="K866" s="174">
        <f t="shared" si="177"/>
        <v>118390.57637842548</v>
      </c>
      <c r="L866" s="345">
        <f t="shared" si="174"/>
        <v>69135.191597747267</v>
      </c>
      <c r="M866" s="346">
        <f t="shared" si="175"/>
        <v>64771.010378208441</v>
      </c>
      <c r="N866" s="721">
        <f t="shared" si="178"/>
        <v>133906.20197595572</v>
      </c>
    </row>
    <row r="867" spans="1:14" s="306" customFormat="1" ht="12" x14ac:dyDescent="0.2">
      <c r="A867" s="395">
        <f t="shared" si="180"/>
        <v>79</v>
      </c>
      <c r="B867" s="272">
        <f t="shared" si="180"/>
        <v>74</v>
      </c>
      <c r="C867" s="728">
        <f>'11. CashData'!$M71</f>
        <v>25061.248565478552</v>
      </c>
      <c r="D867" s="729">
        <f>'11. CashData'!$N71</f>
        <v>11732.681421508587</v>
      </c>
      <c r="E867" s="274">
        <f t="shared" si="168"/>
        <v>10547.006015253339</v>
      </c>
      <c r="F867" s="274">
        <f t="shared" si="169"/>
        <v>6347.9625305592972</v>
      </c>
      <c r="G867" s="345">
        <f t="shared" si="170"/>
        <v>-13987.301473603977</v>
      </c>
      <c r="H867" s="346">
        <f t="shared" si="171"/>
        <v>-52756.350845732231</v>
      </c>
      <c r="I867" s="345">
        <f t="shared" si="172"/>
        <v>53838.12514306551</v>
      </c>
      <c r="J867" s="274">
        <f t="shared" si="173"/>
        <v>53457.305251704121</v>
      </c>
      <c r="K867" s="174">
        <f t="shared" si="177"/>
        <v>107295.43039476963</v>
      </c>
      <c r="L867" s="345">
        <f t="shared" si="174"/>
        <v>64385.131158318851</v>
      </c>
      <c r="M867" s="346">
        <f t="shared" si="175"/>
        <v>59805.267782263421</v>
      </c>
      <c r="N867" s="721">
        <f t="shared" si="178"/>
        <v>124190.39894058226</v>
      </c>
    </row>
    <row r="868" spans="1:14" s="306" customFormat="1" ht="12" x14ac:dyDescent="0.2">
      <c r="A868" s="395">
        <f t="shared" si="180"/>
        <v>80</v>
      </c>
      <c r="B868" s="272">
        <f t="shared" si="180"/>
        <v>75</v>
      </c>
      <c r="C868" s="728">
        <f>'11. CashData'!$M72</f>
        <v>25673.371758530306</v>
      </c>
      <c r="D868" s="729">
        <f>'11. CashData'!$N72</f>
        <v>13973.396304342215</v>
      </c>
      <c r="E868" s="274">
        <f t="shared" si="168"/>
        <v>11207.113428586539</v>
      </c>
      <c r="F868" s="274">
        <f t="shared" si="169"/>
        <v>6781.7006139355717</v>
      </c>
      <c r="G868" s="345">
        <f t="shared" si="170"/>
        <v>-14286.925034827909</v>
      </c>
      <c r="H868" s="346">
        <f t="shared" si="171"/>
        <v>-9286.3649329375185</v>
      </c>
      <c r="I868" s="345">
        <f t="shared" si="172"/>
        <v>54914.887645926821</v>
      </c>
      <c r="J868" s="274">
        <f t="shared" si="173"/>
        <v>54456.451356738202</v>
      </c>
      <c r="K868" s="174">
        <f t="shared" si="177"/>
        <v>109371.33900266502</v>
      </c>
      <c r="L868" s="345">
        <f t="shared" si="174"/>
        <v>66122.001074513362</v>
      </c>
      <c r="M868" s="346">
        <f t="shared" si="175"/>
        <v>61238.151970673774</v>
      </c>
      <c r="N868" s="721">
        <f t="shared" si="178"/>
        <v>127360.15304518714</v>
      </c>
    </row>
    <row r="869" spans="1:14" s="306" customFormat="1" ht="12" x14ac:dyDescent="0.2">
      <c r="A869" s="395">
        <f t="shared" si="180"/>
        <v>81</v>
      </c>
      <c r="B869" s="272">
        <f t="shared" si="180"/>
        <v>76</v>
      </c>
      <c r="C869" s="728">
        <f>'11. CashData'!$M73</f>
        <v>26298.119830844396</v>
      </c>
      <c r="D869" s="729">
        <f>'11. CashData'!$N73</f>
        <v>12981.467665008819</v>
      </c>
      <c r="E869" s="274">
        <f t="shared" si="168"/>
        <v>11887.972725823687</v>
      </c>
      <c r="F869" s="274">
        <f t="shared" si="169"/>
        <v>7284.6487730488534</v>
      </c>
      <c r="G869" s="345">
        <f t="shared" si="170"/>
        <v>-14597.501510099442</v>
      </c>
      <c r="H869" s="346">
        <f t="shared" si="171"/>
        <v>-8184.2530036075368</v>
      </c>
      <c r="I869" s="345">
        <f t="shared" si="172"/>
        <v>56013.185398845351</v>
      </c>
      <c r="J869" s="274">
        <f t="shared" si="173"/>
        <v>55475.580383872963</v>
      </c>
      <c r="K869" s="174">
        <f t="shared" si="177"/>
        <v>111488.76578271831</v>
      </c>
      <c r="L869" s="345">
        <f t="shared" si="174"/>
        <v>67901.158124669033</v>
      </c>
      <c r="M869" s="346">
        <f t="shared" si="175"/>
        <v>62760.229156921814</v>
      </c>
      <c r="N869" s="721">
        <f t="shared" si="178"/>
        <v>130661.38728159084</v>
      </c>
    </row>
    <row r="870" spans="1:14" s="306" customFormat="1" ht="12" x14ac:dyDescent="0.2">
      <c r="A870" s="395">
        <f t="shared" si="180"/>
        <v>82</v>
      </c>
      <c r="B870" s="272">
        <f t="shared" si="180"/>
        <v>77</v>
      </c>
      <c r="C870" s="728">
        <f>'11. CashData'!$M74</f>
        <v>26944.373688531825</v>
      </c>
      <c r="D870" s="729">
        <f>'11. CashData'!$N74</f>
        <v>13282.007935732738</v>
      </c>
      <c r="E870" s="274">
        <f t="shared" si="168"/>
        <v>12590.09398853381</v>
      </c>
      <c r="F870" s="274">
        <f t="shared" si="169"/>
        <v>7769.1204873649494</v>
      </c>
      <c r="G870" s="345">
        <f t="shared" si="170"/>
        <v>-14919.46703469589</v>
      </c>
      <c r="H870" s="346">
        <f t="shared" si="171"/>
        <v>-8368.573014427333</v>
      </c>
      <c r="I870" s="345">
        <f t="shared" si="172"/>
        <v>57133.449106822256</v>
      </c>
      <c r="J870" s="274">
        <f t="shared" si="173"/>
        <v>56515.09199155042</v>
      </c>
      <c r="K870" s="174">
        <f t="shared" si="177"/>
        <v>113648.54109837268</v>
      </c>
      <c r="L870" s="345">
        <f t="shared" si="174"/>
        <v>69723.543095356072</v>
      </c>
      <c r="M870" s="346">
        <f t="shared" si="175"/>
        <v>64284.212478915368</v>
      </c>
      <c r="N870" s="721">
        <f t="shared" si="178"/>
        <v>134007.75557427143</v>
      </c>
    </row>
    <row r="871" spans="1:14" s="306" customFormat="1" ht="12" x14ac:dyDescent="0.2">
      <c r="A871" s="395">
        <f t="shared" si="180"/>
        <v>83</v>
      </c>
      <c r="B871" s="272">
        <f t="shared" si="180"/>
        <v>78</v>
      </c>
      <c r="C871" s="728">
        <f>'11. CashData'!$M75</f>
        <v>27609.519876509672</v>
      </c>
      <c r="D871" s="729">
        <f>'11. CashData'!$N75</f>
        <v>13619.841011509998</v>
      </c>
      <c r="E871" s="274">
        <f t="shared" si="168"/>
        <v>13314.184103705384</v>
      </c>
      <c r="F871" s="274">
        <f t="shared" si="169"/>
        <v>8270.3353141264852</v>
      </c>
      <c r="G871" s="345">
        <f t="shared" si="170"/>
        <v>-15253.379672800564</v>
      </c>
      <c r="H871" s="346">
        <f t="shared" si="171"/>
        <v>-8587.4019749820327</v>
      </c>
      <c r="I871" s="345">
        <f t="shared" si="172"/>
        <v>58276.118088958705</v>
      </c>
      <c r="J871" s="274">
        <f t="shared" si="173"/>
        <v>57575.393831381429</v>
      </c>
      <c r="K871" s="174">
        <f t="shared" si="177"/>
        <v>115851.51192034013</v>
      </c>
      <c r="L871" s="345">
        <f t="shared" si="174"/>
        <v>71590.302192664094</v>
      </c>
      <c r="M871" s="346">
        <f t="shared" si="175"/>
        <v>65845.72914550791</v>
      </c>
      <c r="N871" s="721">
        <f t="shared" si="178"/>
        <v>137436.031338172</v>
      </c>
    </row>
    <row r="872" spans="1:14" s="306" customFormat="1" ht="12" x14ac:dyDescent="0.2">
      <c r="A872" s="395">
        <f t="shared" si="180"/>
        <v>84</v>
      </c>
      <c r="B872" s="272">
        <f t="shared" si="180"/>
        <v>79</v>
      </c>
      <c r="C872" s="728">
        <f>'11. CashData'!$M76</f>
        <v>28294.196560263161</v>
      </c>
      <c r="D872" s="729">
        <f>'11. CashData'!$N76</f>
        <v>13940.442340286048</v>
      </c>
      <c r="E872" s="274">
        <f t="shared" si="168"/>
        <v>14060.901898242953</v>
      </c>
      <c r="F872" s="274">
        <f t="shared" si="169"/>
        <v>8789.6118099402265</v>
      </c>
      <c r="G872" s="345">
        <f t="shared" si="170"/>
        <v>-15599.828547006957</v>
      </c>
      <c r="H872" s="346">
        <f t="shared" si="171"/>
        <v>-8786.2495175546028</v>
      </c>
      <c r="I872" s="345">
        <f t="shared" si="172"/>
        <v>59441.640450737876</v>
      </c>
      <c r="J872" s="274">
        <f t="shared" si="173"/>
        <v>58656.901708009056</v>
      </c>
      <c r="K872" s="174">
        <f t="shared" si="177"/>
        <v>118098.54215874693</v>
      </c>
      <c r="L872" s="345">
        <f t="shared" si="174"/>
        <v>73502.542348980831</v>
      </c>
      <c r="M872" s="346">
        <f t="shared" si="175"/>
        <v>67446.513517949279</v>
      </c>
      <c r="N872" s="721">
        <f t="shared" si="178"/>
        <v>140949.05586693011</v>
      </c>
    </row>
    <row r="873" spans="1:14" s="306" customFormat="1" ht="12" x14ac:dyDescent="0.2">
      <c r="A873" s="395">
        <f t="shared" si="180"/>
        <v>85</v>
      </c>
      <c r="B873" s="272">
        <f t="shared" si="180"/>
        <v>80</v>
      </c>
      <c r="C873" s="728">
        <f>'11. CashData'!$M77</f>
        <v>-9955.3651940818763</v>
      </c>
      <c r="D873" s="729">
        <f>'11. CashData'!$N77</f>
        <v>-9955.3651940818763</v>
      </c>
      <c r="E873" s="274">
        <f t="shared" si="168"/>
        <v>14830.927496118406</v>
      </c>
      <c r="F873" s="274">
        <f t="shared" si="169"/>
        <v>9326.7921809720483</v>
      </c>
      <c r="G873" s="345">
        <f t="shared" si="170"/>
        <v>-15904.395488399303</v>
      </c>
      <c r="H873" s="346">
        <f t="shared" si="171"/>
        <v>-8992.9367047388223</v>
      </c>
      <c r="I873" s="345">
        <f t="shared" si="172"/>
        <v>15661.871462367011</v>
      </c>
      <c r="J873" s="274">
        <f t="shared" si="173"/>
        <v>32838.103883895645</v>
      </c>
      <c r="K873" s="174">
        <f t="shared" si="177"/>
        <v>48499.975346262654</v>
      </c>
      <c r="L873" s="345">
        <f t="shared" si="174"/>
        <v>30492.798958485415</v>
      </c>
      <c r="M873" s="346">
        <f t="shared" si="175"/>
        <v>42164.896064867695</v>
      </c>
      <c r="N873" s="721">
        <f t="shared" si="178"/>
        <v>72657.69502335311</v>
      </c>
    </row>
    <row r="874" spans="1:14" s="306" customFormat="1" ht="12" x14ac:dyDescent="0.2">
      <c r="A874" s="395">
        <f t="shared" si="180"/>
        <v>86</v>
      </c>
      <c r="B874" s="272">
        <f t="shared" si="180"/>
        <v>81</v>
      </c>
      <c r="C874" s="728">
        <f>'11. CashData'!$M78</f>
        <v>522.75573731017903</v>
      </c>
      <c r="D874" s="729">
        <f>'11. CashData'!$N78</f>
        <v>522.75573731017903</v>
      </c>
      <c r="E874" s="274">
        <f t="shared" si="168"/>
        <v>0</v>
      </c>
      <c r="F874" s="274">
        <f t="shared" si="169"/>
        <v>14249.522416087169</v>
      </c>
      <c r="G874" s="345">
        <f t="shared" si="170"/>
        <v>-8012.9115212661554</v>
      </c>
      <c r="H874" s="346">
        <f t="shared" si="171"/>
        <v>-10795.663673880135</v>
      </c>
      <c r="I874" s="345">
        <f t="shared" si="172"/>
        <v>11517.266703679288</v>
      </c>
      <c r="J874" s="274">
        <f t="shared" si="173"/>
        <v>33424.865961573552</v>
      </c>
      <c r="K874" s="174">
        <f t="shared" si="177"/>
        <v>44942.132665252837</v>
      </c>
      <c r="L874" s="345">
        <f t="shared" si="174"/>
        <v>11517.266703679288</v>
      </c>
      <c r="M874" s="346">
        <f t="shared" si="175"/>
        <v>47674.388377660725</v>
      </c>
      <c r="N874" s="721">
        <f t="shared" si="178"/>
        <v>59191.65508134001</v>
      </c>
    </row>
    <row r="875" spans="1:14" s="306" customFormat="1" ht="12" x14ac:dyDescent="0.2">
      <c r="A875" s="395">
        <f t="shared" si="180"/>
        <v>87</v>
      </c>
      <c r="B875" s="272">
        <f t="shared" si="180"/>
        <v>82</v>
      </c>
      <c r="C875" s="728">
        <f>'11. CashData'!$M79</f>
        <v>380.62585550750009</v>
      </c>
      <c r="D875" s="729">
        <f>'11. CashData'!$N79</f>
        <v>380.62585550750009</v>
      </c>
      <c r="E875" s="274">
        <f t="shared" si="168"/>
        <v>0</v>
      </c>
      <c r="F875" s="274">
        <f t="shared" si="169"/>
        <v>14513.264841144724</v>
      </c>
      <c r="G875" s="345">
        <f t="shared" si="170"/>
        <v>-7928.5956003302645</v>
      </c>
      <c r="H875" s="346">
        <f t="shared" si="171"/>
        <v>-10905.688188787093</v>
      </c>
      <c r="I875" s="345">
        <f t="shared" si="172"/>
        <v>11747.612037752871</v>
      </c>
      <c r="J875" s="274">
        <f t="shared" si="173"/>
        <v>34023.363280805017</v>
      </c>
      <c r="K875" s="174">
        <f t="shared" si="177"/>
        <v>45770.975318557888</v>
      </c>
      <c r="L875" s="345">
        <f t="shared" si="174"/>
        <v>11747.612037752871</v>
      </c>
      <c r="M875" s="346">
        <f t="shared" si="175"/>
        <v>48536.62812194974</v>
      </c>
      <c r="N875" s="721">
        <f t="shared" si="178"/>
        <v>60284.240159702611</v>
      </c>
    </row>
    <row r="876" spans="1:14" s="306" customFormat="1" ht="12" x14ac:dyDescent="0.2">
      <c r="A876" s="395">
        <f t="shared" si="180"/>
        <v>88</v>
      </c>
      <c r="B876" s="272">
        <f t="shared" si="180"/>
        <v>83</v>
      </c>
      <c r="C876" s="728">
        <f>'11. CashData'!$M80</f>
        <v>236.88315576177047</v>
      </c>
      <c r="D876" s="729">
        <f>'11. CashData'!$N80</f>
        <v>236.88315576177047</v>
      </c>
      <c r="E876" s="274">
        <f t="shared" si="168"/>
        <v>0</v>
      </c>
      <c r="F876" s="274">
        <f t="shared" si="169"/>
        <v>14777.714186891209</v>
      </c>
      <c r="G876" s="345">
        <f t="shared" si="170"/>
        <v>-7844.9871621691073</v>
      </c>
      <c r="H876" s="346">
        <f t="shared" si="171"/>
        <v>-11017.65384514962</v>
      </c>
      <c r="I876" s="345">
        <f t="shared" si="172"/>
        <v>11982.564278507933</v>
      </c>
      <c r="J876" s="274">
        <f t="shared" si="173"/>
        <v>34633.83054642113</v>
      </c>
      <c r="K876" s="174">
        <f t="shared" si="177"/>
        <v>46616.394824929062</v>
      </c>
      <c r="L876" s="345">
        <f t="shared" si="174"/>
        <v>11982.564278507933</v>
      </c>
      <c r="M876" s="346">
        <f t="shared" si="175"/>
        <v>49411.544733312337</v>
      </c>
      <c r="N876" s="721">
        <f t="shared" si="178"/>
        <v>61394.10901182027</v>
      </c>
    </row>
    <row r="877" spans="1:14" s="306" customFormat="1" ht="12" x14ac:dyDescent="0.2">
      <c r="A877" s="395">
        <f t="shared" si="180"/>
        <v>89</v>
      </c>
      <c r="B877" s="272">
        <f t="shared" si="180"/>
        <v>84</v>
      </c>
      <c r="C877" s="728">
        <f>'11. CashData'!$M81</f>
        <v>91.807328726621563</v>
      </c>
      <c r="D877" s="729">
        <f>'11. CashData'!$N81</f>
        <v>91.807328726621563</v>
      </c>
      <c r="E877" s="274">
        <f t="shared" si="168"/>
        <v>0</v>
      </c>
      <c r="F877" s="274">
        <f t="shared" si="169"/>
        <v>15042.83847194525</v>
      </c>
      <c r="G877" s="345">
        <f t="shared" si="170"/>
        <v>-7762.5267896215491</v>
      </c>
      <c r="H877" s="346">
        <f t="shared" si="171"/>
        <v>-11131.807592456662</v>
      </c>
      <c r="I877" s="345">
        <f t="shared" si="172"/>
        <v>12222.215564078089</v>
      </c>
      <c r="J877" s="274">
        <f t="shared" si="173"/>
        <v>35256.507157349544</v>
      </c>
      <c r="K877" s="174">
        <f t="shared" si="177"/>
        <v>47478.722721427635</v>
      </c>
      <c r="L877" s="345">
        <f t="shared" si="174"/>
        <v>12222.215564078089</v>
      </c>
      <c r="M877" s="346">
        <f t="shared" si="175"/>
        <v>50299.345629294796</v>
      </c>
      <c r="N877" s="721">
        <f t="shared" si="178"/>
        <v>62521.561193372887</v>
      </c>
    </row>
    <row r="878" spans="1:14" s="306" customFormat="1" ht="12" x14ac:dyDescent="0.2">
      <c r="A878" s="395">
        <f t="shared" si="180"/>
        <v>90</v>
      </c>
      <c r="B878" s="272">
        <f t="shared" si="180"/>
        <v>85</v>
      </c>
      <c r="C878" s="728">
        <f>'11. CashData'!$M82</f>
        <v>-107.10732204062879</v>
      </c>
      <c r="D878" s="729">
        <f>'11. CashData'!$N82</f>
        <v>-107.10732204062879</v>
      </c>
      <c r="E878" s="274">
        <f t="shared" si="168"/>
        <v>0</v>
      </c>
      <c r="F878" s="274">
        <f t="shared" si="169"/>
        <v>15308.612846744272</v>
      </c>
      <c r="G878" s="345">
        <f t="shared" si="170"/>
        <v>-7614.4115739642548</v>
      </c>
      <c r="H878" s="346">
        <f t="shared" si="171"/>
        <v>-11210.072394618608</v>
      </c>
      <c r="I878" s="345">
        <f t="shared" si="172"/>
        <v>12466.659875359652</v>
      </c>
      <c r="J878" s="274">
        <f t="shared" si="173"/>
        <v>35891.637300496543</v>
      </c>
      <c r="K878" s="174">
        <f t="shared" si="177"/>
        <v>48358.297175856191</v>
      </c>
      <c r="L878" s="345">
        <f t="shared" si="174"/>
        <v>12466.659875359652</v>
      </c>
      <c r="M878" s="346">
        <f t="shared" si="175"/>
        <v>51200.250147240818</v>
      </c>
      <c r="N878" s="721">
        <f t="shared" si="178"/>
        <v>63666.910022600467</v>
      </c>
    </row>
    <row r="879" spans="1:14" s="306" customFormat="1" ht="12" x14ac:dyDescent="0.2">
      <c r="A879" s="395">
        <f t="shared" si="180"/>
        <v>91</v>
      </c>
      <c r="B879" s="272">
        <f t="shared" si="180"/>
        <v>86</v>
      </c>
      <c r="C879" s="728">
        <f>'11. CashData'!$M83</f>
        <v>324.95650426923385</v>
      </c>
      <c r="D879" s="729">
        <f>'11. CashData'!$N83</f>
        <v>324.95650426923385</v>
      </c>
      <c r="E879" s="274">
        <f t="shared" si="168"/>
        <v>0</v>
      </c>
      <c r="F879" s="274">
        <f t="shared" si="169"/>
        <v>0</v>
      </c>
      <c r="G879" s="345">
        <f t="shared" si="170"/>
        <v>-7468.9948306327587</v>
      </c>
      <c r="H879" s="346">
        <f t="shared" si="171"/>
        <v>-11289.297612696848</v>
      </c>
      <c r="I879" s="345">
        <f t="shared" si="172"/>
        <v>12715.993072866841</v>
      </c>
      <c r="J879" s="274">
        <f t="shared" si="173"/>
        <v>36539.470046506467</v>
      </c>
      <c r="K879" s="174">
        <f t="shared" si="177"/>
        <v>49255.463119373308</v>
      </c>
      <c r="L879" s="345">
        <f t="shared" si="174"/>
        <v>12715.993072866841</v>
      </c>
      <c r="M879" s="346">
        <f t="shared" si="175"/>
        <v>36539.470046506467</v>
      </c>
      <c r="N879" s="721">
        <f t="shared" si="178"/>
        <v>49255.463119373308</v>
      </c>
    </row>
    <row r="880" spans="1:14" s="306" customFormat="1" ht="12" x14ac:dyDescent="0.2">
      <c r="A880" s="395">
        <f t="shared" si="180"/>
        <v>92</v>
      </c>
      <c r="B880" s="272">
        <f t="shared" si="180"/>
        <v>87</v>
      </c>
      <c r="C880" s="728">
        <f>'11. CashData'!$M84</f>
        <v>-22820.88968147559</v>
      </c>
      <c r="D880" s="729">
        <f>'11. CashData'!$N84</f>
        <v>-22820.88968147559</v>
      </c>
      <c r="E880" s="274">
        <f t="shared" si="168"/>
        <v>0</v>
      </c>
      <c r="F880" s="274">
        <f t="shared" si="169"/>
        <v>0</v>
      </c>
      <c r="G880" s="345">
        <f t="shared" si="170"/>
        <v>-7326.0319929640982</v>
      </c>
      <c r="H880" s="346">
        <f t="shared" si="171"/>
        <v>-11375.649959725366</v>
      </c>
      <c r="I880" s="345">
        <f t="shared" si="172"/>
        <v>0</v>
      </c>
      <c r="J880" s="274">
        <f t="shared" si="173"/>
        <v>3500</v>
      </c>
      <c r="K880" s="174">
        <f t="shared" si="177"/>
        <v>3500</v>
      </c>
      <c r="L880" s="345">
        <f t="shared" si="174"/>
        <v>0</v>
      </c>
      <c r="M880" s="346">
        <f t="shared" si="175"/>
        <v>3500</v>
      </c>
      <c r="N880" s="721">
        <f t="shared" si="178"/>
        <v>3500</v>
      </c>
    </row>
    <row r="881" spans="1:14" s="306" customFormat="1" ht="12" x14ac:dyDescent="0.2">
      <c r="A881" s="395">
        <f t="shared" si="180"/>
        <v>93</v>
      </c>
      <c r="B881" s="272">
        <f t="shared" si="180"/>
        <v>88</v>
      </c>
      <c r="C881" s="728">
        <f>'11. CashData'!$M85</f>
        <v>7186.4759177368023</v>
      </c>
      <c r="D881" s="729">
        <f>'11. CashData'!$N85</f>
        <v>5595.6340615188674</v>
      </c>
      <c r="E881" s="274">
        <f t="shared" si="168"/>
        <v>0</v>
      </c>
      <c r="F881" s="274">
        <f t="shared" si="169"/>
        <v>0</v>
      </c>
      <c r="G881" s="345">
        <f t="shared" si="170"/>
        <v>-7186.4759177368023</v>
      </c>
      <c r="H881" s="346">
        <f t="shared" si="171"/>
        <v>-5595.6340615188674</v>
      </c>
      <c r="I881" s="345">
        <f t="shared" si="172"/>
        <v>0</v>
      </c>
      <c r="J881" s="274">
        <f t="shared" si="173"/>
        <v>0</v>
      </c>
      <c r="K881" s="174">
        <f t="shared" si="177"/>
        <v>0</v>
      </c>
      <c r="L881" s="345">
        <f t="shared" si="174"/>
        <v>0</v>
      </c>
      <c r="M881" s="346">
        <f t="shared" si="175"/>
        <v>0</v>
      </c>
      <c r="N881" s="721">
        <f t="shared" si="178"/>
        <v>0</v>
      </c>
    </row>
    <row r="882" spans="1:14" s="306" customFormat="1" ht="12" x14ac:dyDescent="0.2">
      <c r="A882" s="395">
        <f t="shared" ref="A882:B884" si="181">A881+1</f>
        <v>94</v>
      </c>
      <c r="B882" s="272">
        <f t="shared" si="181"/>
        <v>89</v>
      </c>
      <c r="C882" s="728">
        <f>'11. CashData'!$M86</f>
        <v>6973.9585072104564</v>
      </c>
      <c r="D882" s="729">
        <f>'11. CashData'!$N86</f>
        <v>5582.9436540600273</v>
      </c>
      <c r="E882" s="274">
        <f t="shared" si="168"/>
        <v>0</v>
      </c>
      <c r="F882" s="274">
        <f t="shared" si="169"/>
        <v>0</v>
      </c>
      <c r="G882" s="345">
        <f t="shared" si="170"/>
        <v>-6973.9585072104564</v>
      </c>
      <c r="H882" s="346">
        <f t="shared" si="171"/>
        <v>-5582.9436540600273</v>
      </c>
      <c r="I882" s="345">
        <f t="shared" si="172"/>
        <v>0</v>
      </c>
      <c r="J882" s="274">
        <f t="shared" si="173"/>
        <v>0</v>
      </c>
      <c r="K882" s="174">
        <f t="shared" si="177"/>
        <v>0</v>
      </c>
      <c r="L882" s="345">
        <f t="shared" si="174"/>
        <v>0</v>
      </c>
      <c r="M882" s="346">
        <f t="shared" si="175"/>
        <v>0</v>
      </c>
      <c r="N882" s="721">
        <f t="shared" si="178"/>
        <v>0</v>
      </c>
    </row>
    <row r="883" spans="1:14" s="306" customFormat="1" ht="12" x14ac:dyDescent="0.2">
      <c r="A883" s="395">
        <f t="shared" si="181"/>
        <v>95</v>
      </c>
      <c r="B883" s="272">
        <f t="shared" si="181"/>
        <v>90</v>
      </c>
      <c r="C883" s="728">
        <f>'11. CashData'!$M87</f>
        <v>6770.4461114809947</v>
      </c>
      <c r="D883" s="729">
        <f>'11. CashData'!$N87</f>
        <v>5523.7520153346486</v>
      </c>
      <c r="E883" s="274">
        <f t="shared" si="168"/>
        <v>0</v>
      </c>
      <c r="F883" s="274">
        <f t="shared" si="169"/>
        <v>0</v>
      </c>
      <c r="G883" s="345">
        <f t="shared" si="170"/>
        <v>-6770.4461114809947</v>
      </c>
      <c r="H883" s="346">
        <f t="shared" si="171"/>
        <v>-5523.7520153346486</v>
      </c>
      <c r="I883" s="345">
        <f t="shared" si="172"/>
        <v>0</v>
      </c>
      <c r="J883" s="274">
        <f t="shared" si="173"/>
        <v>0</v>
      </c>
      <c r="K883" s="174">
        <f t="shared" si="177"/>
        <v>0</v>
      </c>
      <c r="L883" s="345">
        <f t="shared" si="174"/>
        <v>0</v>
      </c>
      <c r="M883" s="346">
        <f t="shared" si="175"/>
        <v>0</v>
      </c>
      <c r="N883" s="721">
        <f t="shared" si="178"/>
        <v>0</v>
      </c>
    </row>
    <row r="884" spans="1:14" s="306" customFormat="1" ht="12.75" thickBot="1" x14ac:dyDescent="0.25">
      <c r="A884" s="397">
        <f t="shared" si="181"/>
        <v>96</v>
      </c>
      <c r="B884" s="273">
        <f t="shared" si="181"/>
        <v>91</v>
      </c>
      <c r="C884" s="730">
        <f>'11. CashData'!$M88</f>
        <v>6575.4849755262785</v>
      </c>
      <c r="D884" s="731">
        <f>'11. CashData'!$N88</f>
        <v>5466.8637632659484</v>
      </c>
      <c r="E884" s="398">
        <f t="shared" si="168"/>
        <v>0</v>
      </c>
      <c r="F884" s="398">
        <f t="shared" si="169"/>
        <v>0</v>
      </c>
      <c r="G884" s="347">
        <f t="shared" si="170"/>
        <v>-6575.4849755262785</v>
      </c>
      <c r="H884" s="348">
        <f t="shared" si="171"/>
        <v>-5466.8637632659484</v>
      </c>
      <c r="I884" s="347">
        <f t="shared" si="172"/>
        <v>0</v>
      </c>
      <c r="J884" s="398">
        <f t="shared" si="173"/>
        <v>0</v>
      </c>
      <c r="K884" s="722">
        <f t="shared" si="177"/>
        <v>0</v>
      </c>
      <c r="L884" s="347">
        <f t="shared" si="174"/>
        <v>0</v>
      </c>
      <c r="M884" s="348">
        <f t="shared" si="175"/>
        <v>0</v>
      </c>
      <c r="N884" s="723">
        <f t="shared" si="178"/>
        <v>0</v>
      </c>
    </row>
    <row r="885" spans="1:14" s="15" customFormat="1" ht="15" customHeight="1" thickTop="1" x14ac:dyDescent="0.2">
      <c r="A885" s="168"/>
      <c r="B885" s="70"/>
      <c r="C885" s="71"/>
      <c r="D885" s="71"/>
      <c r="E885" s="216"/>
      <c r="F885" s="217"/>
      <c r="G885" s="114"/>
      <c r="H885" s="114"/>
      <c r="I885" s="73"/>
      <c r="J885" s="73"/>
      <c r="K885" s="73"/>
      <c r="L885" s="73"/>
      <c r="M885" s="73"/>
      <c r="N885" s="2018"/>
    </row>
    <row r="886" spans="1:14" s="15" customFormat="1" ht="15" customHeight="1" thickBot="1" x14ac:dyDescent="0.25">
      <c r="A886" s="1997"/>
      <c r="B886" s="70"/>
      <c r="C886" s="71"/>
      <c r="D886" s="71"/>
      <c r="E886" s="216"/>
      <c r="F886" s="217"/>
      <c r="G886" s="114"/>
      <c r="H886" s="114"/>
      <c r="I886" s="73"/>
      <c r="J886" s="73"/>
      <c r="K886" s="73"/>
      <c r="L886" s="73"/>
      <c r="M886" s="73"/>
      <c r="N886" s="2017"/>
    </row>
    <row r="887" spans="1:14" s="15" customFormat="1" ht="17.25" customHeight="1" thickTop="1" x14ac:dyDescent="0.3">
      <c r="A887" s="1340" t="s">
        <v>1621</v>
      </c>
      <c r="B887" s="2013"/>
      <c r="C887" s="1976"/>
      <c r="D887" s="1976"/>
      <c r="E887" s="1977"/>
      <c r="F887" s="1978"/>
      <c r="G887" s="1979"/>
      <c r="H887" s="1980"/>
      <c r="I887" s="1981"/>
      <c r="J887" s="1981"/>
      <c r="K887" s="1982"/>
      <c r="L887" s="1983"/>
      <c r="M887" s="1635"/>
      <c r="N887" s="1342"/>
    </row>
    <row r="888" spans="1:14" s="15" customFormat="1" ht="15" customHeight="1" x14ac:dyDescent="0.25">
      <c r="A888" s="1416" t="s">
        <v>1625</v>
      </c>
      <c r="B888" s="1336"/>
      <c r="C888" s="170"/>
      <c r="D888" s="170"/>
      <c r="E888" s="171"/>
      <c r="F888" s="172"/>
      <c r="G888" s="173"/>
      <c r="H888" s="174"/>
      <c r="I888" s="75"/>
      <c r="J888" s="75"/>
      <c r="K888" s="130"/>
      <c r="L888" s="175"/>
      <c r="M888" s="33"/>
      <c r="N888" s="1311"/>
    </row>
    <row r="889" spans="1:14" s="15" customFormat="1" ht="15" customHeight="1" x14ac:dyDescent="0.25">
      <c r="A889" s="1416" t="s">
        <v>1546</v>
      </c>
      <c r="B889" s="1336"/>
      <c r="C889" s="170"/>
      <c r="D889" s="170"/>
      <c r="E889" s="171"/>
      <c r="F889" s="172"/>
      <c r="G889" s="173"/>
      <c r="H889" s="174"/>
      <c r="I889" s="75"/>
      <c r="J889" s="75"/>
      <c r="K889" s="130"/>
      <c r="L889" s="175"/>
      <c r="M889" s="33"/>
      <c r="N889" s="1311"/>
    </row>
    <row r="890" spans="1:14" s="15" customFormat="1" ht="15" customHeight="1" x14ac:dyDescent="0.2">
      <c r="A890" s="1997"/>
      <c r="B890" s="70"/>
      <c r="C890" s="71"/>
      <c r="D890" s="71"/>
      <c r="E890" s="216"/>
      <c r="F890" s="217"/>
      <c r="G890" s="114"/>
      <c r="H890" s="114"/>
      <c r="I890" s="73"/>
      <c r="J890" s="73"/>
      <c r="K890" s="73"/>
      <c r="L890" s="73"/>
      <c r="M890" s="73"/>
      <c r="N890" s="1423"/>
    </row>
    <row r="891" spans="1:14" s="15" customFormat="1" ht="15" customHeight="1" x14ac:dyDescent="0.2">
      <c r="A891" s="1997"/>
      <c r="B891" s="70"/>
      <c r="C891" s="71"/>
      <c r="D891" s="71"/>
      <c r="E891" s="216"/>
      <c r="F891" s="217"/>
      <c r="G891" s="114"/>
      <c r="H891" s="114"/>
      <c r="I891" s="73"/>
      <c r="J891" s="73"/>
      <c r="K891" s="73"/>
      <c r="L891" s="73"/>
      <c r="M891" s="73"/>
      <c r="N891" s="1423"/>
    </row>
    <row r="892" spans="1:14" s="15" customFormat="1" ht="15" customHeight="1" x14ac:dyDescent="0.2">
      <c r="A892" s="1997"/>
      <c r="B892" s="70"/>
      <c r="C892" s="71"/>
      <c r="D892" s="71"/>
      <c r="E892" s="216"/>
      <c r="F892" s="217"/>
      <c r="G892" s="114"/>
      <c r="H892" s="114"/>
      <c r="I892" s="73"/>
      <c r="J892" s="73"/>
      <c r="K892" s="73"/>
      <c r="L892" s="73"/>
      <c r="M892" s="73"/>
      <c r="N892" s="1423"/>
    </row>
    <row r="893" spans="1:14" s="15" customFormat="1" ht="15" customHeight="1" x14ac:dyDescent="0.2">
      <c r="A893" s="1997"/>
      <c r="B893" s="70"/>
      <c r="C893" s="71"/>
      <c r="D893" s="71"/>
      <c r="E893" s="216"/>
      <c r="F893" s="217"/>
      <c r="G893" s="114"/>
      <c r="H893" s="114"/>
      <c r="I893" s="73"/>
      <c r="J893" s="73"/>
      <c r="K893" s="73"/>
      <c r="L893" s="73"/>
      <c r="M893" s="73"/>
      <c r="N893" s="1423"/>
    </row>
    <row r="894" spans="1:14" s="15" customFormat="1" ht="15" customHeight="1" x14ac:dyDescent="0.2">
      <c r="A894" s="1997"/>
      <c r="B894" s="70"/>
      <c r="C894" s="71"/>
      <c r="D894" s="71"/>
      <c r="E894" s="216"/>
      <c r="F894" s="217"/>
      <c r="G894" s="114"/>
      <c r="H894" s="114"/>
      <c r="I894" s="73"/>
      <c r="J894" s="73"/>
      <c r="K894" s="73"/>
      <c r="L894" s="73"/>
      <c r="M894" s="73"/>
      <c r="N894" s="1423"/>
    </row>
    <row r="895" spans="1:14" s="15" customFormat="1" ht="15" customHeight="1" x14ac:dyDescent="0.2">
      <c r="A895" s="1997"/>
      <c r="B895" s="70"/>
      <c r="C895" s="71"/>
      <c r="D895" s="71"/>
      <c r="E895" s="216"/>
      <c r="F895" s="217"/>
      <c r="G895" s="114"/>
      <c r="H895" s="114"/>
      <c r="I895" s="73"/>
      <c r="J895" s="73"/>
      <c r="K895" s="73"/>
      <c r="L895" s="73"/>
      <c r="M895" s="73"/>
      <c r="N895" s="1423"/>
    </row>
    <row r="896" spans="1:14" s="15" customFormat="1" ht="15" customHeight="1" x14ac:dyDescent="0.2">
      <c r="A896" s="1997"/>
      <c r="B896" s="70"/>
      <c r="C896" s="71"/>
      <c r="D896" s="71"/>
      <c r="E896" s="216"/>
      <c r="F896" s="217"/>
      <c r="G896" s="114"/>
      <c r="H896" s="114"/>
      <c r="I896" s="73"/>
      <c r="J896" s="73"/>
      <c r="K896" s="73"/>
      <c r="L896" s="73"/>
      <c r="M896" s="73"/>
      <c r="N896" s="1423"/>
    </row>
    <row r="897" spans="1:14" s="15" customFormat="1" ht="15" customHeight="1" x14ac:dyDescent="0.2">
      <c r="A897" s="1997"/>
      <c r="B897" s="70"/>
      <c r="C897" s="71"/>
      <c r="D897" s="71"/>
      <c r="E897" s="216"/>
      <c r="F897" s="217"/>
      <c r="G897" s="114"/>
      <c r="H897" s="114"/>
      <c r="I897" s="73"/>
      <c r="J897" s="73"/>
      <c r="K897" s="73"/>
      <c r="L897" s="73"/>
      <c r="M897" s="73"/>
      <c r="N897" s="1423"/>
    </row>
    <row r="898" spans="1:14" s="15" customFormat="1" ht="15" customHeight="1" x14ac:dyDescent="0.2">
      <c r="A898" s="1997"/>
      <c r="B898" s="70"/>
      <c r="C898" s="71"/>
      <c r="D898" s="71"/>
      <c r="E898" s="216"/>
      <c r="F898" s="217"/>
      <c r="G898" s="114"/>
      <c r="H898" s="114"/>
      <c r="I898" s="73"/>
      <c r="J898" s="73"/>
      <c r="K898" s="73"/>
      <c r="L898" s="73"/>
      <c r="M898" s="73"/>
      <c r="N898" s="1423"/>
    </row>
    <row r="899" spans="1:14" s="15" customFormat="1" ht="15" customHeight="1" x14ac:dyDescent="0.2">
      <c r="A899" s="1997"/>
      <c r="B899" s="70"/>
      <c r="C899" s="71"/>
      <c r="D899" s="71"/>
      <c r="E899" s="216"/>
      <c r="F899" s="217"/>
      <c r="G899" s="114"/>
      <c r="H899" s="114"/>
      <c r="I899" s="73"/>
      <c r="J899" s="73"/>
      <c r="K899" s="73"/>
      <c r="L899" s="73"/>
      <c r="M899" s="73"/>
      <c r="N899" s="1423"/>
    </row>
    <row r="900" spans="1:14" s="15" customFormat="1" ht="15" customHeight="1" x14ac:dyDescent="0.2">
      <c r="A900" s="1997"/>
      <c r="B900" s="70"/>
      <c r="C900" s="71"/>
      <c r="D900" s="71"/>
      <c r="E900" s="216"/>
      <c r="F900" s="217"/>
      <c r="G900" s="114"/>
      <c r="H900" s="114"/>
      <c r="I900" s="73"/>
      <c r="J900" s="73"/>
      <c r="K900" s="73"/>
      <c r="L900" s="73"/>
      <c r="M900" s="73"/>
      <c r="N900" s="1423"/>
    </row>
    <row r="901" spans="1:14" s="15" customFormat="1" ht="15" customHeight="1" x14ac:dyDescent="0.2">
      <c r="A901" s="1997"/>
      <c r="B901" s="70"/>
      <c r="C901" s="71"/>
      <c r="D901" s="71"/>
      <c r="E901" s="216"/>
      <c r="F901" s="217"/>
      <c r="G901" s="114"/>
      <c r="H901" s="114"/>
      <c r="I901" s="73"/>
      <c r="J901" s="73"/>
      <c r="K901" s="73"/>
      <c r="L901" s="73"/>
      <c r="M901" s="73"/>
      <c r="N901" s="1423"/>
    </row>
    <row r="902" spans="1:14" s="15" customFormat="1" ht="15" customHeight="1" x14ac:dyDescent="0.2">
      <c r="A902" s="1997"/>
      <c r="B902" s="70"/>
      <c r="C902" s="71"/>
      <c r="D902" s="71"/>
      <c r="E902" s="216"/>
      <c r="F902" s="217"/>
      <c r="G902" s="114"/>
      <c r="H902" s="114"/>
      <c r="I902" s="73"/>
      <c r="J902" s="73"/>
      <c r="K902" s="73"/>
      <c r="L902" s="73"/>
      <c r="M902" s="73"/>
      <c r="N902" s="1423"/>
    </row>
    <row r="903" spans="1:14" s="15" customFormat="1" ht="15" customHeight="1" x14ac:dyDescent="0.2">
      <c r="A903" s="1997"/>
      <c r="B903" s="70"/>
      <c r="C903" s="71"/>
      <c r="D903" s="71"/>
      <c r="E903" s="216"/>
      <c r="F903" s="217"/>
      <c r="G903" s="114"/>
      <c r="H903" s="114"/>
      <c r="I903" s="73"/>
      <c r="J903" s="73"/>
      <c r="K903" s="73"/>
      <c r="L903" s="73"/>
      <c r="M903" s="73"/>
      <c r="N903" s="1423"/>
    </row>
    <row r="904" spans="1:14" s="15" customFormat="1" ht="15" customHeight="1" x14ac:dyDescent="0.2">
      <c r="A904" s="1997"/>
      <c r="B904" s="70"/>
      <c r="C904" s="71"/>
      <c r="D904" s="71"/>
      <c r="E904" s="216"/>
      <c r="F904" s="217"/>
      <c r="G904" s="114"/>
      <c r="H904" s="114"/>
      <c r="I904" s="73"/>
      <c r="J904" s="73"/>
      <c r="K904" s="73"/>
      <c r="L904" s="73"/>
      <c r="M904" s="73"/>
      <c r="N904" s="1423"/>
    </row>
    <row r="905" spans="1:14" s="15" customFormat="1" ht="15" customHeight="1" x14ac:dyDescent="0.2">
      <c r="A905" s="1997"/>
      <c r="B905" s="70"/>
      <c r="C905" s="71"/>
      <c r="D905" s="71"/>
      <c r="E905" s="216"/>
      <c r="F905" s="217"/>
      <c r="G905" s="114"/>
      <c r="H905" s="114"/>
      <c r="I905" s="73"/>
      <c r="J905" s="73"/>
      <c r="K905" s="73"/>
      <c r="L905" s="73"/>
      <c r="M905" s="73"/>
      <c r="N905" s="1423"/>
    </row>
    <row r="906" spans="1:14" s="15" customFormat="1" ht="15" customHeight="1" x14ac:dyDescent="0.2">
      <c r="A906" s="1997"/>
      <c r="B906" s="70"/>
      <c r="C906" s="71"/>
      <c r="D906" s="71"/>
      <c r="E906" s="216"/>
      <c r="F906" s="217"/>
      <c r="G906" s="114"/>
      <c r="H906" s="114"/>
      <c r="I906" s="73"/>
      <c r="J906" s="73"/>
      <c r="K906" s="73"/>
      <c r="L906" s="73"/>
      <c r="M906" s="73"/>
      <c r="N906" s="1423"/>
    </row>
    <row r="907" spans="1:14" s="15" customFormat="1" ht="15" customHeight="1" x14ac:dyDescent="0.2">
      <c r="A907" s="1997"/>
      <c r="B907" s="70"/>
      <c r="C907" s="71"/>
      <c r="D907" s="71"/>
      <c r="E907" s="216"/>
      <c r="F907" s="217"/>
      <c r="G907" s="114"/>
      <c r="H907" s="114"/>
      <c r="I907" s="73"/>
      <c r="J907" s="73"/>
      <c r="K907" s="73"/>
      <c r="L907" s="73"/>
      <c r="M907" s="73"/>
      <c r="N907" s="1423"/>
    </row>
    <row r="908" spans="1:14" s="15" customFormat="1" ht="15" customHeight="1" x14ac:dyDescent="0.2">
      <c r="A908" s="1997"/>
      <c r="B908" s="70"/>
      <c r="C908" s="71"/>
      <c r="D908" s="71"/>
      <c r="E908" s="216"/>
      <c r="F908" s="217"/>
      <c r="G908" s="114"/>
      <c r="H908" s="114"/>
      <c r="I908" s="73"/>
      <c r="J908" s="73"/>
      <c r="K908" s="73"/>
      <c r="L908" s="73"/>
      <c r="M908" s="73"/>
      <c r="N908" s="1423"/>
    </row>
    <row r="909" spans="1:14" s="15" customFormat="1" ht="15" customHeight="1" thickBot="1" x14ac:dyDescent="0.25">
      <c r="A909" s="1998"/>
      <c r="B909" s="1999"/>
      <c r="C909" s="2000"/>
      <c r="D909" s="2000"/>
      <c r="E909" s="2014"/>
      <c r="F909" s="2015"/>
      <c r="G909" s="2016"/>
      <c r="H909" s="2016"/>
      <c r="I909" s="2010"/>
      <c r="J909" s="2010"/>
      <c r="K909" s="2010"/>
      <c r="L909" s="2010"/>
      <c r="M909" s="2010"/>
      <c r="N909" s="2017"/>
    </row>
    <row r="910" spans="1:14" s="15" customFormat="1" ht="15" customHeight="1" thickTop="1" x14ac:dyDescent="0.2">
      <c r="A910" s="1997"/>
      <c r="B910" s="70"/>
      <c r="C910" s="71"/>
      <c r="D910" s="71"/>
      <c r="E910" s="216"/>
      <c r="F910" s="217"/>
      <c r="G910" s="114"/>
      <c r="H910" s="114"/>
      <c r="I910" s="73"/>
      <c r="J910" s="73"/>
      <c r="K910" s="73"/>
      <c r="L910" s="73"/>
      <c r="M910" s="73"/>
      <c r="N910" s="73"/>
    </row>
    <row r="911" spans="1:14" s="15" customFormat="1" ht="15" customHeight="1" x14ac:dyDescent="0.2">
      <c r="A911" s="1997"/>
      <c r="B911" s="70"/>
      <c r="C911" s="71"/>
      <c r="D911" s="71"/>
      <c r="E911" s="216"/>
      <c r="F911" s="217"/>
      <c r="G911" s="114"/>
      <c r="H911" s="114"/>
      <c r="I911" s="73"/>
      <c r="J911" s="73"/>
      <c r="K911" s="73"/>
      <c r="L911" s="73"/>
      <c r="M911" s="73"/>
      <c r="N911" s="73"/>
    </row>
    <row r="912" spans="1:14" s="15" customFormat="1" ht="15.75" customHeight="1" thickBot="1" x14ac:dyDescent="0.25">
      <c r="A912" s="168"/>
      <c r="B912" s="70"/>
      <c r="C912" s="73"/>
      <c r="D912" s="71"/>
      <c r="E912" s="71"/>
      <c r="F912" s="73"/>
      <c r="G912" s="71"/>
      <c r="H912" s="71"/>
      <c r="I912" s="73"/>
      <c r="J912" s="105"/>
      <c r="K912" s="73"/>
      <c r="L912" s="106"/>
      <c r="M912" s="107"/>
      <c r="N912" s="73"/>
    </row>
    <row r="913" spans="1:14" s="15" customFormat="1" ht="19.5" thickTop="1" x14ac:dyDescent="0.3">
      <c r="A913" s="265" t="s">
        <v>127</v>
      </c>
      <c r="B913" s="260"/>
      <c r="C913" s="201"/>
      <c r="D913" s="201"/>
      <c r="E913" s="201"/>
      <c r="F913" s="201"/>
      <c r="G913" s="201"/>
      <c r="H913" s="261"/>
      <c r="I913" s="957"/>
      <c r="J913" s="201"/>
      <c r="K913" s="201"/>
      <c r="L913" s="219"/>
      <c r="M913" s="201"/>
      <c r="N913" s="256"/>
    </row>
    <row r="914" spans="1:14" s="15" customFormat="1" ht="16.5" customHeight="1" thickBot="1" x14ac:dyDescent="0.35">
      <c r="A914" s="163"/>
      <c r="B914" s="70"/>
      <c r="C914" s="71"/>
      <c r="D914" s="71"/>
      <c r="E914" s="71"/>
      <c r="F914" s="71"/>
      <c r="G914" s="71"/>
      <c r="H914" s="72"/>
      <c r="M914" s="941"/>
      <c r="N914" s="200"/>
    </row>
    <row r="915" spans="1:14" s="15" customFormat="1" ht="17.25" customHeight="1" thickBot="1" x14ac:dyDescent="0.35">
      <c r="A915" s="163"/>
      <c r="B915" s="818" t="str">
        <f>IF('S. Setup'!$J$63="no","IGNORING irregular Expenses by using $0","USING irregular Expenses")</f>
        <v>USING irregular Expenses</v>
      </c>
      <c r="C915" s="715"/>
      <c r="D915" s="715"/>
      <c r="E915" s="715"/>
      <c r="F915" s="715"/>
      <c r="G915" s="715"/>
      <c r="H915" s="715"/>
      <c r="I915" s="716"/>
      <c r="J915" s="71"/>
      <c r="K915" s="71"/>
      <c r="L915" s="71"/>
      <c r="M915" s="71"/>
      <c r="N915" s="200"/>
    </row>
    <row r="916" spans="1:14" s="15" customFormat="1" ht="14.25" customHeight="1" x14ac:dyDescent="0.3">
      <c r="A916" s="163"/>
      <c r="B916" s="754" t="s">
        <v>275</v>
      </c>
      <c r="C916" s="815"/>
      <c r="D916" s="815"/>
      <c r="E916" s="815"/>
      <c r="F916" s="815"/>
      <c r="G916" s="815"/>
      <c r="H916" s="815"/>
      <c r="I916" s="815"/>
      <c r="K916" s="71"/>
      <c r="L916" s="71"/>
      <c r="M916" s="71"/>
      <c r="N916" s="200"/>
    </row>
    <row r="917" spans="1:14" s="15" customFormat="1" ht="14.25" customHeight="1" x14ac:dyDescent="0.3">
      <c r="A917" s="1438"/>
      <c r="B917" s="754"/>
      <c r="C917" s="815"/>
      <c r="D917" s="815"/>
      <c r="E917" s="815"/>
      <c r="F917" s="815"/>
      <c r="G917" s="815"/>
      <c r="H917" s="815"/>
      <c r="I917" s="815"/>
      <c r="K917" s="71"/>
      <c r="L917" s="71"/>
      <c r="M917" s="71"/>
      <c r="N917" s="1423"/>
    </row>
    <row r="918" spans="1:14" s="15" customFormat="1" ht="14.25" customHeight="1" x14ac:dyDescent="0.3">
      <c r="A918" s="1438"/>
      <c r="B918" s="754"/>
      <c r="C918" s="815"/>
      <c r="D918" s="815"/>
      <c r="E918" s="815"/>
      <c r="F918" s="815"/>
      <c r="G918" s="1831" t="s">
        <v>1411</v>
      </c>
      <c r="H918" s="815"/>
      <c r="I918" s="815"/>
      <c r="K918" s="71"/>
      <c r="L918" s="71"/>
      <c r="M918" s="71"/>
      <c r="N918" s="1423"/>
    </row>
    <row r="919" spans="1:14" s="15" customFormat="1" ht="14.25" customHeight="1" x14ac:dyDescent="0.25">
      <c r="A919" s="212" t="s">
        <v>2833</v>
      </c>
      <c r="C919" s="6"/>
      <c r="D919" s="6"/>
      <c r="E919" s="6"/>
      <c r="F919" s="6"/>
      <c r="G919" s="2092">
        <f>'10. ExpensesData'!H49</f>
        <v>31000</v>
      </c>
      <c r="H919" s="1156" t="s">
        <v>1715</v>
      </c>
      <c r="I919" s="6"/>
      <c r="J919" s="2092">
        <f>'10. ExpensesData'!H55</f>
        <v>24800</v>
      </c>
      <c r="K919" s="121" t="s">
        <v>1716</v>
      </c>
      <c r="L919" s="2094">
        <f>'10. ExpensesData'!E55</f>
        <v>69</v>
      </c>
      <c r="M919" s="71"/>
      <c r="N919" s="1423"/>
    </row>
    <row r="920" spans="1:14" s="15" customFormat="1" ht="14.25" customHeight="1" thickBot="1" x14ac:dyDescent="0.3">
      <c r="A920" s="212" t="s">
        <v>1262</v>
      </c>
      <c r="C920" s="6"/>
      <c r="D920" s="6"/>
      <c r="E920" s="6"/>
      <c r="F920" s="6"/>
      <c r="G920" s="2093">
        <f>'10. ExpensesData'!H50</f>
        <v>29000</v>
      </c>
      <c r="H920" s="1156" t="s">
        <v>1715</v>
      </c>
      <c r="I920" s="6"/>
      <c r="J920" s="2092">
        <f>'10. ExpensesData'!H56</f>
        <v>23200</v>
      </c>
      <c r="K920" s="121" t="s">
        <v>1716</v>
      </c>
      <c r="L920" s="2094">
        <f>'10. ExpensesData'!E56</f>
        <v>66</v>
      </c>
      <c r="M920" s="71"/>
      <c r="N920" s="1423"/>
    </row>
    <row r="921" spans="1:14" s="15" customFormat="1" ht="14.25" customHeight="1" thickTop="1" x14ac:dyDescent="0.25">
      <c r="A921" s="1156" t="s">
        <v>1410</v>
      </c>
      <c r="C921" s="6"/>
      <c r="D921" s="6"/>
      <c r="E921" s="6"/>
      <c r="F921" s="6"/>
      <c r="G921" s="2092">
        <f>G919+G920</f>
        <v>60000</v>
      </c>
      <c r="H921" s="212" t="s">
        <v>1717</v>
      </c>
      <c r="I921" s="6"/>
      <c r="J921" s="2056"/>
      <c r="K921" s="274"/>
      <c r="L921" s="1557">
        <f>'10. ExpensesData'!H$53</f>
        <v>0.8</v>
      </c>
      <c r="M921" s="71"/>
      <c r="N921" s="1423"/>
    </row>
    <row r="922" spans="1:14" s="15" customFormat="1" ht="14.25" customHeight="1" x14ac:dyDescent="0.25">
      <c r="A922" s="212"/>
      <c r="C922" s="6"/>
      <c r="D922" s="6"/>
      <c r="E922" s="6"/>
      <c r="F922" s="6"/>
      <c r="G922" s="1156"/>
      <c r="I922" s="6"/>
      <c r="J922" s="1276"/>
      <c r="K922" s="274"/>
      <c r="L922" s="71"/>
      <c r="M922" s="71"/>
      <c r="N922" s="1423"/>
    </row>
    <row r="923" spans="1:14" s="15" customFormat="1" ht="14.25" customHeight="1" x14ac:dyDescent="0.25">
      <c r="A923" s="212" t="s">
        <v>2834</v>
      </c>
      <c r="C923" s="1296"/>
      <c r="D923" s="1296"/>
      <c r="E923" s="134"/>
      <c r="F923" s="147"/>
      <c r="G923"/>
      <c r="I923" s="1560">
        <f>'10. ExpensesData'!H61</f>
        <v>0.6</v>
      </c>
      <c r="J923" s="1561" t="s">
        <v>1260</v>
      </c>
      <c r="K923" s="1275">
        <f>(G919+G920)*I923</f>
        <v>36000</v>
      </c>
      <c r="L923" s="71"/>
      <c r="M923" s="71"/>
      <c r="N923" s="1423"/>
    </row>
    <row r="924" spans="1:14" s="15" customFormat="1" ht="14.25" customHeight="1" x14ac:dyDescent="0.3">
      <c r="A924" s="1438"/>
      <c r="B924" s="754"/>
      <c r="C924" s="815"/>
      <c r="D924" s="815"/>
      <c r="E924" s="815"/>
      <c r="F924" s="815"/>
      <c r="G924" s="815"/>
      <c r="H924" s="815"/>
      <c r="I924" s="815"/>
      <c r="K924" s="71"/>
      <c r="L924" s="71"/>
      <c r="M924" s="71"/>
      <c r="N924" s="1423"/>
    </row>
    <row r="925" spans="1:14" s="15" customFormat="1" ht="14.25" customHeight="1" x14ac:dyDescent="0.25">
      <c r="A925" s="1416" t="s">
        <v>3685</v>
      </c>
      <c r="B925" s="754"/>
      <c r="C925" s="815"/>
      <c r="D925" s="815"/>
      <c r="E925" s="815"/>
      <c r="F925" s="815"/>
      <c r="G925" s="815"/>
      <c r="H925" s="815"/>
      <c r="I925" s="815"/>
      <c r="K925" s="71"/>
      <c r="L925" s="71"/>
      <c r="M925" s="71"/>
      <c r="N925" s="1423"/>
    </row>
    <row r="926" spans="1:14" s="15" customFormat="1" ht="14.25" customHeight="1" x14ac:dyDescent="0.25">
      <c r="A926" s="64" t="s">
        <v>296</v>
      </c>
      <c r="B926" s="754"/>
      <c r="C926" s="815"/>
      <c r="D926" s="815"/>
      <c r="E926" s="815"/>
      <c r="F926" s="815"/>
      <c r="G926" s="815"/>
      <c r="H926" s="815"/>
      <c r="I926" s="815"/>
      <c r="K926" s="71"/>
      <c r="L926" s="71"/>
      <c r="M926" s="71"/>
      <c r="N926" s="1423"/>
    </row>
    <row r="927" spans="1:14" s="15" customFormat="1" ht="14.25" customHeight="1" x14ac:dyDescent="0.3">
      <c r="A927" s="163"/>
      <c r="B927" s="754"/>
      <c r="C927" s="815"/>
      <c r="D927" s="815"/>
      <c r="E927" s="815"/>
      <c r="F927" s="815"/>
      <c r="G927" s="1068" t="s">
        <v>330</v>
      </c>
      <c r="I927" s="152"/>
      <c r="J927" s="152"/>
      <c r="K927" s="979" t="s">
        <v>1098</v>
      </c>
      <c r="L927" s="152"/>
      <c r="M927" s="979" t="s">
        <v>1104</v>
      </c>
      <c r="N927" s="1476"/>
    </row>
    <row r="928" spans="1:14" s="15" customFormat="1" ht="15" customHeight="1" thickBot="1" x14ac:dyDescent="0.3">
      <c r="A928" s="262"/>
      <c r="B928" s="70"/>
      <c r="C928" s="299"/>
      <c r="D928" s="108"/>
      <c r="E928" s="71"/>
      <c r="F928" s="71"/>
      <c r="G928" s="108"/>
      <c r="H928" s="425"/>
      <c r="I928" s="358"/>
      <c r="K928" s="75"/>
      <c r="L928" s="75"/>
      <c r="M928" s="109"/>
      <c r="N928" s="359"/>
    </row>
    <row r="929" spans="1:14" s="2" customFormat="1" ht="52.5" thickTop="1" thickBot="1" x14ac:dyDescent="0.25">
      <c r="A929" s="532" t="s">
        <v>142</v>
      </c>
      <c r="B929" s="533" t="s">
        <v>143</v>
      </c>
      <c r="C929" s="1070" t="s">
        <v>56</v>
      </c>
      <c r="D929" s="426" t="s">
        <v>57</v>
      </c>
      <c r="E929" s="426" t="s">
        <v>231</v>
      </c>
      <c r="F929" s="426" t="s">
        <v>232</v>
      </c>
      <c r="G929" s="426" t="s">
        <v>509</v>
      </c>
      <c r="H929" s="426" t="s">
        <v>510</v>
      </c>
      <c r="I929" s="1071" t="s">
        <v>511</v>
      </c>
      <c r="N929" s="1072"/>
    </row>
    <row r="930" spans="1:14" s="15" customFormat="1" ht="12" thickTop="1" x14ac:dyDescent="0.2">
      <c r="A930" s="168">
        <f>'1. AgeData'!$D$30</f>
        <v>60</v>
      </c>
      <c r="B930" s="70">
        <f>'1. AgeData'!$D$31</f>
        <v>55</v>
      </c>
      <c r="C930" s="2095">
        <f>IF(OR((A930&gt;'10. ExpensesData'!$F$89), (A930&lt;'10. ExpensesData'!$F$83)), 0,    IF(B930&gt;'1. AgeData'!$I$31,$K$923,IF(A930&gt;$L$919,$J$919,$G$919)) * POWER( (1+'10. ExpensesData'!$H$74), (A930 - A$930)))</f>
        <v>31000</v>
      </c>
      <c r="D930" s="1439">
        <f>IF(OR((B930&gt;'10. ExpensesData'!$F$91), (B930&lt;'10. ExpensesData'!$F$85)), 0,    IF(A930&gt;'1. AgeData'!$I$30,$K$923,IF(B930&gt;$L$920,$J$920,$G$920)) * POWER( (1+'10. ExpensesData'!$H$74), (B930 - B$930)))</f>
        <v>29000</v>
      </c>
      <c r="E930" s="197">
        <f>IF('S. Setup'!$J$63="yes",'10. ExpensesData'!C464,0)</f>
        <v>17500</v>
      </c>
      <c r="F930" s="891">
        <f>IF('S. Setup'!$J$63="yes",'10. ExpensesData'!D464,0)</f>
        <v>8500</v>
      </c>
      <c r="G930" s="199">
        <f>C930+E930</f>
        <v>48500</v>
      </c>
      <c r="H930" s="73">
        <f>D930+F930</f>
        <v>37500</v>
      </c>
      <c r="I930" s="427">
        <f t="shared" ref="I930:I966" si="182">G930+H930</f>
        <v>86000</v>
      </c>
      <c r="N930" s="269"/>
    </row>
    <row r="931" spans="1:14" s="15" customFormat="1" ht="11.25" x14ac:dyDescent="0.2">
      <c r="A931" s="168">
        <f>A930+1</f>
        <v>61</v>
      </c>
      <c r="B931" s="70">
        <f>B930+1</f>
        <v>56</v>
      </c>
      <c r="C931" s="345">
        <f>IF(OR((A931&gt;'10. ExpensesData'!$F$89), (A931&lt;'10. ExpensesData'!$F$83)), 0,    IF(B931&gt;'1. AgeData'!$I$31,$K$923,IF(A931&gt;$L$919,$J$919,$G$919)) * POWER( (1+'10. ExpensesData'!$H$74), (A931 - A$930)))</f>
        <v>31620</v>
      </c>
      <c r="D931" s="1440">
        <f>IF(OR((B931&gt;'10. ExpensesData'!$F$91), (B931&lt;'10. ExpensesData'!$F$85)), 0,    IF(A931&gt;'1. AgeData'!$I$30,$K$923,$G$920) * POWER( (1+'10. ExpensesData'!$H$74), (B931 - B$930)))</f>
        <v>29580</v>
      </c>
      <c r="E931" s="199">
        <f>IF('S. Setup'!$J$63="yes",'10. ExpensesData'!C465,0)</f>
        <v>25598.68</v>
      </c>
      <c r="F931" s="892">
        <f>IF('S. Setup'!$J$63="yes",'10. ExpensesData'!D465,0)</f>
        <v>26380</v>
      </c>
      <c r="G931" s="199">
        <f t="shared" ref="G931:G966" si="183">C931+E931</f>
        <v>57218.68</v>
      </c>
      <c r="H931" s="73">
        <f t="shared" ref="H931:H966" si="184">D931+F931</f>
        <v>55960</v>
      </c>
      <c r="I931" s="428">
        <f t="shared" si="182"/>
        <v>113178.68</v>
      </c>
      <c r="K931" s="73"/>
      <c r="L931" s="73"/>
      <c r="M931" s="73"/>
      <c r="N931" s="200"/>
    </row>
    <row r="932" spans="1:14" s="15" customFormat="1" ht="11.25" x14ac:dyDescent="0.2">
      <c r="A932" s="168">
        <f t="shared" ref="A932:A966" si="185">A931+1</f>
        <v>62</v>
      </c>
      <c r="B932" s="70">
        <f t="shared" ref="B932:B966" si="186">B931+1</f>
        <v>57</v>
      </c>
      <c r="C932" s="345">
        <f>IF(OR((A932&gt;'10. ExpensesData'!$F$89), (A932&lt;'10. ExpensesData'!$F$83)), 0,    IF(B932&gt;'1. AgeData'!$I$31,$K$923,IF(A932&gt;$L$919,$J$919,$G$919)) * POWER( (1+'10. ExpensesData'!$H$74), (A932 - A$930)))</f>
        <v>32252.400000000001</v>
      </c>
      <c r="D932" s="1440">
        <f>IF(OR((B932&gt;'10. ExpensesData'!$F$91), (B932&lt;'10. ExpensesData'!$F$85)), 0,    IF(A932&gt;'1. AgeData'!$I$30,$K$923,$G$920) * POWER( (1+'10. ExpensesData'!$H$74), (B932 - B$930)))</f>
        <v>30171.599999999999</v>
      </c>
      <c r="E932" s="199">
        <f>IF('S. Setup'!$J$63="yes",'10. ExpensesData'!C466,0)</f>
        <v>26143.360000000001</v>
      </c>
      <c r="F932" s="892">
        <f>IF('S. Setup'!$J$63="yes",'10. ExpensesData'!D466,0)</f>
        <v>24686.799999999999</v>
      </c>
      <c r="G932" s="199">
        <f t="shared" si="183"/>
        <v>58395.76</v>
      </c>
      <c r="H932" s="73">
        <f t="shared" si="184"/>
        <v>54858.399999999994</v>
      </c>
      <c r="I932" s="428">
        <f t="shared" si="182"/>
        <v>113254.16</v>
      </c>
      <c r="K932" s="73"/>
      <c r="L932" s="73"/>
      <c r="M932" s="73"/>
      <c r="N932" s="200"/>
    </row>
    <row r="933" spans="1:14" s="15" customFormat="1" ht="11.25" x14ac:dyDescent="0.2">
      <c r="A933" s="168">
        <f t="shared" si="185"/>
        <v>63</v>
      </c>
      <c r="B933" s="70">
        <f t="shared" si="186"/>
        <v>58</v>
      </c>
      <c r="C933" s="345">
        <f>IF(OR((A933&gt;'10. ExpensesData'!$F$89), (A933&lt;'10. ExpensesData'!$F$83)), 0,    IF(B933&gt;'1. AgeData'!$I$31,$K$923,IF(A933&gt;$L$919,$J$919,$G$919)) * POWER( (1+'10. ExpensesData'!$H$74), (A933 - A$930)))</f>
        <v>32897.447999999997</v>
      </c>
      <c r="D933" s="1440">
        <f>IF(OR((B933&gt;'10. ExpensesData'!$F$91), (B933&lt;'10. ExpensesData'!$F$85)), 0,    IF(A933&gt;'1. AgeData'!$I$30,$K$923,$G$920) * POWER( (1+'10. ExpensesData'!$H$74), (B933 - B$930)))</f>
        <v>30775.031999999999</v>
      </c>
      <c r="E933" s="199">
        <f>IF('S. Setup'!$J$63="yes",'10. ExpensesData'!C467,0)</f>
        <v>43081.072</v>
      </c>
      <c r="F933" s="892">
        <f>IF('S. Setup'!$J$63="yes",'10. ExpensesData'!D467,0)</f>
        <v>43081.072</v>
      </c>
      <c r="G933" s="199">
        <f t="shared" si="183"/>
        <v>75978.51999999999</v>
      </c>
      <c r="H933" s="73">
        <f t="shared" si="184"/>
        <v>73856.103999999992</v>
      </c>
      <c r="I933" s="428">
        <f t="shared" si="182"/>
        <v>149834.62399999998</v>
      </c>
      <c r="K933" s="73"/>
      <c r="L933" s="73"/>
      <c r="M933" s="73"/>
      <c r="N933" s="200"/>
    </row>
    <row r="934" spans="1:14" s="15" customFormat="1" ht="11.25" x14ac:dyDescent="0.2">
      <c r="A934" s="168">
        <f t="shared" si="185"/>
        <v>64</v>
      </c>
      <c r="B934" s="70">
        <f t="shared" si="186"/>
        <v>59</v>
      </c>
      <c r="C934" s="345">
        <f>IF(OR((A934&gt;'10. ExpensesData'!$F$89), (A934&lt;'10. ExpensesData'!$F$83)), 0,    IF(B934&gt;'1. AgeData'!$I$31,$K$923,IF(A934&gt;$L$919,$J$919,$G$919)) * POWER( (1+'10. ExpensesData'!$H$74), (A934 - A$930)))</f>
        <v>33555.396959999998</v>
      </c>
      <c r="D934" s="1440">
        <f>IF(OR((B934&gt;'10. ExpensesData'!$F$91), (B934&lt;'10. ExpensesData'!$F$85)), 0,    IF(A934&gt;'1. AgeData'!$I$30,$K$923,$G$920) * POWER( (1+'10. ExpensesData'!$H$74), (B934 - B$930)))</f>
        <v>31390.532639999998</v>
      </c>
      <c r="E934" s="199">
        <f>IF('S. Setup'!$J$63="yes",'10. ExpensesData'!C468,0)</f>
        <v>43802.693440000003</v>
      </c>
      <c r="F934" s="892">
        <f>IF('S. Setup'!$J$63="yes",'10. ExpensesData'!D468,0)</f>
        <v>45426.341679999998</v>
      </c>
      <c r="G934" s="199">
        <f t="shared" si="183"/>
        <v>77358.090400000001</v>
      </c>
      <c r="H934" s="73">
        <f t="shared" si="184"/>
        <v>76816.874320000003</v>
      </c>
      <c r="I934" s="428">
        <f t="shared" si="182"/>
        <v>154174.96471999999</v>
      </c>
      <c r="K934" s="73"/>
      <c r="L934" s="73"/>
      <c r="M934" s="73"/>
      <c r="N934" s="200"/>
    </row>
    <row r="935" spans="1:14" s="15" customFormat="1" ht="11.25" x14ac:dyDescent="0.2">
      <c r="A935" s="168">
        <f t="shared" si="185"/>
        <v>65</v>
      </c>
      <c r="B935" s="70">
        <f t="shared" si="186"/>
        <v>60</v>
      </c>
      <c r="C935" s="345">
        <f>IF(OR((A935&gt;'10. ExpensesData'!$F$89), (A935&lt;'10. ExpensesData'!$F$83)), 0,    IF(B935&gt;'1. AgeData'!$I$31,$K$923,IF(A935&gt;$L$919,$J$919,$G$919)) * POWER( (1+'10. ExpensesData'!$H$74), (A935 - A$930)))</f>
        <v>34226.504899200001</v>
      </c>
      <c r="D935" s="1440">
        <f>IF(OR((B935&gt;'10. ExpensesData'!$F$91), (B935&lt;'10. ExpensesData'!$F$85)), 0,    IF(A935&gt;'1. AgeData'!$I$30,$K$923,$G$920) * POWER( (1+'10. ExpensesData'!$H$74), (B935 - B$930)))</f>
        <v>32018.3432928</v>
      </c>
      <c r="E935" s="199">
        <f>IF('S. Setup'!$J$63="yes",'10. ExpensesData'!C469,0)</f>
        <v>25769.373654399998</v>
      </c>
      <c r="F935" s="892">
        <f>IF('S. Setup'!$J$63="yes",'10. ExpensesData'!D469,0)</f>
        <v>25769.373654399998</v>
      </c>
      <c r="G935" s="199">
        <f t="shared" si="183"/>
        <v>59995.8785536</v>
      </c>
      <c r="H935" s="73">
        <f t="shared" si="184"/>
        <v>57787.716947199995</v>
      </c>
      <c r="I935" s="428">
        <f t="shared" si="182"/>
        <v>117783.5955008</v>
      </c>
      <c r="K935" s="73"/>
      <c r="L935" s="73"/>
      <c r="M935" s="73"/>
      <c r="N935" s="200"/>
    </row>
    <row r="936" spans="1:14" s="15" customFormat="1" ht="11.25" x14ac:dyDescent="0.2">
      <c r="A936" s="168">
        <f t="shared" si="185"/>
        <v>66</v>
      </c>
      <c r="B936" s="70">
        <f t="shared" si="186"/>
        <v>61</v>
      </c>
      <c r="C936" s="345">
        <f>IF(OR((A936&gt;'10. ExpensesData'!$F$89), (A936&lt;'10. ExpensesData'!$F$83)), 0,    IF(B936&gt;'1. AgeData'!$I$31,$K$923,IF(A936&gt;$L$919,$J$919,$G$919)) * POWER( (1+'10. ExpensesData'!$H$74), (A936 - A$930)))</f>
        <v>34911.034997184004</v>
      </c>
      <c r="D936" s="1440">
        <f>IF(OR((B936&gt;'10. ExpensesData'!$F$91), (B936&lt;'10. ExpensesData'!$F$85)), 0,    IF(A936&gt;'1. AgeData'!$I$30,$K$923,$G$920) * POWER( (1+'10. ExpensesData'!$H$74), (B936 - B$930)))</f>
        <v>32658.710158656002</v>
      </c>
      <c r="E936" s="199">
        <f>IF('S. Setup'!$J$63="yes",'10. ExpensesData'!C470,0)</f>
        <v>26144.761127488</v>
      </c>
      <c r="F936" s="892">
        <f>IF('S. Setup'!$J$63="yes",'10. ExpensesData'!D470,0)</f>
        <v>26144.761127488</v>
      </c>
      <c r="G936" s="199">
        <f t="shared" si="183"/>
        <v>61055.796124672008</v>
      </c>
      <c r="H936" s="73">
        <f t="shared" si="184"/>
        <v>58803.471286144006</v>
      </c>
      <c r="I936" s="428">
        <f t="shared" si="182"/>
        <v>119859.26741081601</v>
      </c>
      <c r="K936" s="73"/>
      <c r="L936" s="73"/>
      <c r="M936" s="73"/>
      <c r="N936" s="200"/>
    </row>
    <row r="937" spans="1:14" s="15" customFormat="1" ht="11.25" x14ac:dyDescent="0.2">
      <c r="A937" s="207">
        <f t="shared" si="185"/>
        <v>67</v>
      </c>
      <c r="B937" s="74">
        <f t="shared" si="186"/>
        <v>62</v>
      </c>
      <c r="C937" s="345">
        <f>IF(OR((A937&gt;'10. ExpensesData'!$F$89), (A937&lt;'10. ExpensesData'!$F$83)), 0,    IF(B937&gt;'1. AgeData'!$I$31,$K$923,IF(A937&gt;$L$919,$J$919,$G$919)) * POWER( (1+'10. ExpensesData'!$H$74), (A937 - A$930)))</f>
        <v>35609.255697127672</v>
      </c>
      <c r="D937" s="1440">
        <f>IF(OR((B937&gt;'10. ExpensesData'!$F$91), (B937&lt;'10. ExpensesData'!$F$85)), 0,    IF(A937&gt;'1. AgeData'!$I$30,$K$923,$G$920) * POWER( (1+'10. ExpensesData'!$H$74), (B937 - B$930)))</f>
        <v>33311.884361829114</v>
      </c>
      <c r="E937" s="199">
        <f>IF('S. Setup'!$J$63="yes",'10. ExpensesData'!C471,0)</f>
        <v>7000</v>
      </c>
      <c r="F937" s="892">
        <f>IF('S. Setup'!$J$63="yes",'10. ExpensesData'!D471,0)</f>
        <v>7000</v>
      </c>
      <c r="G937" s="811">
        <f t="shared" si="183"/>
        <v>42609.255697127672</v>
      </c>
      <c r="H937" s="797">
        <f t="shared" si="184"/>
        <v>40311.884361829114</v>
      </c>
      <c r="I937" s="812">
        <f t="shared" si="182"/>
        <v>82921.140058956778</v>
      </c>
      <c r="K937" s="73"/>
      <c r="L937" s="73"/>
      <c r="M937" s="73"/>
      <c r="N937" s="200"/>
    </row>
    <row r="938" spans="1:14" s="15" customFormat="1" ht="11.25" x14ac:dyDescent="0.2">
      <c r="A938" s="207">
        <f t="shared" si="185"/>
        <v>68</v>
      </c>
      <c r="B938" s="74">
        <f t="shared" si="186"/>
        <v>63</v>
      </c>
      <c r="C938" s="345">
        <f>IF(OR((A938&gt;'10. ExpensesData'!$F$89), (A938&lt;'10. ExpensesData'!$F$83)), 0,    IF(B938&gt;'1. AgeData'!$I$31,$K$923,IF(A938&gt;$L$919,$J$919,$G$919)) * POWER( (1+'10. ExpensesData'!$H$74), (A938 - A$930)))</f>
        <v>36321.440811070228</v>
      </c>
      <c r="D938" s="1440">
        <f>IF(OR((B938&gt;'10. ExpensesData'!$F$91), (B938&lt;'10. ExpensesData'!$F$85)), 0,    IF(A938&gt;'1. AgeData'!$I$30,$K$923,$G$920) * POWER( (1+'10. ExpensesData'!$H$74), (B938 - B$930)))</f>
        <v>33978.1220490657</v>
      </c>
      <c r="E938" s="199">
        <f>IF('S. Setup'!$J$63="yes",'10. ExpensesData'!C472,0)</f>
        <v>7000</v>
      </c>
      <c r="F938" s="892">
        <f>IF('S. Setup'!$J$63="yes",'10. ExpensesData'!D472,0)</f>
        <v>8757.489071503398</v>
      </c>
      <c r="G938" s="811">
        <f t="shared" si="183"/>
        <v>43321.440811070228</v>
      </c>
      <c r="H938" s="797">
        <f t="shared" si="184"/>
        <v>42735.611120569098</v>
      </c>
      <c r="I938" s="812">
        <f t="shared" si="182"/>
        <v>86057.051931639318</v>
      </c>
      <c r="K938" s="73"/>
      <c r="L938" s="73"/>
      <c r="M938" s="73"/>
      <c r="N938" s="200"/>
    </row>
    <row r="939" spans="1:14" s="15" customFormat="1" ht="11.25" x14ac:dyDescent="0.2">
      <c r="A939" s="207">
        <f t="shared" si="185"/>
        <v>69</v>
      </c>
      <c r="B939" s="74">
        <f t="shared" si="186"/>
        <v>64</v>
      </c>
      <c r="C939" s="345">
        <f>IF(OR((A939&gt;'10. ExpensesData'!$F$89), (A939&lt;'10. ExpensesData'!$F$83)), 0,    IF(B939&gt;'1. AgeData'!$I$31,$K$923,IF(A939&gt;$L$919,$J$919,$G$919)) * POWER( (1+'10. ExpensesData'!$H$74), (A939 - A$930)))</f>
        <v>37047.869627291635</v>
      </c>
      <c r="D939" s="1440">
        <f>IF(OR((B939&gt;'10. ExpensesData'!$F$91), (B939&lt;'10. ExpensesData'!$F$85)), 0,    IF(A939&gt;'1. AgeData'!$I$30,$K$923,$G$920) * POWER( (1+'10. ExpensesData'!$H$74), (B939 - B$930)))</f>
        <v>34657.684490047017</v>
      </c>
      <c r="E939" s="199">
        <f>IF('S. Setup'!$J$63="yes",'10. ExpensesData'!C473,0)</f>
        <v>7000</v>
      </c>
      <c r="F939" s="892">
        <f>IF('S. Setup'!$J$63="yes",'10. ExpensesData'!D473,0)</f>
        <v>14170.555411733865</v>
      </c>
      <c r="G939" s="811">
        <f t="shared" si="183"/>
        <v>44047.869627291635</v>
      </c>
      <c r="H939" s="797">
        <f t="shared" si="184"/>
        <v>48828.239901780878</v>
      </c>
      <c r="I939" s="812">
        <f t="shared" si="182"/>
        <v>92876.109529072506</v>
      </c>
      <c r="K939" s="73"/>
      <c r="L939" s="73"/>
      <c r="M939" s="73"/>
      <c r="N939" s="200"/>
    </row>
    <row r="940" spans="1:14" s="15" customFormat="1" ht="11.25" x14ac:dyDescent="0.2">
      <c r="A940" s="168">
        <f t="shared" si="185"/>
        <v>70</v>
      </c>
      <c r="B940" s="70">
        <f t="shared" si="186"/>
        <v>65</v>
      </c>
      <c r="C940" s="345">
        <f>IF(OR((A940&gt;'10. ExpensesData'!$F$89), (A940&lt;'10. ExpensesData'!$F$83)), 0,    IF(B940&gt;'1. AgeData'!$I$31,$K$923,IF(A940&gt;$L$919,$J$919,$G$919)) * POWER( (1+'10. ExpensesData'!$H$74), (A940 - A$930)))</f>
        <v>30231.061615869978</v>
      </c>
      <c r="D940" s="1440">
        <f>IF(OR((B940&gt;'10. ExpensesData'!$F$91), (B940&lt;'10. ExpensesData'!$F$85)), 0,    IF(A940&gt;'1. AgeData'!$I$30,$K$923,$G$920) * POWER( (1+'10. ExpensesData'!$H$74), (B940 - B$930)))</f>
        <v>35350.838179847953</v>
      </c>
      <c r="E940" s="199">
        <f>IF('S. Setup'!$J$63="yes",'10. ExpensesData'!C474,0)</f>
        <v>19189.944199947571</v>
      </c>
      <c r="F940" s="892">
        <f>IF('S. Setup'!$J$63="yes",'10. ExpensesData'!D474,0)</f>
        <v>19189.944199947571</v>
      </c>
      <c r="G940" s="199">
        <f t="shared" si="183"/>
        <v>49421.005815817553</v>
      </c>
      <c r="H940" s="73">
        <f t="shared" si="184"/>
        <v>54540.782379795521</v>
      </c>
      <c r="I940" s="428">
        <f t="shared" si="182"/>
        <v>103961.78819561307</v>
      </c>
      <c r="K940" s="73"/>
      <c r="L940" s="73"/>
      <c r="M940" s="73"/>
      <c r="N940" s="200"/>
    </row>
    <row r="941" spans="1:14" s="15" customFormat="1" ht="11.25" x14ac:dyDescent="0.2">
      <c r="A941" s="168">
        <f t="shared" si="185"/>
        <v>71</v>
      </c>
      <c r="B941" s="70">
        <f t="shared" si="186"/>
        <v>66</v>
      </c>
      <c r="C941" s="345">
        <f>IF(OR((A941&gt;'10. ExpensesData'!$F$89), (A941&lt;'10. ExpensesData'!$F$83)), 0,    IF(B941&gt;'1. AgeData'!$I$31,$K$923,IF(A941&gt;$L$919,$J$919,$G$919)) * POWER( (1+'10. ExpensesData'!$H$74), (A941 - A$930)))</f>
        <v>30835.682848187371</v>
      </c>
      <c r="D941" s="1440">
        <f>IF(OR((B941&gt;'10. ExpensesData'!$F$91), (B941&lt;'10. ExpensesData'!$F$85)), 0,    IF(A941&gt;'1. AgeData'!$I$30,$K$923,$G$920) * POWER( (1+'10. ExpensesData'!$H$74), (B941 - B$930)))</f>
        <v>36057.854943444909</v>
      </c>
      <c r="E941" s="199">
        <f>IF('S. Setup'!$J$63="yes",'10. ExpensesData'!C475,0)</f>
        <v>49274.72648541817</v>
      </c>
      <c r="F941" s="892">
        <f>IF('S. Setup'!$J$63="yes",'10. ExpensesData'!D475,0)</f>
        <v>11351.810079381281</v>
      </c>
      <c r="G941" s="199">
        <f t="shared" si="183"/>
        <v>80110.409333605538</v>
      </c>
      <c r="H941" s="73">
        <f t="shared" si="184"/>
        <v>47409.665022826186</v>
      </c>
      <c r="I941" s="428">
        <f t="shared" si="182"/>
        <v>127520.07435643172</v>
      </c>
      <c r="K941" s="73"/>
      <c r="L941" s="73"/>
      <c r="M941" s="73"/>
      <c r="N941" s="200"/>
    </row>
    <row r="942" spans="1:14" s="15" customFormat="1" ht="11.25" x14ac:dyDescent="0.2">
      <c r="A942" s="168">
        <f t="shared" si="185"/>
        <v>72</v>
      </c>
      <c r="B942" s="70">
        <f t="shared" si="186"/>
        <v>67</v>
      </c>
      <c r="C942" s="345">
        <f>IF(OR((A942&gt;'10. ExpensesData'!$F$89), (A942&lt;'10. ExpensesData'!$F$83)), 0,    IF(B942&gt;'1. AgeData'!$I$31,$K$923,IF(A942&gt;$L$919,$J$919,$G$919)) * POWER( (1+'10. ExpensesData'!$H$74), (A942 - A$930)))</f>
        <v>31452.396505151122</v>
      </c>
      <c r="D942" s="1440">
        <f>IF(OR((B942&gt;'10. ExpensesData'!$F$91), (B942&lt;'10. ExpensesData'!$F$85)), 0,    IF(A942&gt;'1. AgeData'!$I$30,$K$923,$G$920) * POWER( (1+'10. ExpensesData'!$H$74), (B942 - B$930)))</f>
        <v>36779.012042313814</v>
      </c>
      <c r="E942" s="199">
        <f>IF('S. Setup'!$J$63="yes",'10. ExpensesData'!C476,0)</f>
        <v>19682.417945625453</v>
      </c>
      <c r="F942" s="892">
        <f>IF('S. Setup'!$J$63="yes",'10. ExpensesData'!D476,0)</f>
        <v>13341.208972812727</v>
      </c>
      <c r="G942" s="199">
        <f t="shared" si="183"/>
        <v>51134.814450776576</v>
      </c>
      <c r="H942" s="73">
        <f t="shared" si="184"/>
        <v>50120.221015126539</v>
      </c>
      <c r="I942" s="428">
        <f t="shared" si="182"/>
        <v>101255.03546590311</v>
      </c>
      <c r="K942" s="73"/>
      <c r="L942" s="73"/>
      <c r="M942" s="73"/>
      <c r="N942" s="200"/>
    </row>
    <row r="943" spans="1:14" s="15" customFormat="1" ht="11.25" x14ac:dyDescent="0.2">
      <c r="A943" s="168">
        <f t="shared" si="185"/>
        <v>73</v>
      </c>
      <c r="B943" s="70">
        <f t="shared" si="186"/>
        <v>68</v>
      </c>
      <c r="C943" s="345">
        <f>IF(OR((A943&gt;'10. ExpensesData'!$F$89), (A943&lt;'10. ExpensesData'!$F$83)), 0,    IF(B943&gt;'1. AgeData'!$I$31,$K$923,IF(A943&gt;$L$919,$J$919,$G$919)) * POWER( (1+'10. ExpensesData'!$H$74), (A943 - A$930)))</f>
        <v>32081.444435254143</v>
      </c>
      <c r="D943" s="1440">
        <f>IF(OR((B943&gt;'10. ExpensesData'!$F$91), (B943&lt;'10. ExpensesData'!$F$85)), 0,    IF(A943&gt;'1. AgeData'!$I$30,$K$923,$G$920) * POWER( (1+'10. ExpensesData'!$H$74), (B943 - B$930)))</f>
        <v>37514.592283160084</v>
      </c>
      <c r="E943" s="199">
        <f>IF('S. Setup'!$J$63="yes",'10. ExpensesData'!C477,0)</f>
        <v>7000</v>
      </c>
      <c r="F943" s="892">
        <f>IF('S. Setup'!$J$63="yes",'10. ExpensesData'!D477,0)</f>
        <v>7000</v>
      </c>
      <c r="G943" s="199">
        <f t="shared" si="183"/>
        <v>39081.444435254147</v>
      </c>
      <c r="H943" s="73">
        <f t="shared" si="184"/>
        <v>44514.592283160084</v>
      </c>
      <c r="I943" s="428">
        <f t="shared" si="182"/>
        <v>83596.036718414223</v>
      </c>
      <c r="K943" s="73"/>
      <c r="L943" s="73"/>
      <c r="M943" s="73"/>
      <c r="N943" s="200"/>
    </row>
    <row r="944" spans="1:14" s="15" customFormat="1" ht="11.25" x14ac:dyDescent="0.2">
      <c r="A944" s="168">
        <f t="shared" si="185"/>
        <v>74</v>
      </c>
      <c r="B944" s="70">
        <f t="shared" si="186"/>
        <v>69</v>
      </c>
      <c r="C944" s="345">
        <f>IF(OR((A944&gt;'10. ExpensesData'!$F$89), (A944&lt;'10. ExpensesData'!$F$83)), 0,    IF(B944&gt;'1. AgeData'!$I$31,$K$923,IF(A944&gt;$L$919,$J$919,$G$919)) * POWER( (1+'10. ExpensesData'!$H$74), (A944 - A$930)))</f>
        <v>32723.07332395923</v>
      </c>
      <c r="D944" s="1440">
        <f>IF(OR((B944&gt;'10. ExpensesData'!$F$91), (B944&lt;'10. ExpensesData'!$F$85)), 0,    IF(A944&gt;'1. AgeData'!$I$30,$K$923,$G$920) * POWER( (1+'10. ExpensesData'!$H$74), (B944 - B$930)))</f>
        <v>38264.884128823294</v>
      </c>
      <c r="E944" s="199">
        <f>IF('S. Setup'!$J$63="yes",'10. ExpensesData'!C478,0)</f>
        <v>8979.2181445943079</v>
      </c>
      <c r="F944" s="892">
        <f>IF('S. Setup'!$J$63="yes",'10. ExpensesData'!D478,0)</f>
        <v>7000</v>
      </c>
      <c r="G944" s="199">
        <f t="shared" si="183"/>
        <v>41702.291468553536</v>
      </c>
      <c r="H944" s="73">
        <f t="shared" si="184"/>
        <v>45264.884128823294</v>
      </c>
      <c r="I944" s="428">
        <f t="shared" si="182"/>
        <v>86967.17559737683</v>
      </c>
      <c r="K944" s="73"/>
      <c r="L944" s="73"/>
      <c r="M944" s="73"/>
      <c r="N944" s="200"/>
    </row>
    <row r="945" spans="1:14" s="15" customFormat="1" ht="11.25" x14ac:dyDescent="0.2">
      <c r="A945" s="168">
        <f t="shared" si="185"/>
        <v>75</v>
      </c>
      <c r="B945" s="70">
        <f t="shared" si="186"/>
        <v>70</v>
      </c>
      <c r="C945" s="345">
        <f>IF(OR((A945&gt;'10. ExpensesData'!$F$89), (A945&lt;'10. ExpensesData'!$F$83)), 0,    IF(B945&gt;'1. AgeData'!$I$31,$K$923,IF(A945&gt;$L$919,$J$919,$G$919)) * POWER( (1+'10. ExpensesData'!$H$74), (A945 - A$930)))</f>
        <v>33377.534790438403</v>
      </c>
      <c r="D945" s="1440">
        <f>IF(OR((B945&gt;'10. ExpensesData'!$F$91), (B945&lt;'10. ExpensesData'!$F$85)), 0,    IF(A945&gt;'1. AgeData'!$I$30,$K$923,$G$920) * POWER( (1+'10. ExpensesData'!$H$74), (B945 - B$930)))</f>
        <v>39030.181811399751</v>
      </c>
      <c r="E945" s="199">
        <f>IF('S. Setup'!$J$63="yes",'10. ExpensesData'!C479,0)</f>
        <v>107940.12537430969</v>
      </c>
      <c r="F945" s="892">
        <f>IF('S. Setup'!$J$63="yes",'10. ExpensesData'!D479,0)</f>
        <v>107940.12537430969</v>
      </c>
      <c r="G945" s="199">
        <f t="shared" si="183"/>
        <v>141317.66016474809</v>
      </c>
      <c r="H945" s="73">
        <f t="shared" si="184"/>
        <v>146970.30718570945</v>
      </c>
      <c r="I945" s="428">
        <f t="shared" si="182"/>
        <v>288287.96735045756</v>
      </c>
      <c r="K945" s="73"/>
      <c r="L945" s="73"/>
      <c r="M945" s="73"/>
      <c r="N945" s="200"/>
    </row>
    <row r="946" spans="1:14" s="15" customFormat="1" ht="11.25" x14ac:dyDescent="0.2">
      <c r="A946" s="168">
        <f t="shared" si="185"/>
        <v>76</v>
      </c>
      <c r="B946" s="70">
        <f t="shared" si="186"/>
        <v>71</v>
      </c>
      <c r="C946" s="345">
        <f>IF(OR((A946&gt;'10. ExpensesData'!$F$89), (A946&lt;'10. ExpensesData'!$F$83)), 0,    IF(B946&gt;'1. AgeData'!$I$31,$K$923,IF(A946&gt;$L$919,$J$919,$G$919)) * POWER( (1+'10. ExpensesData'!$H$74), (A946 - A$930)))</f>
        <v>34045.085486247175</v>
      </c>
      <c r="D946" s="1440">
        <f>IF(OR((B946&gt;'10. ExpensesData'!$F$91), (B946&lt;'10. ExpensesData'!$F$85)), 0,    IF(A946&gt;'1. AgeData'!$I$30,$K$923,$G$920) * POWER( (1+'10. ExpensesData'!$H$74), (B946 - B$930)))</f>
        <v>39810.78544762775</v>
      </c>
      <c r="E946" s="199">
        <f>IF('S. Setup'!$J$63="yes",'10. ExpensesData'!C480,0)</f>
        <v>2059.178557635918</v>
      </c>
      <c r="F946" s="892">
        <f>IF('S. Setup'!$J$63="yes",'10. ExpensesData'!D480,0)</f>
        <v>0</v>
      </c>
      <c r="G946" s="199">
        <f t="shared" si="183"/>
        <v>36104.264043883093</v>
      </c>
      <c r="H946" s="73">
        <f t="shared" si="184"/>
        <v>39810.78544762775</v>
      </c>
      <c r="I946" s="428">
        <f t="shared" si="182"/>
        <v>75915.049491510843</v>
      </c>
      <c r="K946" s="73"/>
      <c r="L946" s="73"/>
      <c r="M946" s="73"/>
      <c r="N946" s="200"/>
    </row>
    <row r="947" spans="1:14" s="15" customFormat="1" ht="11.25" x14ac:dyDescent="0.2">
      <c r="A947" s="168">
        <f t="shared" si="185"/>
        <v>77</v>
      </c>
      <c r="B947" s="70">
        <f t="shared" si="186"/>
        <v>72</v>
      </c>
      <c r="C947" s="345">
        <f>IF(OR((A947&gt;'10. ExpensesData'!$F$89), (A947&lt;'10. ExpensesData'!$F$83)), 0,    IF(B947&gt;'1. AgeData'!$I$31,$K$923,IF(A947&gt;$L$919,$J$919,$G$919)) * POWER( (1+'10. ExpensesData'!$H$74), (A947 - A$930)))</f>
        <v>34725.987195972128</v>
      </c>
      <c r="D947" s="1440">
        <f>IF(OR((B947&gt;'10. ExpensesData'!$F$91), (B947&lt;'10. ExpensesData'!$F$85)), 0,    IF(A947&gt;'1. AgeData'!$I$30,$K$923,$G$920) * POWER( (1+'10. ExpensesData'!$H$74), (B947 - B$930)))</f>
        <v>40607.001156580307</v>
      </c>
      <c r="E947" s="199">
        <f>IF('S. Setup'!$J$63="yes",'10. ExpensesData'!C481,0)</f>
        <v>0</v>
      </c>
      <c r="F947" s="892">
        <f>IF('S. Setup'!$J$63="yes",'10. ExpensesData'!D481,0)</f>
        <v>0</v>
      </c>
      <c r="G947" s="199">
        <f t="shared" si="183"/>
        <v>34725.987195972128</v>
      </c>
      <c r="H947" s="73">
        <f t="shared" si="184"/>
        <v>40607.001156580307</v>
      </c>
      <c r="I947" s="428">
        <f t="shared" si="182"/>
        <v>75332.988352552435</v>
      </c>
      <c r="K947" s="73"/>
      <c r="L947" s="73"/>
      <c r="M947" s="73"/>
      <c r="N947" s="200"/>
    </row>
    <row r="948" spans="1:14" s="15" customFormat="1" ht="11.25" x14ac:dyDescent="0.2">
      <c r="A948" s="168">
        <f t="shared" si="185"/>
        <v>78</v>
      </c>
      <c r="B948" s="70">
        <f t="shared" si="186"/>
        <v>73</v>
      </c>
      <c r="C948" s="345">
        <f>IF(OR((A948&gt;'10. ExpensesData'!$F$89), (A948&lt;'10. ExpensesData'!$F$83)), 0,    IF(B948&gt;'1. AgeData'!$I$31,$K$923,IF(A948&gt;$L$919,$J$919,$G$919)) * POWER( (1+'10. ExpensesData'!$H$74), (A948 - A$930)))</f>
        <v>35420.506939891566</v>
      </c>
      <c r="D948" s="1440">
        <f>IF(OR((B948&gt;'10. ExpensesData'!$F$91), (B948&lt;'10. ExpensesData'!$F$85)), 0,    IF(A948&gt;'1. AgeData'!$I$30,$K$923,$G$920) * POWER( (1+'10. ExpensesData'!$H$74), (B948 - B$930)))</f>
        <v>41419.141179711907</v>
      </c>
      <c r="E948" s="199">
        <f>IF('S. Setup'!$J$63="yes",'10. ExpensesData'!C482,0)</f>
        <v>0</v>
      </c>
      <c r="F948" s="892">
        <f>IF('S. Setup'!$J$63="yes",'10. ExpensesData'!D482,0)</f>
        <v>0</v>
      </c>
      <c r="G948" s="199">
        <f t="shared" si="183"/>
        <v>35420.506939891566</v>
      </c>
      <c r="H948" s="73">
        <f t="shared" si="184"/>
        <v>41419.141179711907</v>
      </c>
      <c r="I948" s="428">
        <f t="shared" si="182"/>
        <v>76839.648119603473</v>
      </c>
      <c r="K948" s="73"/>
      <c r="L948" s="73"/>
      <c r="M948" s="73"/>
      <c r="N948" s="200"/>
    </row>
    <row r="949" spans="1:14" s="15" customFormat="1" ht="11.25" x14ac:dyDescent="0.2">
      <c r="A949" s="168">
        <f t="shared" si="185"/>
        <v>79</v>
      </c>
      <c r="B949" s="70">
        <f t="shared" si="186"/>
        <v>74</v>
      </c>
      <c r="C949" s="345">
        <f>IF(OR((A949&gt;'10. ExpensesData'!$F$89), (A949&lt;'10. ExpensesData'!$F$83)), 0,    IF(B949&gt;'1. AgeData'!$I$31,$K$923,IF(A949&gt;$L$919,$J$919,$G$919)) * POWER( (1+'10. ExpensesData'!$H$74), (A949 - A$930)))</f>
        <v>36128.917078689396</v>
      </c>
      <c r="D949" s="1440">
        <f>IF(OR((B949&gt;'10. ExpensesData'!$F$91), (B949&lt;'10. ExpensesData'!$F$85)), 0,    IF(A949&gt;'1. AgeData'!$I$30,$K$923,$G$920) * POWER( (1+'10. ExpensesData'!$H$74), (B949 - B$930)))</f>
        <v>42247.524003306149</v>
      </c>
      <c r="E949" s="199">
        <f>IF('S. Setup'!$J$63="yes",'10. ExpensesData'!C483,0)</f>
        <v>0</v>
      </c>
      <c r="F949" s="892">
        <f>IF('S. Setup'!$J$63="yes",'10. ExpensesData'!D483,0)</f>
        <v>45598.189700120078</v>
      </c>
      <c r="G949" s="199">
        <f t="shared" si="183"/>
        <v>36128.917078689396</v>
      </c>
      <c r="H949" s="73">
        <f t="shared" si="184"/>
        <v>87845.713703426227</v>
      </c>
      <c r="I949" s="428">
        <f t="shared" si="182"/>
        <v>123974.63078211562</v>
      </c>
      <c r="K949" s="73"/>
      <c r="L949" s="73"/>
      <c r="M949" s="73"/>
      <c r="N949" s="200"/>
    </row>
    <row r="950" spans="1:14" s="15" customFormat="1" ht="11.25" x14ac:dyDescent="0.2">
      <c r="A950" s="168">
        <f t="shared" si="185"/>
        <v>80</v>
      </c>
      <c r="B950" s="70">
        <f t="shared" si="186"/>
        <v>75</v>
      </c>
      <c r="C950" s="345">
        <f>IF(OR((A950&gt;'10. ExpensesData'!$F$89), (A950&lt;'10. ExpensesData'!$F$83)), 0,    IF(B950&gt;'1. AgeData'!$I$31,$K$923,IF(A950&gt;$L$919,$J$919,$G$919)) * POWER( (1+'10. ExpensesData'!$H$74), (A950 - A$930)))</f>
        <v>36851.495420263185</v>
      </c>
      <c r="D950" s="1440">
        <f>IF(OR((B950&gt;'10. ExpensesData'!$F$91), (B950&lt;'10. ExpensesData'!$F$85)), 0,    IF(A950&gt;'1. AgeData'!$I$30,$K$923,$G$920) * POWER( (1+'10. ExpensesData'!$H$74), (B950 - B$930)))</f>
        <v>43092.474483372273</v>
      </c>
      <c r="E950" s="199">
        <f>IF('S. Setup'!$J$63="yes",'10. ExpensesData'!C484,0)</f>
        <v>0</v>
      </c>
      <c r="F950" s="892">
        <f>IF('S. Setup'!$J$63="yes",'10. ExpensesData'!D484,0)</f>
        <v>0</v>
      </c>
      <c r="G950" s="199">
        <f t="shared" si="183"/>
        <v>36851.495420263185</v>
      </c>
      <c r="H950" s="73">
        <f t="shared" si="184"/>
        <v>43092.474483372273</v>
      </c>
      <c r="I950" s="428">
        <f t="shared" si="182"/>
        <v>79943.969903635458</v>
      </c>
      <c r="K950" s="73"/>
      <c r="L950" s="73"/>
      <c r="M950" s="73"/>
      <c r="N950" s="200"/>
    </row>
    <row r="951" spans="1:14" s="15" customFormat="1" ht="11.25" x14ac:dyDescent="0.2">
      <c r="A951" s="168">
        <f t="shared" si="185"/>
        <v>81</v>
      </c>
      <c r="B951" s="70">
        <f t="shared" si="186"/>
        <v>76</v>
      </c>
      <c r="C951" s="345">
        <f>IF(OR((A951&gt;'10. ExpensesData'!$F$89), (A951&lt;'10. ExpensesData'!$F$83)), 0,    IF(B951&gt;'1. AgeData'!$I$31,$K$923,IF(A951&gt;$L$919,$J$919,$G$919)) * POWER( (1+'10. ExpensesData'!$H$74), (A951 - A$930)))</f>
        <v>37588.525328668446</v>
      </c>
      <c r="D951" s="1440">
        <f>IF(OR((B951&gt;'10. ExpensesData'!$F$91), (B951&lt;'10. ExpensesData'!$F$85)), 0,    IF(A951&gt;'1. AgeData'!$I$30,$K$923,$G$920) * POWER( (1+'10. ExpensesData'!$H$74), (B951 - B$930)))</f>
        <v>43954.323973039718</v>
      </c>
      <c r="E951" s="199">
        <f>IF('S. Setup'!$J$63="yes",'10. ExpensesData'!C485,0)</f>
        <v>0</v>
      </c>
      <c r="F951" s="892">
        <f>IF('S. Setup'!$J$63="yes",'10. ExpensesData'!D485,0)</f>
        <v>0</v>
      </c>
      <c r="G951" s="199">
        <f t="shared" si="183"/>
        <v>37588.525328668446</v>
      </c>
      <c r="H951" s="73">
        <f t="shared" si="184"/>
        <v>43954.323973039718</v>
      </c>
      <c r="I951" s="428">
        <f t="shared" si="182"/>
        <v>81542.849301708164</v>
      </c>
      <c r="K951" s="73"/>
      <c r="L951" s="73"/>
      <c r="M951" s="73"/>
      <c r="N951" s="200"/>
    </row>
    <row r="952" spans="1:14" s="15" customFormat="1" ht="11.25" x14ac:dyDescent="0.2">
      <c r="A952" s="168">
        <f t="shared" si="185"/>
        <v>82</v>
      </c>
      <c r="B952" s="70">
        <f t="shared" si="186"/>
        <v>77</v>
      </c>
      <c r="C952" s="345">
        <f>IF(OR((A952&gt;'10. ExpensesData'!$F$89), (A952&lt;'10. ExpensesData'!$F$83)), 0,    IF(B952&gt;'1. AgeData'!$I$31,$K$923,IF(A952&gt;$L$919,$J$919,$G$919)) * POWER( (1+'10. ExpensesData'!$H$74), (A952 - A$930)))</f>
        <v>38340.295835241814</v>
      </c>
      <c r="D952" s="1440">
        <f>IF(OR((B952&gt;'10. ExpensesData'!$F$91), (B952&lt;'10. ExpensesData'!$F$85)), 0,    IF(A952&gt;'1. AgeData'!$I$30,$K$923,$G$920) * POWER( (1+'10. ExpensesData'!$H$74), (B952 - B$930)))</f>
        <v>44833.41045250051</v>
      </c>
      <c r="E952" s="199">
        <f>IF('S. Setup'!$J$63="yes",'10. ExpensesData'!C486,0)</f>
        <v>0</v>
      </c>
      <c r="F952" s="892">
        <f>IF('S. Setup'!$J$63="yes",'10. ExpensesData'!D486,0)</f>
        <v>0</v>
      </c>
      <c r="G952" s="199">
        <f t="shared" si="183"/>
        <v>38340.295835241814</v>
      </c>
      <c r="H952" s="73">
        <f t="shared" si="184"/>
        <v>44833.41045250051</v>
      </c>
      <c r="I952" s="428">
        <f t="shared" si="182"/>
        <v>83173.70628774233</v>
      </c>
      <c r="K952" s="73"/>
      <c r="L952" s="73"/>
      <c r="M952" s="73"/>
      <c r="N952" s="200"/>
    </row>
    <row r="953" spans="1:14" s="15" customFormat="1" ht="11.25" x14ac:dyDescent="0.2">
      <c r="A953" s="168">
        <f t="shared" si="185"/>
        <v>83</v>
      </c>
      <c r="B953" s="70">
        <f t="shared" si="186"/>
        <v>78</v>
      </c>
      <c r="C953" s="345">
        <f>IF(OR((A953&gt;'10. ExpensesData'!$F$89), (A953&lt;'10. ExpensesData'!$F$83)), 0,    IF(B953&gt;'1. AgeData'!$I$31,$K$923,IF(A953&gt;$L$919,$J$919,$G$919)) * POWER( (1+'10. ExpensesData'!$H$74), (A953 - A$930)))</f>
        <v>39107.101751946648</v>
      </c>
      <c r="D953" s="1440">
        <f>IF(OR((B953&gt;'10. ExpensesData'!$F$91), (B953&lt;'10. ExpensesData'!$F$85)), 0,    IF(A953&gt;'1. AgeData'!$I$30,$K$923,$G$920) * POWER( (1+'10. ExpensesData'!$H$74), (B953 - B$930)))</f>
        <v>45730.078661550513</v>
      </c>
      <c r="E953" s="199">
        <f>IF('S. Setup'!$J$63="yes",'10. ExpensesData'!C487,0)</f>
        <v>0</v>
      </c>
      <c r="F953" s="892">
        <f>IF('S. Setup'!$J$63="yes",'10. ExpensesData'!D487,0)</f>
        <v>0</v>
      </c>
      <c r="G953" s="199">
        <f t="shared" si="183"/>
        <v>39107.101751946648</v>
      </c>
      <c r="H953" s="73">
        <f t="shared" si="184"/>
        <v>45730.078661550513</v>
      </c>
      <c r="I953" s="428">
        <f t="shared" si="182"/>
        <v>84837.180413497161</v>
      </c>
      <c r="K953" s="73"/>
      <c r="L953" s="73"/>
      <c r="M953" s="73"/>
      <c r="N953" s="200"/>
    </row>
    <row r="954" spans="1:14" s="15" customFormat="1" ht="11.25" x14ac:dyDescent="0.2">
      <c r="A954" s="168">
        <f t="shared" si="185"/>
        <v>84</v>
      </c>
      <c r="B954" s="70">
        <f t="shared" si="186"/>
        <v>79</v>
      </c>
      <c r="C954" s="345">
        <f>IF(OR((A954&gt;'10. ExpensesData'!$F$89), (A954&lt;'10. ExpensesData'!$F$83)), 0,    IF(B954&gt;'1. AgeData'!$I$31,$K$923,IF(A954&gt;$L$919,$J$919,$G$919)) * POWER( (1+'10. ExpensesData'!$H$74), (A954 - A$930)))</f>
        <v>39889.243786985578</v>
      </c>
      <c r="D954" s="1440">
        <f>IF(OR((B954&gt;'10. ExpensesData'!$F$91), (B954&lt;'10. ExpensesData'!$F$85)), 0,    IF(A954&gt;'1. AgeData'!$I$30,$K$923,$G$920) * POWER( (1+'10. ExpensesData'!$H$74), (B954 - B$930)))</f>
        <v>46644.680234781525</v>
      </c>
      <c r="E954" s="199">
        <f>IF('S. Setup'!$J$63="yes",'10. ExpensesData'!C488,0)</f>
        <v>0</v>
      </c>
      <c r="F954" s="892">
        <f>IF('S. Setup'!$J$63="yes",'10. ExpensesData'!D488,0)</f>
        <v>0</v>
      </c>
      <c r="G954" s="199">
        <f t="shared" si="183"/>
        <v>39889.243786985578</v>
      </c>
      <c r="H954" s="73">
        <f t="shared" si="184"/>
        <v>46644.680234781525</v>
      </c>
      <c r="I954" s="428">
        <f t="shared" si="182"/>
        <v>86533.924021767103</v>
      </c>
      <c r="K954" s="73"/>
      <c r="L954" s="73"/>
      <c r="M954" s="73"/>
      <c r="N954" s="200"/>
    </row>
    <row r="955" spans="1:14" s="15" customFormat="1" ht="11.25" x14ac:dyDescent="0.2">
      <c r="A955" s="168">
        <f t="shared" si="185"/>
        <v>85</v>
      </c>
      <c r="B955" s="70">
        <f t="shared" si="186"/>
        <v>80</v>
      </c>
      <c r="C955" s="345">
        <f>IF(OR((A955&gt;'10. ExpensesData'!$F$89), (A955&lt;'10. ExpensesData'!$F$83)), 0,    IF(B955&gt;'1. AgeData'!$I$31,$K$923,IF(A955&gt;$L$919,$J$919,$G$919)) * POWER( (1+'10. ExpensesData'!$H$74), (A955 - A$930)))</f>
        <v>40687.028662725294</v>
      </c>
      <c r="D955" s="1440">
        <f>IF(OR((B955&gt;'10. ExpensesData'!$F$91), (B955&lt;'10. ExpensesData'!$F$85)), 0,    IF(A955&gt;'1. AgeData'!$I$30,$K$923,$G$920) * POWER( (1+'10. ExpensesData'!$H$74), (B955 - B$930)))</f>
        <v>47577.573839477154</v>
      </c>
      <c r="E955" s="199">
        <f>IF('S. Setup'!$J$63="yes",'10. ExpensesData'!C489,0)</f>
        <v>0</v>
      </c>
      <c r="F955" s="892">
        <f>IF('S. Setup'!$J$63="yes",'10. ExpensesData'!D489,0)</f>
        <v>0</v>
      </c>
      <c r="G955" s="199">
        <f t="shared" si="183"/>
        <v>40687.028662725294</v>
      </c>
      <c r="H955" s="73">
        <f t="shared" si="184"/>
        <v>47577.573839477154</v>
      </c>
      <c r="I955" s="428">
        <f t="shared" si="182"/>
        <v>88264.602502202441</v>
      </c>
      <c r="K955" s="73"/>
      <c r="L955" s="73"/>
      <c r="M955" s="73"/>
      <c r="N955" s="200"/>
    </row>
    <row r="956" spans="1:14" s="15" customFormat="1" ht="11.25" x14ac:dyDescent="0.2">
      <c r="A956" s="168">
        <f t="shared" si="185"/>
        <v>86</v>
      </c>
      <c r="B956" s="70">
        <f t="shared" si="186"/>
        <v>81</v>
      </c>
      <c r="C956" s="345">
        <f>IF(OR((A956&gt;'10. ExpensesData'!$F$89), (A956&lt;'10. ExpensesData'!$F$83)), 0,    IF(B956&gt;'1. AgeData'!$I$31,$K$923,IF(A956&gt;$L$919,$J$919,$G$919)) * POWER( (1+'10. ExpensesData'!$H$74), (A956 - A$930)))</f>
        <v>0</v>
      </c>
      <c r="D956" s="1440">
        <f>IF(OR((B956&gt;'10. ExpensesData'!$F$91), (B956&lt;'10. ExpensesData'!$F$85)), 0,    IF(A956&gt;'1. AgeData'!$I$30,$K$923,$G$920) * POWER( (1+'10. ExpensesData'!$H$74), (B956 - B$930)))</f>
        <v>60243.052116744875</v>
      </c>
      <c r="E956" s="199">
        <f>IF('S. Setup'!$J$63="yes",'10. ExpensesData'!C490,0)</f>
        <v>0</v>
      </c>
      <c r="F956" s="892">
        <f>IF('S. Setup'!$J$63="yes",'10. ExpensesData'!D490,0)</f>
        <v>0</v>
      </c>
      <c r="G956" s="199">
        <f t="shared" si="183"/>
        <v>0</v>
      </c>
      <c r="H956" s="73">
        <f t="shared" si="184"/>
        <v>60243.052116744875</v>
      </c>
      <c r="I956" s="428">
        <f t="shared" si="182"/>
        <v>60243.052116744875</v>
      </c>
      <c r="K956" s="73"/>
      <c r="L956" s="73"/>
      <c r="M956" s="73"/>
      <c r="N956" s="200"/>
    </row>
    <row r="957" spans="1:14" s="15" customFormat="1" ht="11.25" x14ac:dyDescent="0.2">
      <c r="A957" s="168">
        <f t="shared" si="185"/>
        <v>87</v>
      </c>
      <c r="B957" s="70">
        <f t="shared" si="186"/>
        <v>82</v>
      </c>
      <c r="C957" s="345">
        <f>IF(OR((A957&gt;'10. ExpensesData'!$F$89), (A957&lt;'10. ExpensesData'!$F$83)), 0,    IF(B957&gt;'1. AgeData'!$I$31,$K$923,IF(A957&gt;$L$919,$J$919,$G$919)) * POWER( (1+'10. ExpensesData'!$H$74), (A957 - A$930)))</f>
        <v>0</v>
      </c>
      <c r="D957" s="1440">
        <f>IF(OR((B957&gt;'10. ExpensesData'!$F$91), (B957&lt;'10. ExpensesData'!$F$85)), 0,    IF(A957&gt;'1. AgeData'!$I$30,$K$923,$G$920) * POWER( (1+'10. ExpensesData'!$H$74), (B957 - B$930)))</f>
        <v>61447.913159079762</v>
      </c>
      <c r="E957" s="199">
        <f>IF('S. Setup'!$J$63="yes",'10. ExpensesData'!C491,0)</f>
        <v>0</v>
      </c>
      <c r="F957" s="892">
        <f>IF('S. Setup'!$J$63="yes",'10. ExpensesData'!D491,0)</f>
        <v>0</v>
      </c>
      <c r="G957" s="199">
        <f t="shared" si="183"/>
        <v>0</v>
      </c>
      <c r="H957" s="73">
        <f t="shared" si="184"/>
        <v>61447.913159079762</v>
      </c>
      <c r="I957" s="428">
        <f t="shared" si="182"/>
        <v>61447.913159079762</v>
      </c>
      <c r="K957" s="73"/>
      <c r="L957" s="73"/>
      <c r="M957" s="73"/>
      <c r="N957" s="200"/>
    </row>
    <row r="958" spans="1:14" s="15" customFormat="1" ht="11.25" x14ac:dyDescent="0.2">
      <c r="A958" s="168">
        <f t="shared" si="185"/>
        <v>88</v>
      </c>
      <c r="B958" s="70">
        <f t="shared" si="186"/>
        <v>83</v>
      </c>
      <c r="C958" s="345">
        <f>IF(OR((A958&gt;'10. ExpensesData'!$F$89), (A958&lt;'10. ExpensesData'!$F$83)), 0,    IF(B958&gt;'1. AgeData'!$I$31,$K$923,IF(A958&gt;$L$919,$J$919,$G$919)) * POWER( (1+'10. ExpensesData'!$H$74), (A958 - A$930)))</f>
        <v>0</v>
      </c>
      <c r="D958" s="1440">
        <f>IF(OR((B958&gt;'10. ExpensesData'!$F$91), (B958&lt;'10. ExpensesData'!$F$85)), 0,    IF(A958&gt;'1. AgeData'!$I$30,$K$923,$G$920) * POWER( (1+'10. ExpensesData'!$H$74), (B958 - B$930)))</f>
        <v>62676.871422261371</v>
      </c>
      <c r="E958" s="199">
        <f>IF('S. Setup'!$J$63="yes",'10. ExpensesData'!C492,0)</f>
        <v>0</v>
      </c>
      <c r="F958" s="892">
        <f>IF('S. Setup'!$J$63="yes",'10. ExpensesData'!D492,0)</f>
        <v>0</v>
      </c>
      <c r="G958" s="199">
        <f t="shared" si="183"/>
        <v>0</v>
      </c>
      <c r="H958" s="73">
        <f t="shared" si="184"/>
        <v>62676.871422261371</v>
      </c>
      <c r="I958" s="428">
        <f t="shared" si="182"/>
        <v>62676.871422261371</v>
      </c>
      <c r="K958" s="73"/>
      <c r="L958" s="73"/>
      <c r="M958" s="73"/>
      <c r="N958" s="200"/>
    </row>
    <row r="959" spans="1:14" s="15" customFormat="1" ht="11.25" x14ac:dyDescent="0.2">
      <c r="A959" s="168">
        <f t="shared" si="185"/>
        <v>89</v>
      </c>
      <c r="B959" s="70">
        <f t="shared" si="186"/>
        <v>84</v>
      </c>
      <c r="C959" s="345">
        <f>IF(OR((A959&gt;'10. ExpensesData'!$F$89), (A959&lt;'10. ExpensesData'!$F$83)), 0,    IF(B959&gt;'1. AgeData'!$I$31,$K$923,IF(A959&gt;$L$919,$J$919,$G$919)) * POWER( (1+'10. ExpensesData'!$H$74), (A959 - A$930)))</f>
        <v>0</v>
      </c>
      <c r="D959" s="1440">
        <f>IF(OR((B959&gt;'10. ExpensesData'!$F$91), (B959&lt;'10. ExpensesData'!$F$85)), 0,    IF(A959&gt;'1. AgeData'!$I$30,$K$923,$G$920) * POWER( (1+'10. ExpensesData'!$H$74), (B959 - B$930)))</f>
        <v>63930.40885070659</v>
      </c>
      <c r="E959" s="199">
        <f>IF('S. Setup'!$J$63="yes",'10. ExpensesData'!C493,0)</f>
        <v>0</v>
      </c>
      <c r="F959" s="892">
        <f>IF('S. Setup'!$J$63="yes",'10. ExpensesData'!D493,0)</f>
        <v>0</v>
      </c>
      <c r="G959" s="199">
        <f t="shared" si="183"/>
        <v>0</v>
      </c>
      <c r="H959" s="73">
        <f t="shared" si="184"/>
        <v>63930.40885070659</v>
      </c>
      <c r="I959" s="428">
        <f t="shared" si="182"/>
        <v>63930.40885070659</v>
      </c>
      <c r="K959" s="73"/>
      <c r="L959" s="73"/>
      <c r="M959" s="73"/>
      <c r="N959" s="200"/>
    </row>
    <row r="960" spans="1:14" s="15" customFormat="1" ht="11.25" x14ac:dyDescent="0.2">
      <c r="A960" s="168">
        <f t="shared" si="185"/>
        <v>90</v>
      </c>
      <c r="B960" s="70">
        <f t="shared" si="186"/>
        <v>85</v>
      </c>
      <c r="C960" s="345">
        <f>IF(OR((A960&gt;'10. ExpensesData'!$F$89), (A960&lt;'10. ExpensesData'!$F$83)), 0,    IF(B960&gt;'1. AgeData'!$I$31,$K$923,IF(A960&gt;$L$919,$J$919,$G$919)) * POWER( (1+'10. ExpensesData'!$H$74), (A960 - A$930)))</f>
        <v>0</v>
      </c>
      <c r="D960" s="1440">
        <f>IF(OR((B960&gt;'10. ExpensesData'!$F$91), (B960&lt;'10. ExpensesData'!$F$85)), 0,    IF(A960&gt;'1. AgeData'!$I$30,$K$923,$G$920) * POWER( (1+'10. ExpensesData'!$H$74), (B960 - B$930)))</f>
        <v>65209.017027720722</v>
      </c>
      <c r="E960" s="199">
        <f>IF('S. Setup'!$J$63="yes",'10. ExpensesData'!C494,0)</f>
        <v>0</v>
      </c>
      <c r="F960" s="892">
        <f>IF('S. Setup'!$J$63="yes",'10. ExpensesData'!D494,0)</f>
        <v>0</v>
      </c>
      <c r="G960" s="199">
        <f t="shared" si="183"/>
        <v>0</v>
      </c>
      <c r="H960" s="73">
        <f t="shared" si="184"/>
        <v>65209.017027720722</v>
      </c>
      <c r="I960" s="428">
        <f t="shared" si="182"/>
        <v>65209.017027720722</v>
      </c>
      <c r="K960" s="73"/>
      <c r="L960" s="73"/>
      <c r="M960" s="73"/>
      <c r="N960" s="200"/>
    </row>
    <row r="961" spans="1:14" s="15" customFormat="1" ht="11.25" x14ac:dyDescent="0.2">
      <c r="A961" s="168">
        <f t="shared" si="185"/>
        <v>91</v>
      </c>
      <c r="B961" s="70">
        <f t="shared" si="186"/>
        <v>86</v>
      </c>
      <c r="C961" s="345">
        <f>IF(OR((A961&gt;'10. ExpensesData'!$F$89), (A961&lt;'10. ExpensesData'!$F$83)), 0,    IF(B961&gt;'1. AgeData'!$I$31,$K$923,IF(A961&gt;$L$919,$J$919,$G$919)) * POWER( (1+'10. ExpensesData'!$H$74), (A961 - A$930)))</f>
        <v>0</v>
      </c>
      <c r="D961" s="1440">
        <f>IF(OR((B961&gt;'10. ExpensesData'!$F$91), (B961&lt;'10. ExpensesData'!$F$85)), 0,    IF(A961&gt;'1. AgeData'!$I$30,$K$923,$G$920) * POWER( (1+'10. ExpensesData'!$H$74), (B961 - B$930)))</f>
        <v>66513.197368275127</v>
      </c>
      <c r="E961" s="199">
        <f>IF('S. Setup'!$J$63="yes",'10. ExpensesData'!C495,0)</f>
        <v>0</v>
      </c>
      <c r="F961" s="892">
        <f>IF('S. Setup'!$J$63="yes",'10. ExpensesData'!D495,0)</f>
        <v>0</v>
      </c>
      <c r="G961" s="199">
        <f t="shared" si="183"/>
        <v>0</v>
      </c>
      <c r="H961" s="73">
        <f t="shared" si="184"/>
        <v>66513.197368275127</v>
      </c>
      <c r="I961" s="428">
        <f t="shared" si="182"/>
        <v>66513.197368275127</v>
      </c>
      <c r="K961" s="73"/>
      <c r="L961" s="73"/>
      <c r="M961" s="73"/>
      <c r="N961" s="200"/>
    </row>
    <row r="962" spans="1:14" s="15" customFormat="1" ht="11.25" x14ac:dyDescent="0.2">
      <c r="A962" s="168">
        <f t="shared" si="185"/>
        <v>92</v>
      </c>
      <c r="B962" s="70">
        <f t="shared" si="186"/>
        <v>87</v>
      </c>
      <c r="C962" s="345">
        <f>IF(OR((A962&gt;'10. ExpensesData'!$F$89), (A962&lt;'10. ExpensesData'!$F$83)), 0,    IF(B962&gt;'1. AgeData'!$I$31,$K$923,IF(A962&gt;$L$919,$J$919,$G$919)) * POWER( (1+'10. ExpensesData'!$H$74), (A962 - A$930)))</f>
        <v>0</v>
      </c>
      <c r="D962" s="1440">
        <f>IF(OR((B962&gt;'10. ExpensesData'!$F$91), (B962&lt;'10. ExpensesData'!$F$85)), 0,    IF(A962&gt;'1. AgeData'!$I$30,$K$923,$G$920) * POWER( (1+'10. ExpensesData'!$H$74), (B962 - B$930)))</f>
        <v>67843.461315640641</v>
      </c>
      <c r="E962" s="199">
        <f>IF('S. Setup'!$J$63="yes",'10. ExpensesData'!C496,0)</f>
        <v>0</v>
      </c>
      <c r="F962" s="892">
        <f>IF('S. Setup'!$J$63="yes",'10. ExpensesData'!D496,0)</f>
        <v>0</v>
      </c>
      <c r="G962" s="199">
        <f t="shared" si="183"/>
        <v>0</v>
      </c>
      <c r="H962" s="73">
        <f t="shared" si="184"/>
        <v>67843.461315640641</v>
      </c>
      <c r="I962" s="428">
        <f t="shared" si="182"/>
        <v>67843.461315640641</v>
      </c>
      <c r="K962" s="73"/>
      <c r="L962" s="73"/>
      <c r="M962" s="73"/>
      <c r="N962" s="200"/>
    </row>
    <row r="963" spans="1:14" s="15" customFormat="1" ht="11.25" x14ac:dyDescent="0.2">
      <c r="A963" s="168">
        <f t="shared" si="185"/>
        <v>93</v>
      </c>
      <c r="B963" s="70">
        <f t="shared" si="186"/>
        <v>88</v>
      </c>
      <c r="C963" s="345">
        <f>IF(OR((A963&gt;'10. ExpensesData'!$F$89), (A963&lt;'10. ExpensesData'!$F$83)), 0,    IF(B963&gt;'1. AgeData'!$I$31,$K$923,IF(A963&gt;$L$919,$J$919,$G$919)) * POWER( (1+'10. ExpensesData'!$H$74), (A963 - A$930)))</f>
        <v>0</v>
      </c>
      <c r="D963" s="1440">
        <f>IF(OR((B963&gt;'10. ExpensesData'!$F$91), (B963&lt;'10. ExpensesData'!$F$85)), 0,    IF(A963&gt;'1. AgeData'!$I$30,$K$923,$G$920) * POWER( (1+'10. ExpensesData'!$H$74), (B963 - B$930)))</f>
        <v>0</v>
      </c>
      <c r="E963" s="199">
        <f>IF('S. Setup'!$J$63="yes",'10. ExpensesData'!C497,0)</f>
        <v>0</v>
      </c>
      <c r="F963" s="892">
        <f>IF('S. Setup'!$J$63="yes",'10. ExpensesData'!D497,0)</f>
        <v>0</v>
      </c>
      <c r="G963" s="199">
        <f t="shared" si="183"/>
        <v>0</v>
      </c>
      <c r="H963" s="73">
        <f t="shared" si="184"/>
        <v>0</v>
      </c>
      <c r="I963" s="428">
        <f t="shared" si="182"/>
        <v>0</v>
      </c>
      <c r="K963" s="73"/>
      <c r="L963" s="73"/>
      <c r="M963" s="73"/>
      <c r="N963" s="200"/>
    </row>
    <row r="964" spans="1:14" s="15" customFormat="1" ht="11.25" x14ac:dyDescent="0.2">
      <c r="A964" s="168">
        <f t="shared" si="185"/>
        <v>94</v>
      </c>
      <c r="B964" s="70">
        <f t="shared" si="186"/>
        <v>89</v>
      </c>
      <c r="C964" s="345">
        <f>IF(OR((A964&gt;'10. ExpensesData'!$F$89), (A964&lt;'10. ExpensesData'!$F$83)), 0,    IF(B964&gt;'1. AgeData'!$I$31,$K$923,IF(A964&gt;$L$919,$J$919,$G$919)) * POWER( (1+'10. ExpensesData'!$H$74), (A964 - A$930)))</f>
        <v>0</v>
      </c>
      <c r="D964" s="1440">
        <f>IF(OR((B964&gt;'10. ExpensesData'!$F$91), (B964&lt;'10. ExpensesData'!$F$85)), 0,    IF(A964&gt;'1. AgeData'!$I$30,$K$923,$G$920) * POWER( (1+'10. ExpensesData'!$H$74), (B964 - B$930)))</f>
        <v>0</v>
      </c>
      <c r="E964" s="199">
        <f>IF('S. Setup'!$J$63="yes",'10. ExpensesData'!C498,0)</f>
        <v>0</v>
      </c>
      <c r="F964" s="892">
        <f>IF('S. Setup'!$J$63="yes",'10. ExpensesData'!D498,0)</f>
        <v>0</v>
      </c>
      <c r="G964" s="199">
        <f t="shared" si="183"/>
        <v>0</v>
      </c>
      <c r="H964" s="73">
        <f t="shared" si="184"/>
        <v>0</v>
      </c>
      <c r="I964" s="428">
        <f t="shared" si="182"/>
        <v>0</v>
      </c>
      <c r="K964" s="73"/>
      <c r="L964" s="73"/>
      <c r="M964" s="73"/>
      <c r="N964" s="200"/>
    </row>
    <row r="965" spans="1:14" s="15" customFormat="1" ht="11.25" x14ac:dyDescent="0.2">
      <c r="A965" s="168">
        <f t="shared" si="185"/>
        <v>95</v>
      </c>
      <c r="B965" s="70">
        <f t="shared" si="186"/>
        <v>90</v>
      </c>
      <c r="C965" s="345">
        <f>IF(OR((A965&gt;'10. ExpensesData'!$F$89), (A965&lt;'10. ExpensesData'!$F$83)), 0,    IF(B965&gt;'1. AgeData'!$I$31,$K$923,IF(A965&gt;$L$919,$J$919,$G$919)) * POWER( (1+'10. ExpensesData'!$H$74), (A965 - A$930)))</f>
        <v>0</v>
      </c>
      <c r="D965" s="1440">
        <f>IF(OR((B965&gt;'10. ExpensesData'!$F$91), (B965&lt;'10. ExpensesData'!$F$85)), 0,    IF(A965&gt;'1. AgeData'!$I$30,$K$923,$G$920) * POWER( (1+'10. ExpensesData'!$H$74), (B965 - B$930)))</f>
        <v>0</v>
      </c>
      <c r="E965" s="199">
        <f>IF('S. Setup'!$J$63="yes",'10. ExpensesData'!C499,0)</f>
        <v>0</v>
      </c>
      <c r="F965" s="892">
        <f>IF('S. Setup'!$J$63="yes",'10. ExpensesData'!D499,0)</f>
        <v>0</v>
      </c>
      <c r="G965" s="199">
        <f t="shared" si="183"/>
        <v>0</v>
      </c>
      <c r="H965" s="73">
        <f t="shared" si="184"/>
        <v>0</v>
      </c>
      <c r="I965" s="428">
        <f t="shared" si="182"/>
        <v>0</v>
      </c>
      <c r="K965" s="73"/>
      <c r="L965" s="73"/>
      <c r="M965" s="73"/>
      <c r="N965" s="200"/>
    </row>
    <row r="966" spans="1:14" s="15" customFormat="1" ht="12" thickBot="1" x14ac:dyDescent="0.25">
      <c r="A966" s="202">
        <f t="shared" si="185"/>
        <v>96</v>
      </c>
      <c r="B966" s="232">
        <f t="shared" si="186"/>
        <v>91</v>
      </c>
      <c r="C966" s="2096">
        <f>IF(OR((A966&gt;'10. ExpensesData'!$F$89), (A966&lt;'10. ExpensesData'!$F$83)), 0,    IF(B966&gt;'1. AgeData'!$I$31,$K$923,IF(A966&gt;$L$919,$J$919,$G$919)) * POWER( (1+'10. ExpensesData'!$H$74), (A966 - A$930)))</f>
        <v>0</v>
      </c>
      <c r="D966" s="2097">
        <f>IF(OR((B966&gt;'10. ExpensesData'!$F$91), (B966&lt;'10. ExpensesData'!$F$85)), 0,    IF(A966&gt;'1. AgeData'!$I$30,$K$923,$G$920) * POWER( (1+'10. ExpensesData'!$H$74), (B966 - B$930)))</f>
        <v>0</v>
      </c>
      <c r="E966" s="205">
        <f>IF('S. Setup'!$J$63="yes",'10. ExpensesData'!C500,0)</f>
        <v>0</v>
      </c>
      <c r="F966" s="893">
        <f>IF('S. Setup'!$J$63="yes",'10. ExpensesData'!D500,0)</f>
        <v>0</v>
      </c>
      <c r="G966" s="205">
        <f t="shared" si="183"/>
        <v>0</v>
      </c>
      <c r="H966" s="229">
        <f t="shared" si="184"/>
        <v>0</v>
      </c>
      <c r="I966" s="429">
        <f t="shared" si="182"/>
        <v>0</v>
      </c>
      <c r="J966" s="527"/>
      <c r="K966" s="229"/>
      <c r="L966" s="229"/>
      <c r="M966" s="229"/>
      <c r="N966" s="234"/>
    </row>
    <row r="967" spans="1:14" s="15" customFormat="1" ht="12" thickTop="1" x14ac:dyDescent="0.2">
      <c r="N967" s="2024"/>
    </row>
    <row r="968" spans="1:14" s="15" customFormat="1" ht="12" thickBot="1" x14ac:dyDescent="0.25">
      <c r="N968" s="2023"/>
    </row>
    <row r="969" spans="1:14" s="15" customFormat="1" ht="19.5" thickTop="1" x14ac:dyDescent="0.3">
      <c r="A969" s="1340" t="s">
        <v>1624</v>
      </c>
      <c r="B969" s="1341"/>
      <c r="C969" s="1976"/>
      <c r="D969" s="1976"/>
      <c r="E969" s="1977"/>
      <c r="F969" s="1978"/>
      <c r="G969" s="1979"/>
      <c r="H969" s="1980"/>
      <c r="I969" s="1981"/>
      <c r="J969" s="1981"/>
      <c r="K969" s="1982"/>
      <c r="L969" s="1983"/>
      <c r="M969" s="1635"/>
      <c r="N969" s="1342"/>
    </row>
    <row r="970" spans="1:14" s="15" customFormat="1" ht="18" x14ac:dyDescent="0.25">
      <c r="A970" s="1416" t="s">
        <v>1623</v>
      </c>
      <c r="B970" s="6"/>
      <c r="C970" s="170"/>
      <c r="D970" s="170"/>
      <c r="E970" s="171"/>
      <c r="F970" s="172"/>
      <c r="G970" s="173"/>
      <c r="H970" s="174"/>
      <c r="I970" s="75"/>
      <c r="J970" s="75"/>
      <c r="K970" s="130"/>
      <c r="L970" s="175"/>
      <c r="M970" s="33"/>
      <c r="N970" s="1311"/>
    </row>
    <row r="971" spans="1:14" s="15" customFormat="1" ht="18" x14ac:dyDescent="0.25">
      <c r="A971" s="1416" t="s">
        <v>1546</v>
      </c>
      <c r="B971" s="6"/>
      <c r="C971" s="170"/>
      <c r="D971" s="170"/>
      <c r="E971" s="171"/>
      <c r="F971" s="172"/>
      <c r="G971" s="173"/>
      <c r="H971" s="174"/>
      <c r="I971" s="75"/>
      <c r="J971" s="75"/>
      <c r="K971" s="130"/>
      <c r="L971" s="175"/>
      <c r="M971" s="33"/>
      <c r="N971" s="1311"/>
    </row>
    <row r="972" spans="1:14" s="15" customFormat="1" ht="11.25" x14ac:dyDescent="0.2">
      <c r="A972" s="2019"/>
      <c r="B972" s="108"/>
      <c r="C972" s="108"/>
      <c r="D972" s="108"/>
      <c r="E972" s="108"/>
      <c r="F972" s="108"/>
      <c r="G972" s="108"/>
      <c r="H972" s="108"/>
      <c r="I972" s="108"/>
      <c r="J972" s="108"/>
      <c r="K972" s="108"/>
      <c r="L972" s="108"/>
      <c r="M972" s="108"/>
      <c r="N972" s="2020"/>
    </row>
    <row r="973" spans="1:14" s="15" customFormat="1" ht="11.25" x14ac:dyDescent="0.2">
      <c r="A973" s="2019"/>
      <c r="B973" s="108"/>
      <c r="C973" s="108"/>
      <c r="D973" s="108"/>
      <c r="E973" s="108"/>
      <c r="F973" s="108"/>
      <c r="G973" s="108"/>
      <c r="H973" s="108"/>
      <c r="I973" s="108"/>
      <c r="J973" s="108"/>
      <c r="K973" s="108"/>
      <c r="L973" s="108"/>
      <c r="M973" s="108"/>
      <c r="N973" s="2020"/>
    </row>
    <row r="974" spans="1:14" s="15" customFormat="1" ht="11.25" x14ac:dyDescent="0.2">
      <c r="A974" s="2019"/>
      <c r="B974" s="108"/>
      <c r="C974" s="108"/>
      <c r="D974" s="108"/>
      <c r="E974" s="108"/>
      <c r="F974" s="108"/>
      <c r="G974" s="108"/>
      <c r="H974" s="108"/>
      <c r="I974" s="108"/>
      <c r="J974" s="108"/>
      <c r="K974" s="108"/>
      <c r="L974" s="108"/>
      <c r="M974" s="108"/>
      <c r="N974" s="2020"/>
    </row>
    <row r="975" spans="1:14" s="15" customFormat="1" ht="11.25" x14ac:dyDescent="0.2">
      <c r="A975" s="2019"/>
      <c r="B975" s="108"/>
      <c r="C975" s="108"/>
      <c r="D975" s="108"/>
      <c r="E975" s="108"/>
      <c r="F975" s="108"/>
      <c r="G975" s="108"/>
      <c r="H975" s="108"/>
      <c r="I975" s="108"/>
      <c r="J975" s="108"/>
      <c r="K975" s="108"/>
      <c r="L975" s="108"/>
      <c r="M975" s="108"/>
      <c r="N975" s="2020"/>
    </row>
    <row r="976" spans="1:14" s="15" customFormat="1" ht="11.25" x14ac:dyDescent="0.2">
      <c r="A976" s="2019"/>
      <c r="B976" s="108"/>
      <c r="C976" s="108"/>
      <c r="D976" s="108"/>
      <c r="E976" s="108"/>
      <c r="F976" s="108"/>
      <c r="G976" s="108"/>
      <c r="H976" s="108"/>
      <c r="I976" s="108"/>
      <c r="J976" s="108"/>
      <c r="K976" s="108"/>
      <c r="L976" s="108"/>
      <c r="M976" s="108"/>
      <c r="N976" s="2020"/>
    </row>
    <row r="977" spans="1:14" s="15" customFormat="1" ht="11.25" x14ac:dyDescent="0.2">
      <c r="A977" s="2019"/>
      <c r="B977" s="108"/>
      <c r="C977" s="108"/>
      <c r="D977" s="108"/>
      <c r="E977" s="108"/>
      <c r="F977" s="108"/>
      <c r="G977" s="108"/>
      <c r="H977" s="108"/>
      <c r="I977" s="108"/>
      <c r="J977" s="108"/>
      <c r="K977" s="108"/>
      <c r="L977" s="108"/>
      <c r="M977" s="108"/>
      <c r="N977" s="2020"/>
    </row>
    <row r="978" spans="1:14" s="15" customFormat="1" ht="11.25" x14ac:dyDescent="0.2">
      <c r="A978" s="2019"/>
      <c r="B978" s="108"/>
      <c r="C978" s="108"/>
      <c r="D978" s="108"/>
      <c r="E978" s="108"/>
      <c r="F978" s="108"/>
      <c r="G978" s="108"/>
      <c r="H978" s="108"/>
      <c r="I978" s="108"/>
      <c r="J978" s="108"/>
      <c r="K978" s="108"/>
      <c r="L978" s="108"/>
      <c r="M978" s="108"/>
      <c r="N978" s="2020"/>
    </row>
    <row r="979" spans="1:14" s="15" customFormat="1" ht="11.25" x14ac:dyDescent="0.2">
      <c r="A979" s="2019"/>
      <c r="B979" s="108"/>
      <c r="C979" s="108"/>
      <c r="D979" s="108"/>
      <c r="E979" s="108"/>
      <c r="F979" s="108"/>
      <c r="G979" s="108"/>
      <c r="H979" s="108"/>
      <c r="I979" s="108"/>
      <c r="J979" s="108"/>
      <c r="K979" s="108"/>
      <c r="L979" s="108"/>
      <c r="M979" s="108"/>
      <c r="N979" s="2020"/>
    </row>
    <row r="980" spans="1:14" s="15" customFormat="1" ht="11.25" x14ac:dyDescent="0.2">
      <c r="A980" s="2019"/>
      <c r="B980" s="108"/>
      <c r="C980" s="108"/>
      <c r="D980" s="108"/>
      <c r="E980" s="108"/>
      <c r="F980" s="108"/>
      <c r="G980" s="108"/>
      <c r="H980" s="108"/>
      <c r="I980" s="108"/>
      <c r="J980" s="108"/>
      <c r="K980" s="108"/>
      <c r="L980" s="108"/>
      <c r="M980" s="108"/>
      <c r="N980" s="2020"/>
    </row>
    <row r="981" spans="1:14" s="15" customFormat="1" ht="11.25" x14ac:dyDescent="0.2">
      <c r="A981" s="2019"/>
      <c r="B981" s="108"/>
      <c r="C981" s="108"/>
      <c r="D981" s="108"/>
      <c r="E981" s="108"/>
      <c r="F981" s="108"/>
      <c r="G981" s="108"/>
      <c r="H981" s="108"/>
      <c r="I981" s="108"/>
      <c r="J981" s="108"/>
      <c r="K981" s="108"/>
      <c r="L981" s="108"/>
      <c r="M981" s="108"/>
      <c r="N981" s="2020"/>
    </row>
    <row r="982" spans="1:14" s="15" customFormat="1" ht="11.25" x14ac:dyDescent="0.2">
      <c r="A982" s="2019"/>
      <c r="B982" s="108"/>
      <c r="C982" s="108"/>
      <c r="D982" s="108"/>
      <c r="E982" s="108"/>
      <c r="F982" s="108"/>
      <c r="G982" s="108"/>
      <c r="H982" s="108"/>
      <c r="I982" s="108"/>
      <c r="J982" s="108"/>
      <c r="K982" s="108"/>
      <c r="L982" s="108"/>
      <c r="M982" s="108"/>
      <c r="N982" s="2020"/>
    </row>
    <row r="983" spans="1:14" s="15" customFormat="1" ht="11.25" x14ac:dyDescent="0.2">
      <c r="A983" s="2019"/>
      <c r="B983" s="108"/>
      <c r="C983" s="108"/>
      <c r="D983" s="108"/>
      <c r="E983" s="108"/>
      <c r="F983" s="108"/>
      <c r="G983" s="108"/>
      <c r="H983" s="108"/>
      <c r="I983" s="108"/>
      <c r="J983" s="108"/>
      <c r="K983" s="108"/>
      <c r="L983" s="108"/>
      <c r="M983" s="108"/>
      <c r="N983" s="2020"/>
    </row>
    <row r="984" spans="1:14" s="15" customFormat="1" ht="11.25" x14ac:dyDescent="0.2">
      <c r="A984" s="2019"/>
      <c r="B984" s="108"/>
      <c r="C984" s="108"/>
      <c r="D984" s="108"/>
      <c r="E984" s="108"/>
      <c r="F984" s="108"/>
      <c r="G984" s="108"/>
      <c r="H984" s="108"/>
      <c r="I984" s="108"/>
      <c r="J984" s="108"/>
      <c r="K984" s="108"/>
      <c r="L984" s="108"/>
      <c r="M984" s="108"/>
      <c r="N984" s="2020"/>
    </row>
    <row r="985" spans="1:14" s="15" customFormat="1" ht="11.25" x14ac:dyDescent="0.2">
      <c r="A985" s="2019"/>
      <c r="B985" s="108"/>
      <c r="C985" s="108"/>
      <c r="D985" s="108"/>
      <c r="E985" s="108"/>
      <c r="F985" s="108"/>
      <c r="G985" s="108"/>
      <c r="H985" s="108"/>
      <c r="I985" s="108"/>
      <c r="J985" s="108"/>
      <c r="K985" s="108"/>
      <c r="L985" s="108"/>
      <c r="M985" s="108"/>
      <c r="N985" s="2020"/>
    </row>
    <row r="986" spans="1:14" s="15" customFormat="1" ht="11.25" x14ac:dyDescent="0.2">
      <c r="A986" s="2019"/>
      <c r="B986" s="108"/>
      <c r="C986" s="108"/>
      <c r="D986" s="108"/>
      <c r="E986" s="108"/>
      <c r="F986" s="108"/>
      <c r="G986" s="108"/>
      <c r="H986" s="108"/>
      <c r="I986" s="108"/>
      <c r="J986" s="108"/>
      <c r="K986" s="108"/>
      <c r="L986" s="108"/>
      <c r="M986" s="108"/>
      <c r="N986" s="2020"/>
    </row>
    <row r="987" spans="1:14" s="15" customFormat="1" ht="11.25" x14ac:dyDescent="0.2">
      <c r="A987" s="2019"/>
      <c r="B987" s="108"/>
      <c r="C987" s="108"/>
      <c r="D987" s="108"/>
      <c r="E987" s="108"/>
      <c r="F987" s="108"/>
      <c r="G987" s="108"/>
      <c r="H987" s="108"/>
      <c r="I987" s="108"/>
      <c r="J987" s="108"/>
      <c r="K987" s="108"/>
      <c r="L987" s="108"/>
      <c r="M987" s="108"/>
      <c r="N987" s="2020"/>
    </row>
    <row r="988" spans="1:14" s="15" customFormat="1" ht="11.25" x14ac:dyDescent="0.2">
      <c r="A988" s="2019"/>
      <c r="B988" s="108"/>
      <c r="C988" s="108"/>
      <c r="D988" s="108"/>
      <c r="E988" s="108"/>
      <c r="F988" s="108"/>
      <c r="G988" s="108"/>
      <c r="H988" s="108"/>
      <c r="I988" s="108"/>
      <c r="J988" s="108"/>
      <c r="K988" s="108"/>
      <c r="L988" s="108"/>
      <c r="M988" s="108"/>
      <c r="N988" s="2020"/>
    </row>
    <row r="989" spans="1:14" s="15" customFormat="1" ht="11.25" x14ac:dyDescent="0.2">
      <c r="A989" s="2019"/>
      <c r="B989" s="108"/>
      <c r="C989" s="108"/>
      <c r="D989" s="108"/>
      <c r="E989" s="108"/>
      <c r="F989" s="108"/>
      <c r="G989" s="108"/>
      <c r="H989" s="108"/>
      <c r="I989" s="108"/>
      <c r="J989" s="108"/>
      <c r="K989" s="108"/>
      <c r="L989" s="108"/>
      <c r="M989" s="108"/>
      <c r="N989" s="2020"/>
    </row>
    <row r="990" spans="1:14" s="15" customFormat="1" ht="11.25" x14ac:dyDescent="0.2">
      <c r="A990" s="2019"/>
      <c r="B990" s="108"/>
      <c r="C990" s="108"/>
      <c r="D990" s="108"/>
      <c r="E990" s="108"/>
      <c r="F990" s="108"/>
      <c r="G990" s="108"/>
      <c r="H990" s="108"/>
      <c r="I990" s="108"/>
      <c r="J990" s="108"/>
      <c r="K990" s="108"/>
      <c r="L990" s="108"/>
      <c r="M990" s="108"/>
      <c r="N990" s="2020"/>
    </row>
    <row r="991" spans="1:14" s="15" customFormat="1" ht="11.25" x14ac:dyDescent="0.2">
      <c r="A991" s="2019"/>
      <c r="B991" s="108"/>
      <c r="C991" s="108"/>
      <c r="D991" s="108"/>
      <c r="E991" s="108"/>
      <c r="F991" s="108"/>
      <c r="G991" s="108"/>
      <c r="H991" s="108"/>
      <c r="I991" s="108"/>
      <c r="J991" s="108"/>
      <c r="K991" s="108"/>
      <c r="L991" s="108"/>
      <c r="M991" s="108"/>
      <c r="N991" s="2020"/>
    </row>
    <row r="992" spans="1:14" s="15" customFormat="1" ht="11.25" x14ac:dyDescent="0.2">
      <c r="A992" s="2019"/>
      <c r="B992" s="108"/>
      <c r="C992" s="108"/>
      <c r="D992" s="108"/>
      <c r="E992" s="108"/>
      <c r="F992" s="108"/>
      <c r="G992" s="108"/>
      <c r="H992" s="108"/>
      <c r="I992" s="108"/>
      <c r="J992" s="108"/>
      <c r="K992" s="108"/>
      <c r="L992" s="108"/>
      <c r="M992" s="108"/>
      <c r="N992" s="2020"/>
    </row>
    <row r="993" spans="1:16" s="15" customFormat="1" ht="11.25" x14ac:dyDescent="0.2">
      <c r="A993" s="2019"/>
      <c r="B993" s="108"/>
      <c r="C993" s="108"/>
      <c r="D993" s="108"/>
      <c r="E993" s="108"/>
      <c r="F993" s="108"/>
      <c r="G993" s="108"/>
      <c r="H993" s="108"/>
      <c r="I993" s="108"/>
      <c r="J993" s="108"/>
      <c r="K993" s="108"/>
      <c r="L993" s="108"/>
      <c r="M993" s="108"/>
      <c r="N993" s="2020"/>
    </row>
    <row r="994" spans="1:16" s="15" customFormat="1" ht="11.25" x14ac:dyDescent="0.2">
      <c r="A994" s="2019"/>
      <c r="B994" s="108"/>
      <c r="C994" s="108"/>
      <c r="D994" s="108"/>
      <c r="E994" s="108"/>
      <c r="F994" s="108"/>
      <c r="G994" s="108"/>
      <c r="H994" s="108"/>
      <c r="I994" s="108"/>
      <c r="J994" s="108"/>
      <c r="K994" s="108"/>
      <c r="L994" s="108"/>
      <c r="M994" s="108"/>
      <c r="N994" s="2020"/>
    </row>
    <row r="995" spans="1:16" s="15" customFormat="1" ht="11.25" x14ac:dyDescent="0.2">
      <c r="A995" s="2019"/>
      <c r="B995" s="108"/>
      <c r="C995" s="108"/>
      <c r="D995" s="108"/>
      <c r="E995" s="108"/>
      <c r="F995" s="108"/>
      <c r="G995" s="108"/>
      <c r="H995" s="108"/>
      <c r="I995" s="108"/>
      <c r="J995" s="108"/>
      <c r="K995" s="108"/>
      <c r="L995" s="108"/>
      <c r="M995" s="108"/>
      <c r="N995" s="2020"/>
    </row>
    <row r="996" spans="1:16" s="15" customFormat="1" ht="12" thickBot="1" x14ac:dyDescent="0.25">
      <c r="A996" s="2021"/>
      <c r="B996" s="2022"/>
      <c r="C996" s="2022"/>
      <c r="D996" s="2022"/>
      <c r="E996" s="2022"/>
      <c r="F996" s="2022"/>
      <c r="G996" s="2022"/>
      <c r="H996" s="2022"/>
      <c r="I996" s="2022"/>
      <c r="J996" s="2022"/>
      <c r="K996" s="2022"/>
      <c r="L996" s="2022"/>
      <c r="M996" s="2022"/>
      <c r="N996" s="2023"/>
    </row>
    <row r="997" spans="1:16" s="15" customFormat="1" ht="12" thickTop="1" x14ac:dyDescent="0.2"/>
    <row r="998" spans="1:16" s="15" customFormat="1" ht="15.75" customHeight="1" x14ac:dyDescent="0.2"/>
    <row r="999" spans="1:16" s="15" customFormat="1" ht="13.5" customHeight="1" x14ac:dyDescent="0.2"/>
    <row r="1000" spans="1:16" s="15" customFormat="1" ht="12" thickBot="1" x14ac:dyDescent="0.25">
      <c r="A1000" s="70"/>
      <c r="B1000" s="70"/>
      <c r="C1000" s="73"/>
      <c r="D1000" s="71"/>
      <c r="E1000" s="71"/>
      <c r="F1000" s="73"/>
      <c r="G1000" s="71"/>
      <c r="H1000" s="71"/>
      <c r="I1000" s="73"/>
      <c r="J1000" s="105"/>
      <c r="K1000" s="73"/>
      <c r="L1000" s="106"/>
      <c r="M1000" s="107"/>
      <c r="N1000" s="73"/>
    </row>
    <row r="1001" spans="1:16" ht="19.5" thickTop="1" x14ac:dyDescent="0.3">
      <c r="A1001" s="462" t="s">
        <v>31</v>
      </c>
      <c r="B1001" s="14"/>
      <c r="C1001" s="14"/>
      <c r="D1001" s="14"/>
      <c r="E1001" s="14"/>
      <c r="F1001" s="14"/>
      <c r="G1001" s="14"/>
      <c r="H1001" s="14"/>
      <c r="I1001" s="14"/>
      <c r="J1001" s="14"/>
      <c r="K1001" s="14"/>
      <c r="L1001" s="14"/>
      <c r="M1001" s="14"/>
      <c r="N1001" s="16"/>
    </row>
    <row r="1002" spans="1:16" x14ac:dyDescent="0.25">
      <c r="A1002" s="139" t="s">
        <v>305</v>
      </c>
      <c r="B1002" s="6"/>
      <c r="C1002" s="6"/>
      <c r="D1002" s="6"/>
      <c r="E1002" s="6"/>
      <c r="F1002" s="6"/>
      <c r="G1002" s="6"/>
      <c r="H1002" s="6"/>
      <c r="I1002" s="6"/>
      <c r="J1002" s="6"/>
      <c r="K1002" s="6"/>
      <c r="L1002" s="6"/>
      <c r="M1002" s="6"/>
      <c r="N1002" s="39"/>
      <c r="P1002" s="1371"/>
    </row>
    <row r="1003" spans="1:16" x14ac:dyDescent="0.25">
      <c r="A1003" s="139" t="s">
        <v>306</v>
      </c>
      <c r="B1003" s="6"/>
      <c r="C1003" s="6"/>
      <c r="D1003" s="6"/>
      <c r="E1003" s="6"/>
      <c r="F1003" s="6"/>
      <c r="G1003" s="6"/>
      <c r="H1003" s="6"/>
      <c r="I1003" s="6"/>
      <c r="J1003" s="6"/>
      <c r="K1003" s="6"/>
      <c r="L1003" s="6"/>
      <c r="M1003" s="6"/>
      <c r="N1003" s="39"/>
      <c r="P1003" s="1371"/>
    </row>
    <row r="1004" spans="1:16" ht="19.5" thickBot="1" x14ac:dyDescent="0.35">
      <c r="A1004" s="1142"/>
      <c r="B1004" s="6"/>
      <c r="C1004" s="6"/>
      <c r="D1004" s="6"/>
      <c r="E1004" s="6"/>
      <c r="F1004" s="6"/>
      <c r="G1004" s="6"/>
      <c r="H1004" s="6"/>
      <c r="I1004" s="6"/>
      <c r="J1004" s="6"/>
      <c r="K1004" s="6"/>
      <c r="L1004" s="6"/>
      <c r="M1004" s="6"/>
      <c r="N1004" s="39"/>
    </row>
    <row r="1005" spans="1:16" ht="19.5" thickTop="1" x14ac:dyDescent="0.3">
      <c r="A1005" s="144" t="s">
        <v>977</v>
      </c>
      <c r="B1005" s="219"/>
      <c r="C1005" s="198"/>
      <c r="D1005" s="201"/>
      <c r="E1005" s="201"/>
      <c r="F1005" s="198"/>
      <c r="G1005" s="201"/>
      <c r="H1005" s="201"/>
      <c r="I1005" s="198"/>
      <c r="J1005" s="203"/>
      <c r="K1005" s="198"/>
      <c r="L1005" s="220"/>
      <c r="M1005" s="255"/>
      <c r="N1005" s="256"/>
    </row>
    <row r="1006" spans="1:16" ht="15.75" x14ac:dyDescent="0.25">
      <c r="A1006" s="1069" t="s">
        <v>307</v>
      </c>
      <c r="B1006" s="279"/>
      <c r="C1006" s="280"/>
      <c r="D1006" s="280"/>
      <c r="E1006" s="280"/>
      <c r="F1006" s="280"/>
      <c r="G1006" s="280"/>
      <c r="H1006" s="280"/>
      <c r="I1006" s="280"/>
      <c r="J1006" s="283"/>
      <c r="K1006" s="280"/>
      <c r="L1006" s="284"/>
      <c r="M1006" s="285"/>
      <c r="N1006" s="281"/>
    </row>
    <row r="1007" spans="1:16" ht="15.75" x14ac:dyDescent="0.25">
      <c r="A1007" s="1069" t="s">
        <v>512</v>
      </c>
      <c r="B1007" s="279"/>
      <c r="C1007" s="280"/>
      <c r="D1007" s="280"/>
      <c r="E1007" s="280"/>
      <c r="F1007" s="280"/>
      <c r="G1007" s="280"/>
      <c r="H1007" s="280"/>
      <c r="I1007" s="280"/>
      <c r="J1007" s="283"/>
      <c r="K1007" s="280"/>
      <c r="L1007" s="284"/>
      <c r="M1007" s="285"/>
      <c r="N1007" s="281"/>
    </row>
    <row r="1008" spans="1:16" ht="15.75" x14ac:dyDescent="0.25">
      <c r="A1008" s="282"/>
      <c r="B1008" s="279"/>
      <c r="C1008" s="280"/>
      <c r="D1008" s="280"/>
      <c r="E1008" s="280"/>
      <c r="F1008" s="280"/>
      <c r="G1008" s="280"/>
      <c r="H1008" s="280"/>
      <c r="I1008" s="280"/>
      <c r="J1008" s="283"/>
      <c r="K1008" s="280"/>
      <c r="L1008" s="284"/>
      <c r="M1008" s="285"/>
      <c r="N1008" s="281"/>
    </row>
    <row r="1009" spans="1:14" x14ac:dyDescent="0.25">
      <c r="A1009" s="1246" t="s">
        <v>2243</v>
      </c>
      <c r="B1009" s="1247"/>
      <c r="C1009" s="1248"/>
      <c r="E1009" s="1011" t="str">
        <f>'7. IRAdata'!$B$358</f>
        <v>.</v>
      </c>
      <c r="F1009" s="280"/>
      <c r="G1009" s="280"/>
      <c r="H1009" s="280"/>
      <c r="I1009" s="280"/>
      <c r="J1009" s="283"/>
      <c r="K1009" s="73"/>
      <c r="L1009" s="106"/>
      <c r="M1009" s="107"/>
      <c r="N1009" s="200"/>
    </row>
    <row r="1010" spans="1:14" x14ac:dyDescent="0.25">
      <c r="A1010" s="1246" t="s">
        <v>2244</v>
      </c>
      <c r="B1010" s="1247"/>
      <c r="C1010" s="1248"/>
      <c r="E1010" s="1011" t="str">
        <f>'7. IRAdata'!$B$359</f>
        <v>.</v>
      </c>
      <c r="F1010" s="73"/>
      <c r="G1010" s="71"/>
      <c r="H1010" s="71"/>
      <c r="J1010" s="105"/>
      <c r="K1010" s="73"/>
      <c r="L1010" s="106"/>
      <c r="M1010" s="107"/>
      <c r="N1010" s="200"/>
    </row>
    <row r="1011" spans="1:14" x14ac:dyDescent="0.25">
      <c r="A1011" s="52" t="s">
        <v>557</v>
      </c>
      <c r="B1011" s="3"/>
      <c r="C1011" s="108"/>
      <c r="E1011" s="2515" t="str">
        <f>'8. RothData'!$B$290</f>
        <v>.</v>
      </c>
      <c r="F1011" s="73"/>
      <c r="G1011" s="71"/>
      <c r="H1011" s="71"/>
      <c r="I1011" s="73"/>
      <c r="J1011" s="105"/>
      <c r="K1011" s="73"/>
      <c r="L1011" s="106"/>
      <c r="M1011" s="107"/>
      <c r="N1011" s="200"/>
    </row>
    <row r="1012" spans="1:14" x14ac:dyDescent="0.25">
      <c r="A1012" s="52" t="s">
        <v>136</v>
      </c>
      <c r="B1012" s="3"/>
      <c r="C1012" s="108"/>
      <c r="E1012" s="2515" t="str">
        <f>'8. RothData'!$B$291</f>
        <v>.</v>
      </c>
      <c r="F1012" s="73"/>
      <c r="G1012" s="71"/>
      <c r="H1012" s="71"/>
      <c r="I1012" s="73"/>
      <c r="J1012" s="105"/>
      <c r="K1012" s="73"/>
      <c r="L1012" s="106"/>
      <c r="M1012" s="107"/>
      <c r="N1012" s="1423"/>
    </row>
    <row r="1013" spans="1:14" ht="15.75" x14ac:dyDescent="0.3">
      <c r="A1013" s="1246" t="s">
        <v>555</v>
      </c>
      <c r="B1013" s="1247"/>
      <c r="C1013" s="1248"/>
      <c r="E1013" s="1012" t="str">
        <f>'9. SavingsData'!$C$530</f>
        <v>.</v>
      </c>
      <c r="F1013" s="73"/>
      <c r="G1013" s="71"/>
      <c r="H1013" s="71"/>
      <c r="I1013" s="73"/>
      <c r="J1013" s="105"/>
      <c r="K1013" s="73"/>
      <c r="L1013" s="106"/>
      <c r="M1013" s="107"/>
      <c r="N1013" s="200"/>
    </row>
    <row r="1014" spans="1:14" ht="16.5" thickBot="1" x14ac:dyDescent="0.35">
      <c r="A1014" s="1249" t="s">
        <v>556</v>
      </c>
      <c r="B1014" s="1250"/>
      <c r="C1014" s="1251"/>
      <c r="D1014" s="41"/>
      <c r="E1014" s="1013" t="str">
        <f>'9. SavingsData'!$C$531</f>
        <v>.</v>
      </c>
      <c r="F1014" s="229"/>
      <c r="G1014" s="233"/>
      <c r="H1014" s="233"/>
      <c r="I1014" s="229"/>
      <c r="J1014" s="258"/>
      <c r="K1014" s="229"/>
      <c r="L1014" s="235"/>
      <c r="M1014" s="259"/>
      <c r="N1014" s="234"/>
    </row>
    <row r="1015" spans="1:14" ht="15.75" thickTop="1" x14ac:dyDescent="0.25">
      <c r="A1015" s="139"/>
      <c r="B1015" s="64"/>
      <c r="C1015" s="108"/>
      <c r="D1015" s="218"/>
      <c r="E1015" s="71"/>
      <c r="F1015" s="73"/>
      <c r="G1015" s="71"/>
      <c r="H1015" s="71"/>
      <c r="I1015" s="73"/>
      <c r="J1015" s="105"/>
      <c r="K1015" s="73"/>
      <c r="L1015" s="106"/>
      <c r="M1015" s="107"/>
      <c r="N1015" s="200"/>
    </row>
    <row r="1016" spans="1:14" ht="15.75" thickBot="1" x14ac:dyDescent="0.3">
      <c r="A1016" s="139"/>
      <c r="B1016" s="64"/>
      <c r="C1016" s="108"/>
      <c r="D1016" s="218"/>
      <c r="E1016" s="71"/>
      <c r="F1016" s="73"/>
      <c r="G1016" s="71"/>
      <c r="H1016" s="71"/>
      <c r="I1016" s="73"/>
      <c r="J1016" s="105"/>
      <c r="K1016" s="73"/>
      <c r="L1016" s="106"/>
      <c r="M1016" s="107"/>
      <c r="N1016" s="200"/>
    </row>
    <row r="1017" spans="1:14" ht="19.5" thickTop="1" x14ac:dyDescent="0.3">
      <c r="A1017" s="265" t="s">
        <v>978</v>
      </c>
      <c r="B1017" s="275"/>
      <c r="C1017" s="271"/>
      <c r="D1017" s="263"/>
      <c r="E1017" s="201"/>
      <c r="F1017" s="198"/>
      <c r="G1017" s="201"/>
      <c r="H1017" s="201"/>
      <c r="I1017" s="198"/>
      <c r="J1017" s="203"/>
      <c r="K1017" s="198"/>
      <c r="L1017" s="220"/>
      <c r="M1017" s="255"/>
      <c r="N1017" s="256"/>
    </row>
    <row r="1018" spans="1:14" ht="15.75" x14ac:dyDescent="0.25">
      <c r="A1018" s="282" t="s">
        <v>808</v>
      </c>
      <c r="B1018" s="276"/>
      <c r="C1018" s="274"/>
      <c r="D1018" s="218"/>
      <c r="E1018" s="71"/>
      <c r="F1018" s="73"/>
      <c r="G1018" s="71"/>
      <c r="H1018" s="71"/>
      <c r="I1018" s="73"/>
      <c r="J1018" s="105"/>
      <c r="K1018" s="73"/>
      <c r="L1018" s="106"/>
      <c r="M1018" s="107"/>
      <c r="N1018" s="200"/>
    </row>
    <row r="1019" spans="1:14" ht="15.75" x14ac:dyDescent="0.25">
      <c r="A1019" s="282"/>
      <c r="B1019" s="272"/>
      <c r="C1019" s="274"/>
      <c r="D1019" s="218"/>
      <c r="E1019" s="71"/>
      <c r="F1019" s="73"/>
      <c r="G1019" s="71"/>
      <c r="H1019" s="71"/>
      <c r="I1019" s="73"/>
      <c r="J1019" s="105"/>
      <c r="K1019" s="73"/>
      <c r="L1019" s="106"/>
      <c r="M1019" s="107"/>
      <c r="N1019" s="200"/>
    </row>
    <row r="1020" spans="1:14" x14ac:dyDescent="0.25">
      <c r="A1020" s="1303" t="s">
        <v>280</v>
      </c>
      <c r="B1020" s="1304"/>
      <c r="C1020" s="1305"/>
      <c r="D1020" s="218"/>
      <c r="E1020" s="166" t="str">
        <f>IF(('2. TaxData'!$I$78+'2. TaxData'!$I$79)=1, ".", "   ERROR in TaxData - the sum of S1+S2 shares must be 100%")</f>
        <v>.</v>
      </c>
      <c r="F1020" s="73"/>
      <c r="G1020" s="71"/>
      <c r="H1020" s="71"/>
      <c r="I1020" s="73"/>
      <c r="J1020" s="105"/>
      <c r="K1020" s="73"/>
      <c r="L1020" s="106"/>
      <c r="M1020" s="107"/>
      <c r="N1020" s="200"/>
    </row>
    <row r="1021" spans="1:14" x14ac:dyDescent="0.25">
      <c r="A1021" s="141" t="s">
        <v>15</v>
      </c>
      <c r="B1021" s="1010"/>
      <c r="C1021" s="174"/>
      <c r="D1021" s="108"/>
      <c r="E1021" s="166" t="str">
        <f>'4. PensionData'!$G$44</f>
        <v>.</v>
      </c>
      <c r="F1021" s="73"/>
      <c r="G1021" s="71"/>
      <c r="H1021" s="71"/>
      <c r="I1021" s="73"/>
      <c r="J1021" s="105"/>
      <c r="K1021" s="73"/>
      <c r="L1021" s="106"/>
      <c r="M1021" s="107"/>
      <c r="N1021" s="200"/>
    </row>
    <row r="1022" spans="1:14" x14ac:dyDescent="0.25">
      <c r="A1022" s="141" t="s">
        <v>16</v>
      </c>
      <c r="B1022" s="1010"/>
      <c r="C1022" s="174"/>
      <c r="D1022" s="108"/>
      <c r="E1022" s="166" t="str">
        <f>'4. PensionData'!$G$49</f>
        <v>.</v>
      </c>
      <c r="F1022" s="73"/>
      <c r="G1022" s="71"/>
      <c r="H1022" s="71"/>
      <c r="I1022" s="73"/>
      <c r="J1022" s="105"/>
      <c r="K1022" s="73"/>
      <c r="L1022" s="106"/>
      <c r="M1022" s="107"/>
      <c r="N1022" s="200"/>
    </row>
    <row r="1023" spans="1:14" x14ac:dyDescent="0.25">
      <c r="A1023" s="1303" t="s">
        <v>17</v>
      </c>
      <c r="B1023" s="1306"/>
      <c r="C1023" s="1305"/>
      <c r="D1023" s="108"/>
      <c r="E1023" s="270" t="str">
        <f>'5. SocSecData'!$H$45</f>
        <v>.</v>
      </c>
      <c r="F1023" s="73"/>
      <c r="G1023" s="71"/>
      <c r="H1023" s="71"/>
      <c r="I1023" s="73"/>
      <c r="J1023" s="105"/>
      <c r="K1023" s="73"/>
      <c r="L1023" s="106"/>
      <c r="M1023" s="107"/>
      <c r="N1023" s="200"/>
    </row>
    <row r="1024" spans="1:14" x14ac:dyDescent="0.25">
      <c r="A1024" s="1303" t="s">
        <v>18</v>
      </c>
      <c r="B1024" s="1306"/>
      <c r="C1024" s="1305"/>
      <c r="D1024" s="108"/>
      <c r="E1024" s="270" t="str">
        <f>'5. SocSecData'!$H$47</f>
        <v>.</v>
      </c>
      <c r="F1024" s="73"/>
      <c r="G1024" s="71"/>
      <c r="H1024" s="71"/>
      <c r="I1024" s="73"/>
      <c r="J1024" s="105"/>
      <c r="K1024" s="73"/>
      <c r="L1024" s="106"/>
      <c r="M1024" s="107"/>
      <c r="N1024" s="200"/>
    </row>
    <row r="1025" spans="1:14" x14ac:dyDescent="0.25">
      <c r="A1025" s="141" t="s">
        <v>689</v>
      </c>
      <c r="B1025" s="464"/>
      <c r="C1025" s="173"/>
      <c r="D1025" s="272"/>
      <c r="E1025" s="2107" t="str">
        <f>'7. IRAdata'!L180</f>
        <v>.</v>
      </c>
      <c r="F1025" s="73"/>
      <c r="G1025" s="71"/>
      <c r="H1025" s="71"/>
      <c r="I1025" s="73"/>
      <c r="J1025" s="105"/>
      <c r="K1025" s="73"/>
      <c r="L1025" s="106"/>
      <c r="M1025" s="107"/>
      <c r="N1025" s="200"/>
    </row>
    <row r="1026" spans="1:14" x14ac:dyDescent="0.25">
      <c r="A1026" s="141" t="s">
        <v>690</v>
      </c>
      <c r="B1026" s="464"/>
      <c r="C1026" s="173"/>
      <c r="D1026" s="272"/>
      <c r="E1026" s="2107" t="str">
        <f>'7. IRAdata'!L181</f>
        <v>.</v>
      </c>
      <c r="F1026" s="73"/>
      <c r="G1026" s="71"/>
      <c r="H1026" s="71"/>
      <c r="I1026" s="73"/>
      <c r="J1026" s="105"/>
      <c r="K1026" s="73"/>
      <c r="L1026" s="106"/>
      <c r="M1026" s="107"/>
      <c r="N1026" s="200"/>
    </row>
    <row r="1027" spans="1:14" x14ac:dyDescent="0.25">
      <c r="A1027" s="141" t="s">
        <v>691</v>
      </c>
      <c r="B1027" s="464"/>
      <c r="C1027" s="173"/>
      <c r="D1027" s="272"/>
      <c r="E1027" s="2107" t="str">
        <f>'7. IRAdata'!L182</f>
        <v>.</v>
      </c>
      <c r="F1027" s="73"/>
      <c r="G1027" s="71"/>
      <c r="H1027" s="71"/>
      <c r="I1027" s="73"/>
      <c r="J1027" s="105"/>
      <c r="K1027" s="73"/>
      <c r="L1027" s="106"/>
      <c r="M1027" s="107"/>
      <c r="N1027" s="200"/>
    </row>
    <row r="1028" spans="1:14" x14ac:dyDescent="0.25">
      <c r="A1028" s="141" t="s">
        <v>692</v>
      </c>
      <c r="B1028" s="464"/>
      <c r="C1028" s="173"/>
      <c r="D1028" s="272"/>
      <c r="E1028" s="2107" t="str">
        <f>'7. IRAdata'!L183</f>
        <v>.</v>
      </c>
      <c r="F1028" s="73"/>
      <c r="G1028" s="71"/>
      <c r="H1028" s="71"/>
      <c r="I1028" s="73"/>
      <c r="J1028" s="105"/>
      <c r="K1028" s="73"/>
      <c r="L1028" s="106"/>
      <c r="M1028" s="107"/>
      <c r="N1028" s="200"/>
    </row>
    <row r="1029" spans="1:14" x14ac:dyDescent="0.25">
      <c r="A1029" s="1303" t="s">
        <v>19</v>
      </c>
      <c r="B1029" s="1307"/>
      <c r="C1029" s="1304"/>
      <c r="D1029" s="272"/>
      <c r="E1029" s="2107" t="str">
        <f>'7. IRAdata'!L186</f>
        <v>.</v>
      </c>
      <c r="F1029" s="73"/>
      <c r="G1029" s="71"/>
      <c r="H1029" s="71"/>
      <c r="I1029" s="73"/>
      <c r="J1029" s="105"/>
      <c r="K1029" s="73"/>
      <c r="L1029" s="106"/>
      <c r="M1029" s="107"/>
      <c r="N1029" s="200"/>
    </row>
    <row r="1030" spans="1:14" x14ac:dyDescent="0.25">
      <c r="A1030" s="1303" t="s">
        <v>20</v>
      </c>
      <c r="B1030" s="1307"/>
      <c r="C1030" s="1304"/>
      <c r="D1030" s="272"/>
      <c r="E1030" s="2107" t="str">
        <f>'7. IRAdata'!L187</f>
        <v>.</v>
      </c>
      <c r="F1030" s="73"/>
      <c r="G1030" s="108"/>
      <c r="H1030" s="71"/>
      <c r="I1030" s="73"/>
      <c r="J1030" s="105"/>
      <c r="K1030" s="73"/>
      <c r="L1030" s="106"/>
      <c r="M1030" s="107"/>
      <c r="N1030" s="200"/>
    </row>
    <row r="1031" spans="1:14" x14ac:dyDescent="0.25">
      <c r="A1031" s="1303" t="s">
        <v>21</v>
      </c>
      <c r="B1031" s="1307"/>
      <c r="C1031" s="1304"/>
      <c r="D1031" s="272"/>
      <c r="E1031" s="2107" t="str">
        <f>'7. IRAdata'!L188</f>
        <v>.</v>
      </c>
      <c r="F1031" s="73"/>
      <c r="G1031" s="71"/>
      <c r="H1031" s="71"/>
      <c r="I1031" s="73"/>
      <c r="J1031" s="105"/>
      <c r="K1031" s="73"/>
      <c r="L1031" s="106"/>
      <c r="M1031" s="107"/>
      <c r="N1031" s="200"/>
    </row>
    <row r="1032" spans="1:14" x14ac:dyDescent="0.25">
      <c r="A1032" s="1303" t="s">
        <v>22</v>
      </c>
      <c r="B1032" s="1307"/>
      <c r="C1032" s="1304"/>
      <c r="D1032" s="272"/>
      <c r="E1032" s="2107" t="str">
        <f>'7. IRAdata'!L189</f>
        <v>.</v>
      </c>
      <c r="F1032" s="73"/>
      <c r="G1032" s="71"/>
      <c r="H1032" s="71"/>
      <c r="I1032" s="73"/>
      <c r="J1032" s="105"/>
      <c r="K1032" s="73"/>
      <c r="L1032" s="106"/>
      <c r="M1032" s="107"/>
      <c r="N1032" s="200"/>
    </row>
    <row r="1033" spans="1:14" x14ac:dyDescent="0.25">
      <c r="A1033" s="52" t="s">
        <v>557</v>
      </c>
      <c r="B1033" s="3"/>
      <c r="C1033" s="108"/>
      <c r="E1033" s="2515" t="str">
        <f>'8. RothData'!$L115</f>
        <v>.</v>
      </c>
      <c r="F1033" s="73"/>
      <c r="G1033" s="71"/>
      <c r="H1033" s="71"/>
      <c r="I1033" s="73"/>
      <c r="J1033" s="105"/>
      <c r="K1033" s="73"/>
      <c r="L1033" s="106"/>
      <c r="M1033" s="107"/>
      <c r="N1033" s="200"/>
    </row>
    <row r="1034" spans="1:14" x14ac:dyDescent="0.25">
      <c r="A1034" s="52" t="s">
        <v>2083</v>
      </c>
      <c r="B1034" s="3"/>
      <c r="C1034" s="108"/>
      <c r="E1034" s="2515" t="str">
        <f>'8. RothData'!$L116</f>
        <v>.</v>
      </c>
      <c r="F1034" s="73"/>
      <c r="G1034" s="71"/>
      <c r="H1034" s="71"/>
      <c r="I1034" s="73"/>
      <c r="J1034" s="105"/>
      <c r="K1034" s="73"/>
      <c r="L1034" s="106"/>
      <c r="M1034" s="107"/>
      <c r="N1034" s="200"/>
    </row>
    <row r="1035" spans="1:14" x14ac:dyDescent="0.25">
      <c r="A1035" s="52" t="s">
        <v>2082</v>
      </c>
      <c r="B1035" s="3"/>
      <c r="C1035" s="108"/>
      <c r="E1035" s="2515" t="str">
        <f>'8. RothData'!$L117</f>
        <v>.</v>
      </c>
      <c r="F1035" s="73"/>
      <c r="G1035" s="71"/>
      <c r="H1035" s="71"/>
      <c r="I1035" s="73"/>
      <c r="J1035" s="105"/>
      <c r="K1035" s="73"/>
      <c r="L1035" s="106"/>
      <c r="M1035" s="107"/>
      <c r="N1035" s="200"/>
    </row>
    <row r="1036" spans="1:14" x14ac:dyDescent="0.25">
      <c r="A1036" s="52" t="s">
        <v>2084</v>
      </c>
      <c r="B1036" s="3"/>
      <c r="C1036" s="108"/>
      <c r="E1036" s="2515" t="str">
        <f>'8. RothData'!$L121</f>
        <v>.</v>
      </c>
      <c r="F1036" s="73"/>
      <c r="G1036" s="71"/>
      <c r="H1036" s="71"/>
      <c r="I1036" s="73"/>
      <c r="J1036" s="105"/>
      <c r="K1036" s="73"/>
      <c r="L1036" s="106"/>
      <c r="M1036" s="107"/>
      <c r="N1036" s="200"/>
    </row>
    <row r="1037" spans="1:14" x14ac:dyDescent="0.25">
      <c r="A1037" s="52" t="s">
        <v>136</v>
      </c>
      <c r="B1037" s="3"/>
      <c r="C1037" s="108"/>
      <c r="E1037" s="2515" t="str">
        <f>'8. RothData'!$L122</f>
        <v>.</v>
      </c>
      <c r="F1037" s="73"/>
      <c r="G1037" s="71"/>
      <c r="H1037" s="71"/>
      <c r="I1037" s="73"/>
      <c r="J1037" s="105"/>
      <c r="K1037" s="73"/>
      <c r="L1037" s="106"/>
      <c r="M1037" s="107"/>
      <c r="N1037" s="200"/>
    </row>
    <row r="1038" spans="1:14" x14ac:dyDescent="0.25">
      <c r="A1038" s="52" t="s">
        <v>2085</v>
      </c>
      <c r="B1038" s="3"/>
      <c r="C1038" s="108"/>
      <c r="E1038" s="2515" t="str">
        <f>'8. RothData'!$L123</f>
        <v>.</v>
      </c>
      <c r="F1038" s="73"/>
      <c r="G1038" s="71"/>
      <c r="H1038" s="71"/>
      <c r="I1038" s="73"/>
      <c r="J1038" s="105"/>
      <c r="K1038" s="73"/>
      <c r="L1038" s="106"/>
      <c r="M1038" s="107"/>
      <c r="N1038" s="200"/>
    </row>
    <row r="1039" spans="1:14" x14ac:dyDescent="0.25">
      <c r="A1039" s="52" t="s">
        <v>2081</v>
      </c>
      <c r="B1039" s="3"/>
      <c r="C1039" s="108"/>
      <c r="E1039" s="2515" t="str">
        <f>'8. RothData'!$L124</f>
        <v>.</v>
      </c>
      <c r="F1039" s="73"/>
      <c r="G1039" s="71"/>
      <c r="H1039" s="71"/>
      <c r="I1039" s="73"/>
      <c r="J1039" s="105"/>
      <c r="K1039" s="73"/>
      <c r="L1039" s="106"/>
      <c r="M1039" s="107"/>
      <c r="N1039" s="200"/>
    </row>
    <row r="1040" spans="1:14" x14ac:dyDescent="0.25">
      <c r="A1040" s="141" t="s">
        <v>693</v>
      </c>
      <c r="B1040" s="464"/>
      <c r="C1040" s="173"/>
      <c r="D1040" s="990"/>
      <c r="E1040" s="278" t="str">
        <f>'9. SavingsData'!$H$134</f>
        <v>.</v>
      </c>
      <c r="G1040" s="71"/>
      <c r="H1040" s="71"/>
      <c r="I1040" s="73"/>
      <c r="J1040" s="105"/>
      <c r="K1040" s="73"/>
      <c r="L1040" s="106"/>
      <c r="M1040" s="107"/>
      <c r="N1040" s="200"/>
    </row>
    <row r="1041" spans="1:14" x14ac:dyDescent="0.25">
      <c r="A1041" s="141" t="s">
        <v>694</v>
      </c>
      <c r="B1041" s="464"/>
      <c r="C1041" s="173"/>
      <c r="D1041" s="990"/>
      <c r="E1041" s="278" t="str">
        <f>'9. SavingsData'!$H$136</f>
        <v>.</v>
      </c>
      <c r="F1041" s="73"/>
      <c r="G1041" s="71"/>
      <c r="H1041" s="71"/>
      <c r="I1041" s="73"/>
      <c r="J1041" s="105"/>
      <c r="K1041" s="73"/>
      <c r="L1041" s="106"/>
      <c r="M1041" s="107"/>
      <c r="N1041" s="200"/>
    </row>
    <row r="1042" spans="1:14" x14ac:dyDescent="0.25">
      <c r="A1042" s="141" t="s">
        <v>695</v>
      </c>
      <c r="B1042" s="464"/>
      <c r="C1042" s="173"/>
      <c r="D1042" s="990"/>
      <c r="E1042" s="278" t="str">
        <f>'9. SavingsData'!$H$140</f>
        <v>.</v>
      </c>
      <c r="F1042" s="73"/>
      <c r="G1042" s="71"/>
      <c r="H1042" s="71"/>
      <c r="I1042" s="73"/>
      <c r="J1042" s="105"/>
      <c r="K1042" s="73"/>
      <c r="L1042" s="106"/>
      <c r="M1042" s="107"/>
      <c r="N1042" s="200"/>
    </row>
    <row r="1043" spans="1:14" x14ac:dyDescent="0.25">
      <c r="A1043" s="141" t="s">
        <v>696</v>
      </c>
      <c r="B1043" s="464"/>
      <c r="C1043" s="173"/>
      <c r="D1043" s="990"/>
      <c r="E1043" s="278" t="str">
        <f>'9. SavingsData'!$H$142</f>
        <v>.</v>
      </c>
      <c r="F1043" s="73"/>
      <c r="G1043" s="71"/>
      <c r="H1043" s="71"/>
      <c r="I1043" s="73"/>
      <c r="J1043" s="105"/>
      <c r="K1043" s="73"/>
      <c r="L1043" s="106"/>
      <c r="M1043" s="107"/>
      <c r="N1043" s="200"/>
    </row>
    <row r="1044" spans="1:14" x14ac:dyDescent="0.25">
      <c r="A1044" s="1303" t="s">
        <v>697</v>
      </c>
      <c r="B1044" s="1307"/>
      <c r="C1044" s="1304"/>
      <c r="D1044" s="218"/>
      <c r="E1044" s="166" t="str">
        <f>'9. SavingsData'!$G$150</f>
        <v>.</v>
      </c>
      <c r="F1044" s="73"/>
      <c r="G1044" s="71"/>
      <c r="H1044" s="71"/>
      <c r="I1044" s="73"/>
      <c r="J1044" s="105"/>
      <c r="K1044" s="73"/>
      <c r="L1044" s="106"/>
      <c r="M1044" s="107"/>
      <c r="N1044" s="200"/>
    </row>
    <row r="1045" spans="1:14" x14ac:dyDescent="0.25">
      <c r="A1045" s="1303" t="s">
        <v>698</v>
      </c>
      <c r="B1045" s="1307"/>
      <c r="C1045" s="1304"/>
      <c r="D1045" s="218"/>
      <c r="E1045" s="166" t="str">
        <f>'9. SavingsData'!$G$152</f>
        <v>.</v>
      </c>
      <c r="F1045" s="73"/>
      <c r="G1045" s="71"/>
      <c r="H1045" s="71"/>
      <c r="I1045" s="73"/>
      <c r="J1045" s="105"/>
      <c r="K1045" s="73"/>
      <c r="L1045" s="106"/>
      <c r="M1045" s="107"/>
      <c r="N1045" s="200"/>
    </row>
    <row r="1046" spans="1:14" x14ac:dyDescent="0.25">
      <c r="A1046" s="1303" t="s">
        <v>699</v>
      </c>
      <c r="B1046" s="1307"/>
      <c r="C1046" s="1304"/>
      <c r="D1046" s="218"/>
      <c r="E1046" s="166" t="str">
        <f>'9. SavingsData'!$G$156</f>
        <v>.</v>
      </c>
      <c r="F1046" s="73"/>
      <c r="G1046" s="71"/>
      <c r="H1046" s="71"/>
      <c r="I1046" s="73"/>
      <c r="J1046" s="105"/>
      <c r="K1046" s="73"/>
      <c r="L1046" s="106"/>
      <c r="M1046" s="107"/>
      <c r="N1046" s="200"/>
    </row>
    <row r="1047" spans="1:14" x14ac:dyDescent="0.25">
      <c r="A1047" s="1303" t="s">
        <v>700</v>
      </c>
      <c r="B1047" s="1307"/>
      <c r="C1047" s="1304"/>
      <c r="D1047" s="218"/>
      <c r="E1047" s="166" t="str">
        <f>'9. SavingsData'!$G$158</f>
        <v>.</v>
      </c>
      <c r="F1047" s="73"/>
      <c r="G1047" s="71"/>
      <c r="H1047" s="71"/>
      <c r="I1047" s="73"/>
      <c r="J1047" s="105"/>
      <c r="K1047" s="73"/>
      <c r="L1047" s="106"/>
      <c r="M1047" s="107"/>
      <c r="N1047" s="200"/>
    </row>
    <row r="1048" spans="1:14" x14ac:dyDescent="0.25">
      <c r="A1048" s="52" t="s">
        <v>162</v>
      </c>
      <c r="B1048" s="277"/>
      <c r="C1048" s="272"/>
      <c r="D1048" s="218"/>
      <c r="E1048" s="2107" t="str">
        <f>'3. WorkData'!$B$52</f>
        <v>.</v>
      </c>
      <c r="F1048" s="73"/>
      <c r="G1048" s="71"/>
      <c r="H1048" s="71"/>
      <c r="I1048" s="73"/>
      <c r="J1048" s="105"/>
      <c r="K1048" s="73"/>
      <c r="L1048" s="106"/>
      <c r="M1048" s="107"/>
      <c r="N1048" s="200"/>
    </row>
    <row r="1049" spans="1:14" x14ac:dyDescent="0.25">
      <c r="A1049" s="52" t="s">
        <v>163</v>
      </c>
      <c r="B1049" s="277"/>
      <c r="C1049" s="272"/>
      <c r="D1049" s="218"/>
      <c r="E1049" s="2107" t="str">
        <f>'3. WorkData'!$B$53</f>
        <v>.</v>
      </c>
      <c r="F1049" s="73"/>
      <c r="G1049" s="71"/>
      <c r="H1049" s="71"/>
      <c r="I1049" s="73"/>
      <c r="J1049" s="105"/>
      <c r="K1049" s="73"/>
      <c r="L1049" s="106"/>
      <c r="M1049" s="107"/>
      <c r="N1049" s="200"/>
    </row>
    <row r="1050" spans="1:14" x14ac:dyDescent="0.25">
      <c r="A1050" s="52" t="s">
        <v>1752</v>
      </c>
      <c r="C1050" s="272"/>
      <c r="E1050" s="2107" t="str">
        <f>'3. WorkData'!$B$54</f>
        <v>.</v>
      </c>
      <c r="F1050" s="73"/>
      <c r="G1050" s="71"/>
      <c r="H1050" s="71"/>
      <c r="I1050" s="73"/>
      <c r="J1050" s="105"/>
      <c r="K1050" s="73"/>
      <c r="L1050" s="106"/>
      <c r="M1050" s="107"/>
      <c r="N1050" s="200"/>
    </row>
    <row r="1051" spans="1:14" x14ac:dyDescent="0.25">
      <c r="A1051" s="52" t="s">
        <v>164</v>
      </c>
      <c r="B1051" s="277"/>
      <c r="C1051" s="272"/>
      <c r="D1051" s="218"/>
      <c r="E1051" s="2107" t="str">
        <f>'3. WorkData'!$G$52</f>
        <v>.</v>
      </c>
      <c r="F1051" s="73"/>
      <c r="G1051" s="71"/>
      <c r="H1051" s="71"/>
      <c r="I1051" s="73"/>
      <c r="J1051" s="105"/>
      <c r="K1051" s="73"/>
      <c r="L1051" s="106"/>
      <c r="M1051" s="107"/>
      <c r="N1051" s="200"/>
    </row>
    <row r="1052" spans="1:14" x14ac:dyDescent="0.25">
      <c r="A1052" s="52" t="s">
        <v>165</v>
      </c>
      <c r="B1052" s="277"/>
      <c r="C1052" s="272"/>
      <c r="D1052" s="218"/>
      <c r="E1052" s="2107" t="str">
        <f>'3. WorkData'!$G$52</f>
        <v>.</v>
      </c>
      <c r="F1052" s="73"/>
      <c r="G1052" s="71"/>
      <c r="H1052" s="71"/>
      <c r="I1052" s="73"/>
      <c r="J1052" s="105"/>
      <c r="K1052" s="73"/>
      <c r="L1052" s="106"/>
      <c r="M1052" s="107"/>
      <c r="N1052" s="200"/>
    </row>
    <row r="1053" spans="1:14" x14ac:dyDescent="0.25">
      <c r="A1053" s="52" t="s">
        <v>1753</v>
      </c>
      <c r="B1053" s="277"/>
      <c r="C1053" s="272"/>
      <c r="D1053" s="218"/>
      <c r="E1053" s="2107" t="str">
        <f>'3. WorkData'!$G$52</f>
        <v>.</v>
      </c>
      <c r="F1053" s="73"/>
      <c r="G1053" s="71"/>
      <c r="H1053" s="71"/>
      <c r="I1053" s="73"/>
      <c r="J1053" s="105"/>
      <c r="K1053" s="73"/>
      <c r="L1053" s="106"/>
      <c r="M1053" s="107"/>
      <c r="N1053" s="200"/>
    </row>
    <row r="1054" spans="1:14" x14ac:dyDescent="0.25">
      <c r="A1054" s="1303" t="s">
        <v>166</v>
      </c>
      <c r="B1054" s="1307"/>
      <c r="C1054" s="1304"/>
      <c r="D1054" s="218"/>
      <c r="E1054" s="278" t="str">
        <f>'6. AnnuityData'!$G$40</f>
        <v>.</v>
      </c>
      <c r="F1054" s="73"/>
      <c r="G1054" s="71"/>
      <c r="H1054" s="71"/>
      <c r="I1054" s="73"/>
      <c r="J1054" s="105"/>
      <c r="K1054" s="73"/>
      <c r="L1054" s="106"/>
      <c r="M1054" s="107"/>
      <c r="N1054" s="200"/>
    </row>
    <row r="1055" spans="1:14" x14ac:dyDescent="0.25">
      <c r="A1055" s="1303" t="s">
        <v>167</v>
      </c>
      <c r="B1055" s="1307"/>
      <c r="C1055" s="1304"/>
      <c r="D1055" s="218"/>
      <c r="E1055" s="278" t="str">
        <f>'6. AnnuityData'!$G$42</f>
        <v>.</v>
      </c>
      <c r="F1055" s="73"/>
      <c r="G1055" s="71"/>
      <c r="H1055" s="71"/>
      <c r="I1055" s="73"/>
      <c r="J1055" s="105"/>
      <c r="K1055" s="73"/>
      <c r="L1055" s="106"/>
      <c r="M1055" s="107"/>
      <c r="N1055" s="200"/>
    </row>
    <row r="1056" spans="1:14" x14ac:dyDescent="0.25">
      <c r="A1056" s="1303" t="s">
        <v>168</v>
      </c>
      <c r="B1056" s="1307"/>
      <c r="C1056" s="1304"/>
      <c r="D1056" s="218"/>
      <c r="E1056" s="278" t="str">
        <f>'6. AnnuityData'!$G$46</f>
        <v>.</v>
      </c>
      <c r="F1056" s="73"/>
      <c r="G1056" s="71"/>
      <c r="H1056" s="71"/>
      <c r="I1056" s="73"/>
      <c r="J1056" s="105"/>
      <c r="K1056" s="73"/>
      <c r="L1056" s="106"/>
      <c r="M1056" s="107"/>
      <c r="N1056" s="200"/>
    </row>
    <row r="1057" spans="1:14" x14ac:dyDescent="0.25">
      <c r="A1057" s="1303" t="s">
        <v>169</v>
      </c>
      <c r="B1057" s="1307"/>
      <c r="C1057" s="1304"/>
      <c r="D1057" s="218"/>
      <c r="E1057" s="278" t="str">
        <f>'6. AnnuityData'!$G$48</f>
        <v>.</v>
      </c>
      <c r="F1057" s="73"/>
      <c r="G1057" s="71"/>
      <c r="H1057" s="71"/>
      <c r="I1057" s="73"/>
      <c r="J1057" s="105"/>
      <c r="K1057" s="73"/>
      <c r="L1057" s="106"/>
      <c r="M1057" s="107"/>
      <c r="N1057" s="200"/>
    </row>
    <row r="1058" spans="1:14" x14ac:dyDescent="0.25">
      <c r="A1058" s="141" t="s">
        <v>170</v>
      </c>
      <c r="B1058" s="464"/>
      <c r="C1058" s="173"/>
      <c r="E1058" s="278" t="str">
        <f>'6. AnnuityData'!$G$76</f>
        <v>.</v>
      </c>
      <c r="F1058" s="73"/>
      <c r="G1058" s="71"/>
      <c r="H1058" s="71"/>
      <c r="I1058" s="73"/>
      <c r="J1058" s="105"/>
      <c r="K1058" s="73"/>
      <c r="L1058" s="106"/>
      <c r="M1058" s="107"/>
      <c r="N1058" s="200"/>
    </row>
    <row r="1059" spans="1:14" x14ac:dyDescent="0.25">
      <c r="A1059" s="141" t="s">
        <v>171</v>
      </c>
      <c r="B1059" s="464"/>
      <c r="C1059" s="173"/>
      <c r="E1059" s="278" t="str">
        <f>'6. AnnuityData'!$G$78</f>
        <v>.</v>
      </c>
      <c r="F1059" s="73"/>
      <c r="G1059" s="71"/>
      <c r="H1059" s="71"/>
      <c r="I1059" s="73"/>
      <c r="J1059" s="105"/>
      <c r="K1059" s="73"/>
      <c r="L1059" s="106"/>
      <c r="M1059" s="107"/>
      <c r="N1059" s="200"/>
    </row>
    <row r="1060" spans="1:14" x14ac:dyDescent="0.25">
      <c r="A1060" s="141" t="s">
        <v>173</v>
      </c>
      <c r="B1060" s="464"/>
      <c r="C1060" s="173"/>
      <c r="E1060" s="278" t="str">
        <f>'6. AnnuityData'!$G$82</f>
        <v>.</v>
      </c>
      <c r="F1060" s="73"/>
      <c r="G1060" s="71"/>
      <c r="H1060" s="71"/>
      <c r="I1060" s="73"/>
      <c r="J1060" s="105"/>
      <c r="K1060" s="73"/>
      <c r="L1060" s="106"/>
      <c r="M1060" s="107"/>
      <c r="N1060" s="200"/>
    </row>
    <row r="1061" spans="1:14" x14ac:dyDescent="0.25">
      <c r="A1061" s="141" t="s">
        <v>172</v>
      </c>
      <c r="B1061" s="464"/>
      <c r="C1061" s="173"/>
      <c r="E1061" s="278" t="str">
        <f>'6. AnnuityData'!$G$84</f>
        <v>.</v>
      </c>
      <c r="F1061" s="73"/>
      <c r="G1061" s="71"/>
      <c r="H1061" s="71"/>
      <c r="I1061" s="73"/>
      <c r="J1061" s="105"/>
      <c r="K1061" s="73"/>
      <c r="L1061" s="106"/>
      <c r="M1061" s="107"/>
      <c r="N1061" s="200"/>
    </row>
    <row r="1062" spans="1:14" x14ac:dyDescent="0.25">
      <c r="A1062" s="1303" t="s">
        <v>23</v>
      </c>
      <c r="B1062" s="1307"/>
      <c r="C1062" s="1304"/>
      <c r="D1062" s="218"/>
      <c r="E1062" s="166" t="str">
        <f>'10. ExpensesData'!$G$83</f>
        <v>.</v>
      </c>
      <c r="F1062" s="73"/>
      <c r="G1062" s="71"/>
      <c r="H1062" s="71"/>
      <c r="I1062" s="73"/>
      <c r="J1062" s="105"/>
      <c r="K1062" s="73"/>
      <c r="L1062" s="106"/>
      <c r="M1062" s="107"/>
      <c r="N1062" s="200"/>
    </row>
    <row r="1063" spans="1:14" x14ac:dyDescent="0.25">
      <c r="A1063" s="1303" t="s">
        <v>24</v>
      </c>
      <c r="B1063" s="1307"/>
      <c r="C1063" s="1304"/>
      <c r="D1063" s="218"/>
      <c r="E1063" s="166" t="str">
        <f>'10. ExpensesData'!$G$85</f>
        <v>.</v>
      </c>
      <c r="F1063" s="73"/>
      <c r="G1063" s="71"/>
      <c r="H1063" s="71"/>
      <c r="I1063" s="73"/>
      <c r="J1063" s="105"/>
      <c r="K1063" s="73"/>
      <c r="L1063" s="106"/>
      <c r="M1063" s="107"/>
      <c r="N1063" s="200"/>
    </row>
    <row r="1064" spans="1:14" x14ac:dyDescent="0.25">
      <c r="A1064" s="1303" t="s">
        <v>25</v>
      </c>
      <c r="B1064" s="1307"/>
      <c r="C1064" s="1304"/>
      <c r="D1064" s="218"/>
      <c r="E1064" s="166" t="str">
        <f>'10. ExpensesData'!$G$89</f>
        <v>.</v>
      </c>
      <c r="F1064" s="73"/>
      <c r="G1064" s="71"/>
      <c r="H1064" s="71"/>
      <c r="I1064" s="73"/>
      <c r="J1064" s="105"/>
      <c r="K1064" s="73"/>
      <c r="L1064" s="106"/>
      <c r="M1064" s="107"/>
      <c r="N1064" s="200"/>
    </row>
    <row r="1065" spans="1:14" ht="15.75" thickBot="1" x14ac:dyDescent="0.3">
      <c r="A1065" s="1308" t="s">
        <v>26</v>
      </c>
      <c r="B1065" s="1309"/>
      <c r="C1065" s="1310"/>
      <c r="D1065" s="257"/>
      <c r="E1065" s="167" t="str">
        <f>'10. ExpensesData'!$G$91</f>
        <v>.</v>
      </c>
      <c r="F1065" s="229"/>
      <c r="G1065" s="233"/>
      <c r="H1065" s="233"/>
      <c r="I1065" s="229"/>
      <c r="J1065" s="258"/>
      <c r="K1065" s="229"/>
      <c r="L1065" s="235"/>
      <c r="M1065" s="259"/>
      <c r="N1065" s="234"/>
    </row>
    <row r="1066" spans="1:14" ht="15.75" thickTop="1" x14ac:dyDescent="0.25"/>
    <row r="1067" spans="1:14" s="1382" customFormat="1" ht="15.75" x14ac:dyDescent="0.25">
      <c r="B1067" s="1383" t="s">
        <v>954</v>
      </c>
      <c r="G1067" s="1383" t="s">
        <v>1129</v>
      </c>
    </row>
    <row r="1068" spans="1:14" ht="15.75" thickBot="1" x14ac:dyDescent="0.3"/>
    <row r="1069" spans="1:14" ht="19.5" thickTop="1" x14ac:dyDescent="0.3">
      <c r="A1069" s="960" t="s">
        <v>486</v>
      </c>
      <c r="B1069" s="946"/>
      <c r="C1069" s="946"/>
      <c r="D1069" s="947"/>
      <c r="E1069" s="947"/>
      <c r="F1069" s="946"/>
      <c r="G1069" s="946"/>
      <c r="H1069" s="949"/>
    </row>
    <row r="1070" spans="1:14" ht="15.75" x14ac:dyDescent="0.25">
      <c r="A1070" s="964" t="s">
        <v>736</v>
      </c>
      <c r="B1070" s="944"/>
      <c r="C1070" s="944"/>
      <c r="D1070" s="945"/>
      <c r="E1070" s="945"/>
      <c r="F1070" s="944"/>
      <c r="G1070" s="944"/>
      <c r="H1070" s="950"/>
    </row>
    <row r="1071" spans="1:14" x14ac:dyDescent="0.25">
      <c r="A1071" s="1054"/>
      <c r="B1071" s="943" t="s">
        <v>326</v>
      </c>
      <c r="C1071" s="945"/>
      <c r="D1071" s="945"/>
      <c r="E1071" s="945"/>
      <c r="F1071" s="944"/>
      <c r="G1071" s="944"/>
      <c r="H1071" s="950"/>
    </row>
    <row r="1072" spans="1:14" x14ac:dyDescent="0.25">
      <c r="A1072" s="1054"/>
      <c r="B1072" s="1356" t="s">
        <v>870</v>
      </c>
      <c r="C1072" s="1357"/>
      <c r="D1072" s="1357"/>
      <c r="E1072" s="945"/>
      <c r="F1072" s="944"/>
      <c r="G1072" s="944"/>
      <c r="H1072" s="950"/>
    </row>
    <row r="1073" spans="1:8" x14ac:dyDescent="0.25">
      <c r="A1073" s="1054"/>
      <c r="B1073" s="942" t="s">
        <v>1103</v>
      </c>
      <c r="C1073" s="945"/>
      <c r="D1073" s="945"/>
      <c r="E1073" s="945"/>
      <c r="F1073" s="944"/>
      <c r="G1073" s="944"/>
      <c r="H1073" s="950"/>
    </row>
    <row r="1074" spans="1:8" x14ac:dyDescent="0.25">
      <c r="A1074" s="1054" t="s">
        <v>154</v>
      </c>
      <c r="B1074" s="942" t="s">
        <v>1104</v>
      </c>
      <c r="C1074" s="945"/>
      <c r="D1074" s="945"/>
      <c r="E1074" s="945"/>
      <c r="F1074" s="944"/>
      <c r="G1074" s="944"/>
      <c r="H1074" s="950"/>
    </row>
    <row r="1075" spans="1:8" x14ac:dyDescent="0.25">
      <c r="A1075" s="1054"/>
      <c r="B1075" s="942" t="s">
        <v>1105</v>
      </c>
      <c r="C1075" s="945"/>
      <c r="D1075" s="945"/>
      <c r="E1075" s="945"/>
      <c r="F1075" s="944"/>
      <c r="G1075" s="944"/>
      <c r="H1075" s="950"/>
    </row>
    <row r="1076" spans="1:8" x14ac:dyDescent="0.25">
      <c r="A1076" s="1890"/>
      <c r="B1076" s="942" t="s">
        <v>1106</v>
      </c>
      <c r="C1076" s="1019"/>
      <c r="D1076" s="945"/>
      <c r="E1076" s="945"/>
      <c r="F1076" s="944"/>
      <c r="G1076" s="944"/>
      <c r="H1076" s="950"/>
    </row>
    <row r="1077" spans="1:8" x14ac:dyDescent="0.25">
      <c r="A1077" s="1890"/>
      <c r="B1077" s="942" t="s">
        <v>1449</v>
      </c>
      <c r="C1077" s="1019"/>
      <c r="D1077" s="945"/>
      <c r="E1077" s="945"/>
      <c r="F1077" s="944"/>
      <c r="G1077" s="944"/>
      <c r="H1077" s="950"/>
    </row>
    <row r="1078" spans="1:8" x14ac:dyDescent="0.25">
      <c r="A1078" s="1890"/>
      <c r="B1078" s="942" t="s">
        <v>1462</v>
      </c>
      <c r="C1078" s="1019"/>
      <c r="D1078" s="945"/>
      <c r="E1078" s="945"/>
      <c r="F1078" s="944"/>
      <c r="G1078" s="944"/>
      <c r="H1078" s="950"/>
    </row>
    <row r="1079" spans="1:8" x14ac:dyDescent="0.25">
      <c r="A1079" s="1890"/>
      <c r="B1079" s="942" t="s">
        <v>1450</v>
      </c>
      <c r="C1079" s="1019"/>
      <c r="D1079" s="945"/>
      <c r="E1079" s="945"/>
      <c r="F1079" s="944"/>
      <c r="G1079" s="944"/>
      <c r="H1079" s="950"/>
    </row>
    <row r="1080" spans="1:8" x14ac:dyDescent="0.25">
      <c r="A1080" s="1890"/>
      <c r="B1080" s="942" t="s">
        <v>1107</v>
      </c>
      <c r="C1080" s="1019"/>
      <c r="D1080" s="945"/>
      <c r="E1080" s="945"/>
      <c r="F1080" s="944"/>
      <c r="G1080" s="944"/>
      <c r="H1080" s="950"/>
    </row>
    <row r="1081" spans="1:8" x14ac:dyDescent="0.25">
      <c r="A1081" s="1890"/>
      <c r="B1081" s="943" t="s">
        <v>1108</v>
      </c>
      <c r="C1081" s="1019"/>
      <c r="D1081" s="945"/>
      <c r="E1081" s="945"/>
      <c r="F1081" s="944"/>
      <c r="G1081" s="944"/>
      <c r="H1081" s="950"/>
    </row>
    <row r="1082" spans="1:8" x14ac:dyDescent="0.25">
      <c r="A1082" s="1890"/>
      <c r="B1082" s="943" t="s">
        <v>1100</v>
      </c>
      <c r="C1082" s="1019"/>
      <c r="D1082" s="945"/>
      <c r="E1082" s="945"/>
      <c r="F1082" s="944"/>
      <c r="G1082" s="944"/>
      <c r="H1082" s="950"/>
    </row>
    <row r="1083" spans="1:8" x14ac:dyDescent="0.25">
      <c r="A1083" s="1054"/>
      <c r="B1083" s="943" t="s">
        <v>1099</v>
      </c>
      <c r="C1083" s="945"/>
      <c r="D1083" s="945"/>
      <c r="E1083" s="945"/>
      <c r="F1083" s="944"/>
      <c r="G1083" s="944"/>
      <c r="H1083" s="950"/>
    </row>
    <row r="1084" spans="1:8" x14ac:dyDescent="0.25">
      <c r="A1084" s="1054"/>
      <c r="B1084" s="943" t="s">
        <v>1098</v>
      </c>
      <c r="C1084" s="945"/>
      <c r="D1084" s="945"/>
      <c r="E1084" s="945"/>
      <c r="F1084" s="944"/>
      <c r="G1084" s="944"/>
      <c r="H1084" s="950"/>
    </row>
    <row r="1085" spans="1:8" x14ac:dyDescent="0.25">
      <c r="A1085" s="1054"/>
      <c r="B1085" s="942" t="s">
        <v>1097</v>
      </c>
      <c r="C1085" s="945"/>
      <c r="D1085" s="945"/>
      <c r="E1085" s="945"/>
      <c r="F1085" s="944"/>
      <c r="G1085" s="944"/>
      <c r="H1085" s="950"/>
    </row>
    <row r="1086" spans="1:8" x14ac:dyDescent="0.25">
      <c r="A1086" s="1054"/>
      <c r="B1086" s="943" t="s">
        <v>1101</v>
      </c>
      <c r="C1086" s="945"/>
      <c r="D1086" s="945"/>
      <c r="E1086" s="945"/>
      <c r="F1086" s="944"/>
      <c r="G1086" s="944"/>
      <c r="H1086" s="950"/>
    </row>
    <row r="1087" spans="1:8" x14ac:dyDescent="0.25">
      <c r="A1087" s="1054"/>
      <c r="B1087" s="943" t="s">
        <v>1102</v>
      </c>
      <c r="C1087" s="945"/>
      <c r="D1087" s="1019" t="s">
        <v>1762</v>
      </c>
      <c r="E1087" s="945"/>
      <c r="F1087" s="944"/>
      <c r="G1087" s="944"/>
      <c r="H1087" s="950"/>
    </row>
    <row r="1088" spans="1:8" x14ac:dyDescent="0.25">
      <c r="A1088" s="1083"/>
      <c r="B1088" s="1081" t="s">
        <v>719</v>
      </c>
      <c r="C1088" s="945"/>
      <c r="D1088" s="1019" t="s">
        <v>1764</v>
      </c>
      <c r="E1088" s="945"/>
      <c r="F1088" s="944"/>
      <c r="G1088" s="944"/>
      <c r="H1088" s="950"/>
    </row>
    <row r="1089" spans="1:8" x14ac:dyDescent="0.25">
      <c r="A1089" s="1083"/>
      <c r="B1089" s="1081" t="s">
        <v>720</v>
      </c>
      <c r="C1089" s="945"/>
      <c r="D1089" s="1019" t="s">
        <v>1289</v>
      </c>
      <c r="E1089" s="945"/>
      <c r="F1089" s="945"/>
      <c r="G1089" s="945"/>
      <c r="H1089" s="950"/>
    </row>
    <row r="1090" spans="1:8" x14ac:dyDescent="0.25">
      <c r="A1090" s="1083"/>
      <c r="B1090" s="1081" t="s">
        <v>721</v>
      </c>
      <c r="C1090" s="945"/>
      <c r="D1090" s="945" t="s">
        <v>722</v>
      </c>
      <c r="E1090" s="945"/>
      <c r="F1090" s="945"/>
      <c r="G1090" s="945"/>
      <c r="H1090" s="950"/>
    </row>
    <row r="1091" spans="1:8" x14ac:dyDescent="0.25">
      <c r="A1091" s="1083"/>
      <c r="B1091" s="1081" t="s">
        <v>725</v>
      </c>
      <c r="C1091" s="945"/>
      <c r="D1091" s="1019" t="s">
        <v>1763</v>
      </c>
      <c r="E1091" s="945"/>
      <c r="F1091" s="945"/>
      <c r="G1091" s="945"/>
      <c r="H1091" s="950"/>
    </row>
    <row r="1092" spans="1:8" ht="15.75" thickBot="1" x14ac:dyDescent="0.3">
      <c r="A1092" s="1088"/>
      <c r="B1092" s="1089" t="s">
        <v>577</v>
      </c>
      <c r="C1092" s="948"/>
      <c r="D1092" s="1087" t="s">
        <v>578</v>
      </c>
      <c r="E1092" s="948"/>
      <c r="F1092" s="948"/>
      <c r="G1092" s="948"/>
      <c r="H1092" s="951"/>
    </row>
    <row r="1093" spans="1:8" ht="15.75" thickTop="1" x14ac:dyDescent="0.25"/>
  </sheetData>
  <sheetProtection sheet="1" objects="1" scenarios="1"/>
  <phoneticPr fontId="0" type="noConversion"/>
  <conditionalFormatting sqref="G136:G17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1">
    <dataValidation type="list" allowBlank="1" showInputMessage="1" showErrorMessage="1" sqref="N928 J233:J235 J380:J382 N394 J395 H928">
      <formula1>"yes,no"</formula1>
    </dataValidation>
  </dataValidations>
  <hyperlinks>
    <hyperlink ref="K927" location="'10. ExpensesData'!A1" display="10. ExpensesData"/>
    <hyperlink ref="I388" location="'7. IRAdata'!A1" display="7. IRAdata"/>
    <hyperlink ref="K388" location="'8. RothData'!A1" display="8. RothData"/>
    <hyperlink ref="K492" location="'9. SavingsData'!A1" display="9. SavingsData"/>
    <hyperlink ref="I309" location="'3. WorkData'!A1" display="3. WorkData"/>
    <hyperlink ref="K309" location="'6. AnnuityData'!A1" display="6. AnnuityData"/>
    <hyperlink ref="I236" location="'4. PensionData'!A1" display="4. PensionData"/>
    <hyperlink ref="K236" location="'5. SocSecData'!A1" display="5. SocSecData"/>
    <hyperlink ref="G624" location="'7. IRAdata'!A1" display="7. IRAdata"/>
    <hyperlink ref="I624" location="'8. RothData'!A1" display="8. RothData"/>
    <hyperlink ref="K624" location="'9. SavingsData'!A1" display="9. SavingsData"/>
    <hyperlink ref="K394" location="Setup!A1" display="Setup"/>
    <hyperlink ref="K496" location="'S. Setup'!A1" display="S. Setup"/>
    <hyperlink ref="K842" location="'11. CashData'!A1" display="11. CashData"/>
    <hyperlink ref="M927" location="'S. Setup'!A1" display="S. Setup"/>
    <hyperlink ref="B1067" location="Assumptions!A1" display="Previous worksheet (Assumptions)"/>
    <hyperlink ref="G1067" location="'S. Setup'!A1" display="Next worksheet (S. Setup)"/>
    <hyperlink ref="B1" location="Assumptions!A1" display="Previous worksheet (Assumptions)"/>
    <hyperlink ref="G1" location="'S. Setup'!A1" display="Next worksheet (S. Setup)"/>
    <hyperlink ref="G813" location="'7. IRAdata'!A1" display="7. IRAdata"/>
    <hyperlink ref="I813" location="'8. RothData'!A1" display="8. RothData"/>
    <hyperlink ref="K813" location="'9. SavingsData'!A1" display="9. SavingsData"/>
    <hyperlink ref="B1074" location="'S. Setup'!A1" display="Setup"/>
    <hyperlink ref="B1075" location="'1. AgeData'!A1" display="AgeData"/>
    <hyperlink ref="B1076" location="'2. TaxData'!A1" display="TaxData"/>
    <hyperlink ref="B1078" location="'4. PensionData'!A1" display="4. PensionData"/>
    <hyperlink ref="B1079" location="'5. SocSecData'!A1" display="5. SocSecData"/>
    <hyperlink ref="B1077" location="'3. WorkData'!A1" display="3. WorkData"/>
    <hyperlink ref="B1080" location="'6. AnnuityData'!A1" display="AnnuityData"/>
    <hyperlink ref="B1081" location="'7. IRAdata'!A1" display="IRAdata"/>
    <hyperlink ref="B1082" location="'8. RothData'!A1" display="RothData"/>
    <hyperlink ref="B1083" location="'9. SavingsData'!A1" display="SavingsData"/>
    <hyperlink ref="B1073" location="'R. Results'!A1" display="Results"/>
    <hyperlink ref="B1085" location="'11. CashData'!A1" display="CashData"/>
    <hyperlink ref="B1084" location="'10. ExpensesData'!A1" display="ExpensesData"/>
    <hyperlink ref="B1086" location="'12. RMDtable'!A1" display="RMDtable"/>
    <hyperlink ref="B1071" location="Introduction!A1" display="Introduction"/>
    <hyperlink ref="B1091" location="'Appendix D'!A1" display="Appendix D"/>
    <hyperlink ref="B1088" location="'Appendix A'!A1" display="Appendix A"/>
    <hyperlink ref="B1089" location="'Appendix B'!A1" display="Appendix B"/>
    <hyperlink ref="B1090" location="'Appendix C'!A1" display="Appendix C"/>
    <hyperlink ref="B1092" location="FAQ!A1" display="FAQ"/>
    <hyperlink ref="B1072" location="Assumptions!A1" display="Assumptions"/>
    <hyperlink ref="B1087" location="'RS. Resources'!A1" display="Resources"/>
    <hyperlink ref="G721" location="'7. IRAdata'!A1" display="7. IRAdata"/>
    <hyperlink ref="I721" location="'8. RothData'!A1" display="8. RothData"/>
    <hyperlink ref="K721" location="'9. SavingsData'!A1" display="9. SavingsData"/>
  </hyperlinks>
  <printOptions headings="1" gridLines="1"/>
  <pageMargins left="0.7" right="0.7" top="0.75" bottom="0.75" header="0.3" footer="0.3"/>
  <pageSetup orientation="landscape" horizontalDpi="1200" verticalDpi="1200" r:id="rId1"/>
  <headerFooter>
    <oddHeader>&amp;L&amp;F&amp;C   &amp;D &amp;T&amp;R&amp;A &amp;P</oddHead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O115"/>
  <sheetViews>
    <sheetView zoomScaleNormal="100" workbookViewId="0">
      <selection activeCell="B19" sqref="B19"/>
    </sheetView>
  </sheetViews>
  <sheetFormatPr defaultRowHeight="15" x14ac:dyDescent="0.25"/>
  <cols>
    <col min="1" max="1" width="3.5703125" customWidth="1"/>
    <col min="2" max="2" width="3.42578125" customWidth="1"/>
    <col min="4" max="4" width="8.7109375" customWidth="1"/>
    <col min="5" max="5" width="8.42578125" customWidth="1"/>
    <col min="6" max="6" width="8.28515625" customWidth="1"/>
    <col min="7" max="7" width="7.7109375" customWidth="1"/>
    <col min="8" max="8" width="8.85546875" customWidth="1"/>
    <col min="9" max="10" width="9.28515625" customWidth="1"/>
    <col min="11" max="11" width="7.85546875" customWidth="1"/>
    <col min="12" max="12" width="8.7109375" customWidth="1"/>
    <col min="13" max="13" width="10.28515625" customWidth="1"/>
    <col min="14" max="14" width="5.5703125" customWidth="1"/>
    <col min="18" max="18" width="7.42578125" customWidth="1"/>
    <col min="19" max="19" width="8.140625" customWidth="1"/>
    <col min="20" max="20" width="7" customWidth="1"/>
  </cols>
  <sheetData>
    <row r="1" spans="1:15" s="1382" customFormat="1" ht="15.75" x14ac:dyDescent="0.25">
      <c r="B1" s="1383" t="s">
        <v>1128</v>
      </c>
      <c r="G1" s="1383" t="s">
        <v>1127</v>
      </c>
    </row>
    <row r="2" spans="1:15" s="1382" customFormat="1" ht="15.75" x14ac:dyDescent="0.25">
      <c r="A2" s="1410"/>
      <c r="B2" s="1411"/>
      <c r="C2" s="1410"/>
      <c r="D2" s="1410"/>
      <c r="E2" s="1410"/>
      <c r="F2" s="1410"/>
      <c r="G2" s="1411"/>
      <c r="H2" s="1410"/>
      <c r="I2" s="1410"/>
      <c r="J2" s="1410"/>
      <c r="K2" s="1410"/>
      <c r="L2" s="1410"/>
      <c r="M2" s="1410"/>
      <c r="N2" s="1410"/>
      <c r="O2" s="1410"/>
    </row>
    <row r="4" spans="1:15" ht="18.75" x14ac:dyDescent="0.3">
      <c r="A4" s="144" t="s">
        <v>51</v>
      </c>
      <c r="B4" s="6"/>
    </row>
    <row r="5" spans="1:15" ht="18.75" x14ac:dyDescent="0.3">
      <c r="A5" s="144"/>
      <c r="B5" s="6"/>
    </row>
    <row r="6" spans="1:15" ht="15.75" x14ac:dyDescent="0.25">
      <c r="A6" s="1582" t="s">
        <v>2989</v>
      </c>
      <c r="B6" s="6"/>
    </row>
    <row r="7" spans="1:15" x14ac:dyDescent="0.25">
      <c r="A7" s="1351" t="s">
        <v>3686</v>
      </c>
      <c r="B7" s="6"/>
    </row>
    <row r="8" spans="1:15" ht="15.75" x14ac:dyDescent="0.25">
      <c r="A8" s="3298" t="s">
        <v>3687</v>
      </c>
      <c r="B8" s="6"/>
    </row>
    <row r="9" spans="1:15" ht="16.5" thickBot="1" x14ac:dyDescent="0.3">
      <c r="A9" s="1582"/>
      <c r="B9" s="6"/>
    </row>
    <row r="10" spans="1:15" ht="19.5" thickBot="1" x14ac:dyDescent="0.35">
      <c r="A10" s="144"/>
      <c r="B10" s="637" t="s">
        <v>484</v>
      </c>
      <c r="C10" s="638"/>
      <c r="D10" s="638"/>
      <c r="E10" s="638"/>
      <c r="F10" s="639"/>
    </row>
    <row r="11" spans="1:15" ht="18.75" x14ac:dyDescent="0.3">
      <c r="A11" s="144"/>
      <c r="B11" s="6"/>
    </row>
    <row r="12" spans="1:15" ht="18.75" x14ac:dyDescent="0.3">
      <c r="A12" s="671" t="s">
        <v>253</v>
      </c>
      <c r="B12" s="672"/>
      <c r="C12" s="672"/>
      <c r="D12" s="672"/>
      <c r="E12" s="672"/>
      <c r="F12" s="672"/>
      <c r="G12" s="672"/>
      <c r="H12" s="672"/>
      <c r="I12" s="672"/>
      <c r="J12" s="672"/>
      <c r="K12" s="675"/>
    </row>
    <row r="13" spans="1:15" x14ac:dyDescent="0.25">
      <c r="A13" s="64" t="s">
        <v>51</v>
      </c>
      <c r="B13" s="6"/>
      <c r="C13" s="6"/>
      <c r="D13" s="6"/>
      <c r="E13" s="6"/>
      <c r="F13" s="6"/>
      <c r="G13" s="6"/>
      <c r="H13" s="6"/>
      <c r="I13" s="6"/>
      <c r="J13" s="6"/>
      <c r="K13" s="678"/>
    </row>
    <row r="14" spans="1:15" x14ac:dyDescent="0.25">
      <c r="A14" s="679" t="s">
        <v>1201</v>
      </c>
      <c r="B14" s="6"/>
      <c r="C14" s="6"/>
      <c r="D14" s="6"/>
      <c r="E14" s="6"/>
      <c r="F14" s="6"/>
      <c r="G14" s="6"/>
      <c r="H14" s="6"/>
      <c r="I14" s="6"/>
      <c r="J14" s="6"/>
      <c r="K14" s="678"/>
    </row>
    <row r="15" spans="1:15" x14ac:dyDescent="0.25">
      <c r="A15" s="679" t="s">
        <v>52</v>
      </c>
      <c r="B15" s="6"/>
      <c r="C15" s="6"/>
      <c r="D15" s="6"/>
      <c r="E15" s="6"/>
      <c r="F15" s="6"/>
      <c r="G15" s="6"/>
      <c r="H15" s="6"/>
      <c r="I15" s="6"/>
      <c r="J15" s="6"/>
      <c r="K15" s="678"/>
    </row>
    <row r="16" spans="1:15" x14ac:dyDescent="0.25">
      <c r="A16" s="751" t="s">
        <v>50</v>
      </c>
      <c r="B16" s="680"/>
      <c r="C16" s="680"/>
      <c r="D16" s="680"/>
      <c r="E16" s="680"/>
      <c r="F16" s="680"/>
      <c r="G16" s="680"/>
      <c r="H16" s="680"/>
      <c r="I16" s="680"/>
      <c r="J16" s="680"/>
      <c r="K16" s="682"/>
    </row>
    <row r="17" spans="1:14" x14ac:dyDescent="0.25">
      <c r="A17" s="64"/>
      <c r="B17" s="6"/>
      <c r="C17" s="6"/>
      <c r="D17" s="6"/>
      <c r="E17" s="6"/>
      <c r="F17" s="6"/>
      <c r="G17" s="6"/>
      <c r="H17" s="6"/>
      <c r="I17" s="6"/>
      <c r="J17" s="6"/>
      <c r="K17" s="6"/>
    </row>
    <row r="18" spans="1:14" x14ac:dyDescent="0.25">
      <c r="A18" s="6"/>
      <c r="B18" s="6"/>
      <c r="C18" s="6"/>
      <c r="D18" s="6"/>
      <c r="E18" s="6"/>
      <c r="F18" s="6"/>
      <c r="G18" s="6"/>
      <c r="H18" s="6"/>
      <c r="I18" s="6"/>
      <c r="J18" s="6"/>
    </row>
    <row r="19" spans="1:14" ht="15.75" x14ac:dyDescent="0.25">
      <c r="A19" s="164" t="s">
        <v>3255</v>
      </c>
      <c r="B19" s="6"/>
    </row>
    <row r="20" spans="1:14" ht="15" customHeight="1" x14ac:dyDescent="0.25">
      <c r="A20" s="33" t="s">
        <v>3256</v>
      </c>
      <c r="B20" s="6"/>
    </row>
    <row r="21" spans="1:14" x14ac:dyDescent="0.25">
      <c r="A21" s="33" t="s">
        <v>3258</v>
      </c>
      <c r="B21" s="6"/>
    </row>
    <row r="22" spans="1:14" x14ac:dyDescent="0.25">
      <c r="A22" s="122" t="s">
        <v>3257</v>
      </c>
      <c r="B22" s="6"/>
    </row>
    <row r="23" spans="1:14" x14ac:dyDescent="0.25">
      <c r="A23" s="122"/>
      <c r="B23" s="6"/>
    </row>
    <row r="24" spans="1:14" ht="19.5" thickBot="1" x14ac:dyDescent="0.35">
      <c r="A24" s="599"/>
      <c r="B24" s="169"/>
      <c r="C24" s="170"/>
      <c r="D24" s="170"/>
      <c r="E24" s="171"/>
      <c r="F24" s="172"/>
      <c r="G24" s="173"/>
      <c r="H24" s="174"/>
      <c r="I24" s="75"/>
      <c r="J24" s="75"/>
      <c r="K24" s="130"/>
      <c r="L24" s="175"/>
      <c r="M24" s="33"/>
    </row>
    <row r="25" spans="1:14" ht="19.5" thickTop="1" x14ac:dyDescent="0.3">
      <c r="A25" s="265" t="s">
        <v>1202</v>
      </c>
      <c r="B25" s="611"/>
      <c r="C25" s="612"/>
      <c r="D25" s="612"/>
      <c r="E25" s="613"/>
      <c r="F25" s="614"/>
      <c r="G25" s="615"/>
      <c r="H25" s="616"/>
      <c r="I25" s="617"/>
      <c r="J25" s="617"/>
      <c r="K25" s="49"/>
      <c r="L25" s="618"/>
      <c r="M25" s="50"/>
      <c r="N25" s="16"/>
    </row>
    <row r="26" spans="1:14" ht="18.75" x14ac:dyDescent="0.3">
      <c r="A26" s="38" t="s">
        <v>3259</v>
      </c>
      <c r="B26" s="169"/>
      <c r="C26" s="170"/>
      <c r="D26" s="170"/>
      <c r="E26" s="171"/>
      <c r="F26" s="172"/>
      <c r="G26" s="173"/>
      <c r="H26" s="174"/>
      <c r="I26" s="75"/>
      <c r="J26" s="75"/>
      <c r="K26" s="130"/>
      <c r="L26" s="175"/>
      <c r="M26" s="33"/>
      <c r="N26" s="39"/>
    </row>
    <row r="27" spans="1:14" ht="15.75" customHeight="1" x14ac:dyDescent="0.3">
      <c r="A27" s="1545" t="s">
        <v>3260</v>
      </c>
      <c r="B27" s="169"/>
      <c r="C27" s="170"/>
      <c r="D27" s="170"/>
      <c r="E27" s="171"/>
      <c r="F27" s="172"/>
      <c r="G27" s="173"/>
      <c r="H27" s="174"/>
      <c r="I27" s="75"/>
      <c r="J27" s="75"/>
      <c r="K27" s="130"/>
      <c r="L27" s="175"/>
      <c r="M27" s="33"/>
      <c r="N27" s="39"/>
    </row>
    <row r="28" spans="1:14" x14ac:dyDescent="0.25">
      <c r="A28" s="1545" t="s">
        <v>3261</v>
      </c>
      <c r="B28" s="93"/>
      <c r="C28" s="601"/>
      <c r="D28" s="601"/>
      <c r="E28" s="602"/>
      <c r="F28" s="603"/>
      <c r="G28" s="604"/>
      <c r="H28" s="603"/>
      <c r="I28" s="603"/>
      <c r="J28" s="603"/>
      <c r="K28" s="604"/>
      <c r="L28" s="603"/>
      <c r="M28" s="604"/>
      <c r="N28" s="39"/>
    </row>
    <row r="29" spans="1:14" x14ac:dyDescent="0.25">
      <c r="A29" s="1609" t="s">
        <v>1765</v>
      </c>
      <c r="B29" s="93"/>
      <c r="C29" s="601"/>
      <c r="D29" s="601"/>
      <c r="E29" s="602"/>
      <c r="F29" s="603"/>
      <c r="G29" s="604"/>
      <c r="H29" s="603"/>
      <c r="I29" s="1648"/>
      <c r="J29" s="1648" t="s">
        <v>1768</v>
      </c>
      <c r="K29" s="604"/>
      <c r="L29" s="603"/>
      <c r="M29" s="604"/>
      <c r="N29" s="1311"/>
    </row>
    <row r="30" spans="1:14" x14ac:dyDescent="0.25">
      <c r="A30" s="1609" t="s">
        <v>1767</v>
      </c>
      <c r="B30" s="93"/>
      <c r="C30" s="601"/>
      <c r="D30" s="601"/>
      <c r="E30" s="602"/>
      <c r="F30" s="603"/>
      <c r="G30" s="604"/>
      <c r="H30" s="603"/>
      <c r="I30" s="603"/>
      <c r="J30" s="603"/>
      <c r="K30" s="604"/>
      <c r="L30" s="603"/>
      <c r="M30" s="604"/>
      <c r="N30" s="1311"/>
    </row>
    <row r="31" spans="1:14" x14ac:dyDescent="0.25">
      <c r="A31" s="463"/>
      <c r="B31" s="93"/>
      <c r="C31" s="601"/>
      <c r="D31" s="601"/>
      <c r="E31" s="602"/>
      <c r="F31" s="603"/>
      <c r="G31" s="604"/>
      <c r="H31" s="603"/>
      <c r="I31" s="603"/>
      <c r="J31" s="603"/>
      <c r="K31" s="604"/>
      <c r="L31" s="603"/>
      <c r="M31" s="604"/>
      <c r="N31" s="39"/>
    </row>
    <row r="32" spans="1:14" ht="15.75" x14ac:dyDescent="0.25">
      <c r="A32" s="463"/>
      <c r="B32" s="647" t="s">
        <v>336</v>
      </c>
      <c r="C32" s="601"/>
      <c r="D32" s="601"/>
      <c r="E32" s="602"/>
      <c r="F32" s="603"/>
      <c r="G32" s="604"/>
      <c r="H32" s="603"/>
      <c r="I32" s="603"/>
      <c r="J32" s="603"/>
      <c r="K32" s="647" t="s">
        <v>590</v>
      </c>
      <c r="L32" s="603"/>
      <c r="M32" s="604"/>
      <c r="N32" s="39"/>
    </row>
    <row r="33" spans="1:15" ht="15.75" x14ac:dyDescent="0.25">
      <c r="A33" s="624">
        <v>1</v>
      </c>
      <c r="B33" s="1351" t="s">
        <v>1370</v>
      </c>
      <c r="C33" s="601"/>
      <c r="D33" s="601"/>
      <c r="E33" s="602"/>
      <c r="F33" s="603"/>
      <c r="G33" s="604"/>
      <c r="H33" s="603"/>
      <c r="I33" s="603"/>
      <c r="J33" s="603"/>
      <c r="K33" s="608" t="s">
        <v>335</v>
      </c>
      <c r="L33" s="603"/>
      <c r="M33" s="604"/>
      <c r="N33" s="39"/>
    </row>
    <row r="34" spans="1:15" ht="15.75" x14ac:dyDescent="0.25">
      <c r="A34" s="625">
        <v>2</v>
      </c>
      <c r="B34" s="1351" t="s">
        <v>1369</v>
      </c>
      <c r="C34" s="601"/>
      <c r="D34" s="63"/>
      <c r="E34" s="602"/>
      <c r="F34" s="603"/>
      <c r="G34" s="604"/>
      <c r="H34" s="603"/>
      <c r="I34" s="603"/>
      <c r="J34" s="603"/>
      <c r="K34" s="608" t="s">
        <v>335</v>
      </c>
      <c r="L34" s="603"/>
      <c r="M34" s="604"/>
      <c r="N34" s="39"/>
    </row>
    <row r="35" spans="1:15" x14ac:dyDescent="0.25">
      <c r="A35" s="624">
        <v>3</v>
      </c>
      <c r="B35" s="123" t="s">
        <v>586</v>
      </c>
      <c r="C35" s="123"/>
      <c r="D35" s="123"/>
      <c r="E35" s="605"/>
      <c r="F35" s="606"/>
      <c r="G35" s="418"/>
      <c r="H35" s="606"/>
      <c r="I35" s="606"/>
      <c r="J35" s="606"/>
      <c r="K35" s="1805" t="s">
        <v>2406</v>
      </c>
      <c r="L35" s="609" t="s">
        <v>337</v>
      </c>
      <c r="M35" s="610"/>
      <c r="N35" s="39"/>
    </row>
    <row r="36" spans="1:15" x14ac:dyDescent="0.25">
      <c r="A36" s="624">
        <v>4</v>
      </c>
      <c r="B36" s="123" t="s">
        <v>587</v>
      </c>
      <c r="C36" s="6"/>
      <c r="D36" s="123"/>
      <c r="E36" s="605"/>
      <c r="F36" s="606"/>
      <c r="G36" s="418"/>
      <c r="H36" s="606"/>
      <c r="I36" s="6"/>
      <c r="J36" s="6"/>
      <c r="K36" s="1805" t="s">
        <v>2406</v>
      </c>
      <c r="N36" s="620"/>
    </row>
    <row r="37" spans="1:15" x14ac:dyDescent="0.25">
      <c r="A37" s="625">
        <v>5</v>
      </c>
      <c r="B37" s="123" t="s">
        <v>588</v>
      </c>
      <c r="C37" s="123"/>
      <c r="D37" s="123"/>
      <c r="E37" s="605"/>
      <c r="F37" s="606"/>
      <c r="G37" s="418"/>
      <c r="H37" s="606"/>
      <c r="I37" s="606"/>
      <c r="J37" s="606"/>
      <c r="K37" s="1805" t="s">
        <v>2406</v>
      </c>
      <c r="L37" s="606"/>
      <c r="M37" s="418"/>
      <c r="N37" s="39"/>
    </row>
    <row r="38" spans="1:15" x14ac:dyDescent="0.25">
      <c r="A38" s="625">
        <v>6</v>
      </c>
      <c r="B38" s="123" t="s">
        <v>483</v>
      </c>
      <c r="C38" s="123"/>
      <c r="D38" s="123"/>
      <c r="E38" s="605"/>
      <c r="F38" s="606"/>
      <c r="G38" s="418"/>
      <c r="H38" s="606"/>
      <c r="I38" s="606"/>
      <c r="J38" s="606"/>
      <c r="K38" s="1805" t="s">
        <v>2406</v>
      </c>
      <c r="L38" s="606"/>
      <c r="M38" s="418"/>
      <c r="N38" s="39"/>
    </row>
    <row r="39" spans="1:15" x14ac:dyDescent="0.25">
      <c r="A39" s="624">
        <v>7</v>
      </c>
      <c r="B39" s="123" t="s">
        <v>582</v>
      </c>
      <c r="C39" s="6"/>
      <c r="D39" s="123"/>
      <c r="E39" s="605"/>
      <c r="F39" s="606"/>
      <c r="G39" s="418"/>
      <c r="H39" s="606"/>
      <c r="I39" s="606"/>
      <c r="J39" s="606"/>
      <c r="K39" s="1805" t="s">
        <v>2406</v>
      </c>
      <c r="L39" s="606"/>
      <c r="M39" s="418"/>
      <c r="N39" s="39"/>
    </row>
    <row r="40" spans="1:15" x14ac:dyDescent="0.25">
      <c r="A40" s="625">
        <v>8</v>
      </c>
      <c r="B40" s="123" t="s">
        <v>583</v>
      </c>
      <c r="C40" s="6"/>
      <c r="D40" s="123"/>
      <c r="E40" s="605"/>
      <c r="F40" s="606"/>
      <c r="G40" s="418"/>
      <c r="H40" s="606"/>
      <c r="I40" s="606"/>
      <c r="J40" s="606"/>
      <c r="K40" s="1805" t="s">
        <v>2406</v>
      </c>
      <c r="L40" s="606"/>
      <c r="M40" s="418"/>
      <c r="N40" s="39"/>
    </row>
    <row r="41" spans="1:15" x14ac:dyDescent="0.25">
      <c r="A41" s="624">
        <v>9</v>
      </c>
      <c r="B41" s="123" t="s">
        <v>589</v>
      </c>
      <c r="C41" s="123"/>
      <c r="D41" s="123"/>
      <c r="E41" s="605"/>
      <c r="F41" s="606"/>
      <c r="G41" s="418"/>
      <c r="H41" s="606"/>
      <c r="I41" s="606"/>
      <c r="J41" s="606"/>
      <c r="K41" s="608" t="s">
        <v>335</v>
      </c>
      <c r="L41" s="2158"/>
      <c r="M41" s="418"/>
      <c r="N41" s="39"/>
    </row>
    <row r="42" spans="1:15" x14ac:dyDescent="0.25">
      <c r="A42" s="625">
        <v>10</v>
      </c>
      <c r="B42" s="123" t="s">
        <v>549</v>
      </c>
      <c r="C42" s="123"/>
      <c r="D42" s="123"/>
      <c r="E42" s="605"/>
      <c r="F42" s="606"/>
      <c r="G42" s="418"/>
      <c r="H42" s="606"/>
      <c r="I42" s="606"/>
      <c r="J42" s="606"/>
      <c r="K42" s="608" t="s">
        <v>335</v>
      </c>
      <c r="L42" s="2158"/>
      <c r="M42" s="418"/>
      <c r="N42" s="39"/>
    </row>
    <row r="43" spans="1:15" x14ac:dyDescent="0.25">
      <c r="A43" s="624">
        <v>11</v>
      </c>
      <c r="B43" s="123" t="s">
        <v>481</v>
      </c>
      <c r="C43" s="123"/>
      <c r="D43" s="123"/>
      <c r="E43" s="605"/>
      <c r="F43" s="606"/>
      <c r="G43" s="418"/>
      <c r="H43" s="606"/>
      <c r="I43" s="606"/>
      <c r="J43" s="606"/>
      <c r="K43" s="989" t="s">
        <v>846</v>
      </c>
      <c r="L43" s="606"/>
      <c r="M43" s="418"/>
      <c r="N43" s="39"/>
    </row>
    <row r="44" spans="1:15" ht="15.75" thickBot="1" x14ac:dyDescent="0.3">
      <c r="A44" s="982">
        <v>12</v>
      </c>
      <c r="B44" s="621" t="s">
        <v>482</v>
      </c>
      <c r="C44" s="41"/>
      <c r="D44" s="41"/>
      <c r="E44" s="41"/>
      <c r="F44" s="41"/>
      <c r="G44" s="41"/>
      <c r="H44" s="41"/>
      <c r="I44" s="41"/>
      <c r="J44" s="41"/>
      <c r="K44" s="1335" t="s">
        <v>1226</v>
      </c>
      <c r="L44" s="622"/>
      <c r="M44" s="623"/>
      <c r="N44" s="43"/>
    </row>
    <row r="45" spans="1:15" ht="15.75" thickTop="1" x14ac:dyDescent="0.25">
      <c r="A45" s="600"/>
      <c r="B45" s="123"/>
      <c r="C45" s="123"/>
      <c r="D45" s="123"/>
      <c r="E45" s="605"/>
      <c r="F45" s="606"/>
      <c r="G45" s="418"/>
      <c r="H45" s="606"/>
      <c r="I45" s="607"/>
      <c r="J45" s="607"/>
      <c r="K45" s="418"/>
      <c r="L45" s="606"/>
      <c r="M45" s="183"/>
    </row>
    <row r="46" spans="1:15" s="15" customFormat="1" ht="13.5" thickBot="1" x14ac:dyDescent="0.3">
      <c r="A46" s="232"/>
      <c r="B46" s="232"/>
      <c r="C46" s="233"/>
      <c r="D46" s="233"/>
      <c r="E46" s="233"/>
      <c r="F46" s="233"/>
      <c r="G46" s="805"/>
      <c r="H46" s="805"/>
      <c r="I46" s="233"/>
      <c r="J46" s="233"/>
      <c r="K46" s="233"/>
      <c r="L46" s="233"/>
      <c r="M46" s="233"/>
      <c r="N46" s="233"/>
    </row>
    <row r="47" spans="1:15" s="2" customFormat="1" ht="19.5" thickTop="1" x14ac:dyDescent="0.3">
      <c r="A47" s="265" t="s">
        <v>72</v>
      </c>
      <c r="B47" s="69"/>
      <c r="C47" s="69"/>
      <c r="D47" s="69"/>
      <c r="E47" s="69"/>
      <c r="F47" s="69"/>
      <c r="G47" s="69"/>
      <c r="H47" s="69"/>
      <c r="I47" s="69"/>
      <c r="J47" s="69"/>
      <c r="K47" s="69"/>
      <c r="L47" s="69"/>
      <c r="M47" s="372"/>
      <c r="N47" s="373"/>
    </row>
    <row r="48" spans="1:15" s="2" customFormat="1" ht="15.75" x14ac:dyDescent="0.25">
      <c r="A48" s="463" t="s">
        <v>647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131"/>
      <c r="N48" s="537"/>
      <c r="O48" s="10"/>
    </row>
    <row r="49" spans="1:14" s="10" customFormat="1" ht="12.75" customHeight="1" x14ac:dyDescent="0.25">
      <c r="A49" s="1545" t="s">
        <v>3262</v>
      </c>
      <c r="B49" s="332"/>
      <c r="C49" s="332"/>
      <c r="D49" s="332"/>
      <c r="E49" s="332"/>
      <c r="F49" s="332"/>
      <c r="G49" s="332"/>
      <c r="H49" s="332"/>
      <c r="I49" s="363"/>
      <c r="J49" s="304"/>
      <c r="K49" s="364"/>
      <c r="L49" s="364"/>
      <c r="M49" s="365"/>
      <c r="N49" s="374"/>
    </row>
    <row r="50" spans="1:14" s="10" customFormat="1" ht="15" customHeight="1" x14ac:dyDescent="0.25">
      <c r="A50" s="1545" t="s">
        <v>3263</v>
      </c>
      <c r="B50" s="93"/>
      <c r="C50" s="364"/>
      <c r="D50" s="364"/>
      <c r="E50" s="364"/>
      <c r="F50" s="364"/>
      <c r="G50" s="364"/>
      <c r="H50" s="3"/>
      <c r="I50" s="364"/>
      <c r="J50" s="364"/>
      <c r="K50" s="364"/>
      <c r="L50" s="364"/>
      <c r="M50" s="364"/>
      <c r="N50" s="657"/>
    </row>
    <row r="51" spans="1:14" s="10" customFormat="1" ht="15" customHeight="1" x14ac:dyDescent="0.25">
      <c r="A51" s="1609" t="s">
        <v>1765</v>
      </c>
      <c r="B51" s="93"/>
      <c r="C51" s="364"/>
      <c r="D51" s="364"/>
      <c r="E51" s="364"/>
      <c r="F51" s="364"/>
      <c r="G51" s="364"/>
      <c r="H51" s="3"/>
      <c r="I51" s="1648"/>
      <c r="J51" s="1648"/>
      <c r="K51" s="1648" t="s">
        <v>1766</v>
      </c>
      <c r="L51" s="364"/>
      <c r="M51" s="364"/>
      <c r="N51" s="1422"/>
    </row>
    <row r="52" spans="1:14" s="10" customFormat="1" ht="15" customHeight="1" x14ac:dyDescent="0.25">
      <c r="A52" s="1609" t="s">
        <v>1767</v>
      </c>
      <c r="B52" s="93"/>
      <c r="C52" s="364"/>
      <c r="D52" s="364"/>
      <c r="E52" s="364"/>
      <c r="F52" s="364"/>
      <c r="G52" s="364"/>
      <c r="H52" s="3"/>
      <c r="I52" s="364"/>
      <c r="J52" s="364"/>
      <c r="K52" s="364"/>
      <c r="L52" s="364"/>
      <c r="M52" s="364"/>
      <c r="N52" s="657"/>
    </row>
    <row r="53" spans="1:14" s="10" customFormat="1" ht="15" customHeight="1" x14ac:dyDescent="0.25">
      <c r="B53" s="93"/>
      <c r="C53" s="364"/>
      <c r="D53" s="364"/>
      <c r="E53" s="364"/>
      <c r="F53" s="364"/>
      <c r="G53" s="364"/>
      <c r="H53" s="3"/>
      <c r="I53" s="364"/>
      <c r="J53" s="364"/>
      <c r="K53" s="364"/>
      <c r="L53" s="364"/>
      <c r="M53" s="364"/>
      <c r="N53" s="657"/>
    </row>
    <row r="54" spans="1:14" s="10" customFormat="1" ht="15" customHeight="1" x14ac:dyDescent="0.25">
      <c r="A54" s="1609" t="s">
        <v>3264</v>
      </c>
      <c r="B54" s="93"/>
      <c r="C54" s="364"/>
      <c r="D54" s="364"/>
      <c r="E54" s="364"/>
      <c r="F54" s="364"/>
      <c r="G54" s="364"/>
      <c r="H54" s="3"/>
      <c r="I54" s="364"/>
      <c r="J54" s="364"/>
      <c r="K54" s="364"/>
      <c r="L54" s="364"/>
      <c r="M54" s="364"/>
      <c r="N54" s="1422"/>
    </row>
    <row r="55" spans="1:14" s="10" customFormat="1" ht="15" customHeight="1" x14ac:dyDescent="0.25">
      <c r="A55" s="1545" t="s">
        <v>3265</v>
      </c>
      <c r="B55" s="93"/>
      <c r="D55" s="364"/>
      <c r="E55" s="364"/>
      <c r="F55" s="364"/>
      <c r="G55" s="364"/>
      <c r="H55" s="3"/>
      <c r="I55" s="364"/>
      <c r="J55" s="364"/>
      <c r="K55" s="364"/>
      <c r="L55" s="364"/>
      <c r="M55" s="364"/>
      <c r="N55" s="1422"/>
    </row>
    <row r="56" spans="1:14" s="369" customFormat="1" ht="46.5" customHeight="1" thickBot="1" x14ac:dyDescent="0.3">
      <c r="A56" s="188"/>
      <c r="B56" s="332"/>
      <c r="C56" s="368"/>
      <c r="D56" s="368"/>
      <c r="E56" s="659"/>
      <c r="F56" s="368"/>
      <c r="G56" s="368"/>
      <c r="H56" s="368"/>
      <c r="I56" s="368"/>
      <c r="J56" s="368"/>
      <c r="K56" s="63" t="s">
        <v>715</v>
      </c>
      <c r="L56" s="938" t="s">
        <v>69</v>
      </c>
      <c r="M56" s="938" t="s">
        <v>327</v>
      </c>
      <c r="N56" s="658"/>
    </row>
    <row r="57" spans="1:14" s="369" customFormat="1" ht="18.75" customHeight="1" thickBot="1" x14ac:dyDescent="0.3">
      <c r="A57" s="807"/>
      <c r="B57" s="448" t="s">
        <v>429</v>
      </c>
      <c r="C57" s="301"/>
      <c r="D57" s="301"/>
      <c r="E57" s="301"/>
      <c r="F57" s="300"/>
      <c r="G57" s="300"/>
      <c r="H57" s="300"/>
      <c r="I57" s="300"/>
      <c r="J57" s="1806" t="s">
        <v>554</v>
      </c>
      <c r="K57" s="368"/>
      <c r="L57" s="130" t="s">
        <v>28</v>
      </c>
      <c r="M57" s="937" t="s">
        <v>1108</v>
      </c>
      <c r="N57" s="658"/>
    </row>
    <row r="58" spans="1:14" s="778" customFormat="1" ht="18.75" customHeight="1" thickBot="1" x14ac:dyDescent="0.3">
      <c r="A58" s="808"/>
      <c r="B58" s="783"/>
      <c r="C58" s="809"/>
      <c r="D58" s="780"/>
      <c r="E58" s="780"/>
      <c r="F58" s="781"/>
      <c r="G58" s="781"/>
      <c r="H58" s="781"/>
      <c r="I58" s="781"/>
      <c r="J58" s="782"/>
      <c r="K58" s="809"/>
      <c r="L58" s="659"/>
      <c r="M58" s="939"/>
      <c r="N58" s="784"/>
    </row>
    <row r="59" spans="1:14" s="369" customFormat="1" ht="18.75" customHeight="1" thickBot="1" x14ac:dyDescent="0.3">
      <c r="A59" s="810"/>
      <c r="B59" s="448" t="s">
        <v>430</v>
      </c>
      <c r="C59" s="300"/>
      <c r="D59" s="300"/>
      <c r="E59" s="301"/>
      <c r="F59" s="301"/>
      <c r="G59" s="300"/>
      <c r="H59" s="300"/>
      <c r="I59" s="300"/>
      <c r="J59" s="1806" t="s">
        <v>554</v>
      </c>
      <c r="K59" s="368"/>
      <c r="L59" s="130" t="s">
        <v>28</v>
      </c>
      <c r="M59" s="937" t="s">
        <v>1100</v>
      </c>
      <c r="N59" s="779"/>
    </row>
    <row r="60" spans="1:14" s="369" customFormat="1" ht="15.75" customHeight="1" thickBot="1" x14ac:dyDescent="0.25">
      <c r="A60" s="302"/>
      <c r="B60" s="350"/>
      <c r="C60" s="3"/>
      <c r="D60" s="3"/>
      <c r="E60" s="3"/>
      <c r="F60" s="3"/>
      <c r="G60" s="3"/>
      <c r="H60" s="366"/>
      <c r="I60" s="367"/>
      <c r="J60" s="3"/>
      <c r="K60" s="368"/>
      <c r="L60" s="368"/>
      <c r="M60" s="936"/>
      <c r="N60" s="375"/>
    </row>
    <row r="61" spans="1:14" s="15" customFormat="1" ht="16.5" customHeight="1" thickBot="1" x14ac:dyDescent="0.3">
      <c r="A61" s="463"/>
      <c r="B61" s="448" t="s">
        <v>428</v>
      </c>
      <c r="C61" s="448"/>
      <c r="D61" s="448"/>
      <c r="E61" s="300"/>
      <c r="F61" s="301"/>
      <c r="G61" s="301"/>
      <c r="H61" s="300"/>
      <c r="I61" s="300"/>
      <c r="J61" s="1806" t="s">
        <v>554</v>
      </c>
      <c r="K61" s="108"/>
      <c r="L61" s="130" t="s">
        <v>29</v>
      </c>
      <c r="M61" s="937" t="s">
        <v>1099</v>
      </c>
      <c r="N61" s="200"/>
    </row>
    <row r="62" spans="1:14" s="15" customFormat="1" ht="19.5" thickBot="1" x14ac:dyDescent="0.35">
      <c r="A62" s="163"/>
      <c r="B62" s="70"/>
      <c r="C62" s="71"/>
      <c r="D62" s="71"/>
      <c r="E62" s="71"/>
      <c r="F62" s="108"/>
      <c r="G62" s="108"/>
      <c r="H62" s="108"/>
      <c r="I62" s="108"/>
      <c r="J62" s="95"/>
      <c r="K62" s="108"/>
      <c r="L62" s="108"/>
      <c r="M62" s="940"/>
      <c r="N62" s="200"/>
    </row>
    <row r="63" spans="1:14" s="15" customFormat="1" ht="15" customHeight="1" thickBot="1" x14ac:dyDescent="0.3">
      <c r="A63" s="262"/>
      <c r="B63" s="448" t="s">
        <v>1513</v>
      </c>
      <c r="C63" s="300"/>
      <c r="D63" s="301"/>
      <c r="E63" s="301"/>
      <c r="F63" s="300"/>
      <c r="G63" s="300"/>
      <c r="H63" s="300"/>
      <c r="I63" s="300"/>
      <c r="J63" s="1806" t="s">
        <v>554</v>
      </c>
      <c r="K63" s="108"/>
      <c r="L63" s="130" t="s">
        <v>437</v>
      </c>
      <c r="M63" s="937" t="s">
        <v>1098</v>
      </c>
      <c r="N63" s="269"/>
    </row>
    <row r="64" spans="1:14" s="15" customFormat="1" ht="14.25" customHeight="1" thickBot="1" x14ac:dyDescent="0.35">
      <c r="A64" s="163"/>
      <c r="B64" s="70"/>
      <c r="C64" s="71"/>
      <c r="D64" s="71"/>
      <c r="E64" s="71"/>
      <c r="F64" s="71"/>
      <c r="G64" s="71"/>
      <c r="H64" s="72"/>
      <c r="I64" s="72"/>
      <c r="J64" s="1151"/>
      <c r="K64" s="71"/>
      <c r="L64" s="71"/>
      <c r="M64" s="941"/>
      <c r="N64" s="200"/>
    </row>
    <row r="65" spans="1:14" s="15" customFormat="1" ht="14.25" customHeight="1" thickBot="1" x14ac:dyDescent="0.35">
      <c r="A65" s="163"/>
      <c r="B65" s="790" t="s">
        <v>431</v>
      </c>
      <c r="C65" s="300"/>
      <c r="D65" s="300"/>
      <c r="E65" s="300"/>
      <c r="F65" s="300"/>
      <c r="G65" s="300"/>
      <c r="H65" s="300"/>
      <c r="I65" s="300"/>
      <c r="J65" s="1806" t="s">
        <v>554</v>
      </c>
      <c r="K65" s="71"/>
      <c r="L65" s="130" t="s">
        <v>30</v>
      </c>
      <c r="M65" s="937" t="s">
        <v>1097</v>
      </c>
      <c r="N65" s="200"/>
    </row>
    <row r="66" spans="1:14" ht="15.75" thickBot="1" x14ac:dyDescent="0.3">
      <c r="A66" s="324"/>
      <c r="B66" s="41"/>
      <c r="C66" s="41"/>
      <c r="D66" s="41"/>
      <c r="E66" s="41"/>
      <c r="F66" s="41"/>
      <c r="G66" s="41"/>
      <c r="H66" s="41"/>
      <c r="I66" s="41"/>
      <c r="J66" s="41"/>
      <c r="K66" s="41"/>
      <c r="L66" s="41"/>
      <c r="M66" s="41"/>
      <c r="N66" s="43"/>
    </row>
    <row r="67" spans="1:14" ht="15.75" thickTop="1" x14ac:dyDescent="0.25"/>
    <row r="68" spans="1:14" ht="15.75" thickBot="1" x14ac:dyDescent="0.3"/>
    <row r="69" spans="1:14" ht="19.5" thickTop="1" x14ac:dyDescent="0.3">
      <c r="A69" s="265" t="s">
        <v>73</v>
      </c>
      <c r="B69" s="69"/>
      <c r="C69" s="69"/>
      <c r="D69" s="69"/>
      <c r="E69" s="69"/>
      <c r="F69" s="69"/>
      <c r="G69" s="69"/>
      <c r="H69" s="69"/>
      <c r="I69" s="69"/>
      <c r="J69" s="69"/>
      <c r="K69" s="69"/>
      <c r="L69" s="69"/>
      <c r="M69" s="372"/>
      <c r="N69" s="373"/>
    </row>
    <row r="70" spans="1:14" ht="15.75" x14ac:dyDescent="0.25">
      <c r="A70" s="463" t="s">
        <v>581</v>
      </c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131"/>
      <c r="N70" s="537"/>
    </row>
    <row r="71" spans="1:14" x14ac:dyDescent="0.25">
      <c r="A71" s="1545" t="s">
        <v>3266</v>
      </c>
      <c r="B71" s="332"/>
      <c r="C71" s="332"/>
      <c r="D71" s="332"/>
      <c r="E71" s="332"/>
      <c r="F71" s="332"/>
      <c r="G71" s="332"/>
      <c r="H71" s="332"/>
      <c r="I71" s="363"/>
      <c r="J71" s="304"/>
      <c r="K71" s="364"/>
      <c r="L71" s="364"/>
      <c r="M71" s="365"/>
      <c r="N71" s="374"/>
    </row>
    <row r="72" spans="1:14" x14ac:dyDescent="0.25">
      <c r="A72" s="1545" t="s">
        <v>3267</v>
      </c>
      <c r="B72" s="93"/>
      <c r="C72" s="364"/>
      <c r="D72" s="364"/>
      <c r="E72" s="364"/>
      <c r="F72" s="364"/>
      <c r="G72" s="364"/>
      <c r="H72" s="3"/>
      <c r="I72" s="364"/>
      <c r="J72" s="364"/>
      <c r="K72" s="364"/>
      <c r="L72" s="364"/>
      <c r="M72" s="364"/>
      <c r="N72" s="657"/>
    </row>
    <row r="73" spans="1:14" x14ac:dyDescent="0.25">
      <c r="A73" s="1609" t="s">
        <v>1765</v>
      </c>
      <c r="B73" s="93"/>
      <c r="C73" s="364"/>
      <c r="D73" s="364"/>
      <c r="E73" s="364"/>
      <c r="F73" s="364"/>
      <c r="G73" s="364"/>
      <c r="H73" s="3"/>
      <c r="K73" s="1648" t="s">
        <v>1766</v>
      </c>
      <c r="L73" s="364"/>
      <c r="M73" s="364"/>
      <c r="N73" s="1422"/>
    </row>
    <row r="74" spans="1:14" x14ac:dyDescent="0.25">
      <c r="A74" s="1609" t="s">
        <v>1767</v>
      </c>
      <c r="B74" s="93"/>
      <c r="C74" s="364"/>
      <c r="D74" s="364"/>
      <c r="E74" s="364"/>
      <c r="F74" s="364"/>
      <c r="G74" s="364"/>
      <c r="H74" s="3"/>
      <c r="I74" s="364"/>
      <c r="J74" s="364"/>
      <c r="K74" s="364"/>
      <c r="L74" s="364"/>
      <c r="M74" s="364"/>
      <c r="N74" s="1422"/>
    </row>
    <row r="75" spans="1:14" x14ac:dyDescent="0.25">
      <c r="A75" s="1609"/>
      <c r="B75" s="93"/>
      <c r="C75" s="364"/>
      <c r="D75" s="364"/>
      <c r="E75" s="364"/>
      <c r="F75" s="364"/>
      <c r="G75" s="364"/>
      <c r="H75" s="3"/>
      <c r="I75" s="364"/>
      <c r="J75" s="364"/>
      <c r="K75" s="364"/>
      <c r="L75" s="364"/>
      <c r="M75" s="364"/>
      <c r="N75" s="1422"/>
    </row>
    <row r="76" spans="1:14" x14ac:dyDescent="0.25">
      <c r="A76" s="1609" t="s">
        <v>1335</v>
      </c>
      <c r="B76" s="93"/>
      <c r="C76" s="364"/>
      <c r="D76" s="364"/>
      <c r="E76" s="364"/>
      <c r="F76" s="364"/>
      <c r="G76" s="364"/>
      <c r="H76" s="3"/>
      <c r="I76" s="364"/>
      <c r="J76" s="364"/>
      <c r="K76" s="364"/>
      <c r="L76" s="364"/>
      <c r="M76" s="364"/>
      <c r="N76" s="1422"/>
    </row>
    <row r="77" spans="1:14" ht="45.75" thickBot="1" x14ac:dyDescent="0.3">
      <c r="A77" s="188"/>
      <c r="B77" s="332"/>
      <c r="C77" s="368"/>
      <c r="D77" s="368"/>
      <c r="E77" s="659"/>
      <c r="F77" s="368"/>
      <c r="G77" s="368"/>
      <c r="H77" s="368"/>
      <c r="I77" s="368"/>
      <c r="J77" s="368"/>
      <c r="K77" s="63" t="s">
        <v>715</v>
      </c>
      <c r="L77" s="938" t="s">
        <v>69</v>
      </c>
      <c r="M77" s="806" t="s">
        <v>716</v>
      </c>
      <c r="N77" s="658"/>
    </row>
    <row r="78" spans="1:14" ht="16.5" thickBot="1" x14ac:dyDescent="0.3">
      <c r="A78" s="807"/>
      <c r="B78" s="448" t="s">
        <v>452</v>
      </c>
      <c r="C78" s="301"/>
      <c r="D78" s="301"/>
      <c r="E78" s="301"/>
      <c r="F78" s="300"/>
      <c r="G78" s="300"/>
      <c r="H78" s="300"/>
      <c r="I78" s="300"/>
      <c r="J78" s="1806" t="s">
        <v>554</v>
      </c>
      <c r="K78" s="368"/>
      <c r="L78" s="130" t="s">
        <v>28</v>
      </c>
      <c r="M78" s="937" t="s">
        <v>1108</v>
      </c>
      <c r="N78" s="658"/>
    </row>
    <row r="79" spans="1:14" ht="15.75" thickBot="1" x14ac:dyDescent="0.3">
      <c r="A79" s="808"/>
      <c r="B79" s="783"/>
      <c r="C79" s="809"/>
      <c r="D79" s="780"/>
      <c r="E79" s="780"/>
      <c r="F79" s="781"/>
      <c r="G79" s="781"/>
      <c r="H79" s="781"/>
      <c r="I79" s="781"/>
      <c r="J79" s="782"/>
      <c r="K79" s="809"/>
      <c r="L79" s="659"/>
      <c r="M79" s="1290"/>
      <c r="N79" s="784"/>
    </row>
    <row r="80" spans="1:14" ht="16.5" thickBot="1" x14ac:dyDescent="0.3">
      <c r="A80" s="810"/>
      <c r="B80" s="448" t="s">
        <v>432</v>
      </c>
      <c r="C80" s="300"/>
      <c r="D80" s="300"/>
      <c r="E80" s="301"/>
      <c r="F80" s="301"/>
      <c r="G80" s="300"/>
      <c r="H80" s="300"/>
      <c r="I80" s="300"/>
      <c r="J80" s="1806" t="s">
        <v>554</v>
      </c>
      <c r="K80" s="368"/>
      <c r="L80" s="130" t="s">
        <v>28</v>
      </c>
      <c r="M80" s="937" t="s">
        <v>1100</v>
      </c>
      <c r="N80" s="779"/>
    </row>
    <row r="81" spans="1:14" ht="15.75" thickBot="1" x14ac:dyDescent="0.3">
      <c r="A81" s="302"/>
      <c r="B81" s="350"/>
      <c r="C81" s="3"/>
      <c r="D81" s="3"/>
      <c r="E81" s="3"/>
      <c r="F81" s="3"/>
      <c r="G81" s="3"/>
      <c r="H81" s="366"/>
      <c r="I81" s="367"/>
      <c r="J81" s="368"/>
      <c r="K81" s="368"/>
      <c r="L81" s="368"/>
      <c r="M81" s="5"/>
      <c r="N81" s="375"/>
    </row>
    <row r="82" spans="1:14" ht="16.5" thickBot="1" x14ac:dyDescent="0.3">
      <c r="A82" s="463"/>
      <c r="B82" s="448" t="s">
        <v>1274</v>
      </c>
      <c r="C82" s="448"/>
      <c r="D82" s="448"/>
      <c r="E82" s="300"/>
      <c r="F82" s="301"/>
      <c r="G82" s="301"/>
      <c r="H82" s="300"/>
      <c r="I82" s="300"/>
      <c r="J82" s="1806" t="s">
        <v>554</v>
      </c>
      <c r="K82" s="108"/>
      <c r="L82" s="130" t="s">
        <v>436</v>
      </c>
      <c r="M82" s="937" t="s">
        <v>1099</v>
      </c>
      <c r="N82" s="200"/>
    </row>
    <row r="83" spans="1:14" ht="16.5" thickBot="1" x14ac:dyDescent="0.3">
      <c r="A83" s="463"/>
      <c r="B83" s="358"/>
      <c r="C83" s="358"/>
      <c r="D83" s="358"/>
      <c r="E83" s="109"/>
      <c r="F83" s="75"/>
      <c r="G83" s="75"/>
      <c r="H83" s="109"/>
      <c r="I83" s="109"/>
      <c r="J83" s="1215"/>
      <c r="K83" s="108"/>
      <c r="L83" s="130"/>
      <c r="M83" s="937"/>
      <c r="N83" s="200"/>
    </row>
    <row r="84" spans="1:14" ht="16.5" thickBot="1" x14ac:dyDescent="0.3">
      <c r="A84" s="463"/>
      <c r="B84" s="448" t="s">
        <v>773</v>
      </c>
      <c r="C84" s="448"/>
      <c r="D84" s="448"/>
      <c r="E84" s="300"/>
      <c r="F84" s="301"/>
      <c r="G84" s="301"/>
      <c r="H84" s="300"/>
      <c r="I84" s="300"/>
      <c r="J84" s="1806" t="s">
        <v>2407</v>
      </c>
      <c r="K84" s="108"/>
      <c r="L84" s="130" t="s">
        <v>436</v>
      </c>
      <c r="M84" s="937" t="s">
        <v>1099</v>
      </c>
      <c r="N84" s="200"/>
    </row>
    <row r="85" spans="1:14" ht="16.5" thickBot="1" x14ac:dyDescent="0.3">
      <c r="A85" s="463"/>
      <c r="B85" s="358"/>
      <c r="C85" s="358"/>
      <c r="D85" s="358"/>
      <c r="E85" s="109"/>
      <c r="F85" s="75"/>
      <c r="G85" s="75"/>
      <c r="H85" s="109"/>
      <c r="I85" s="109"/>
      <c r="J85" s="1215"/>
      <c r="K85" s="108"/>
      <c r="L85" s="130"/>
      <c r="M85" s="937"/>
      <c r="N85" s="200"/>
    </row>
    <row r="86" spans="1:14" ht="16.5" thickBot="1" x14ac:dyDescent="0.3">
      <c r="A86" s="463"/>
      <c r="B86" s="448" t="s">
        <v>832</v>
      </c>
      <c r="C86" s="448"/>
      <c r="D86" s="448"/>
      <c r="E86" s="300"/>
      <c r="F86" s="301"/>
      <c r="G86" s="301"/>
      <c r="H86" s="300"/>
      <c r="I86" s="300"/>
      <c r="J86" s="1806" t="s">
        <v>554</v>
      </c>
      <c r="K86" s="108"/>
      <c r="L86" s="130" t="s">
        <v>436</v>
      </c>
      <c r="M86" s="1330" t="s">
        <v>1106</v>
      </c>
      <c r="N86" s="200"/>
    </row>
    <row r="87" spans="1:14" ht="15.75" thickBot="1" x14ac:dyDescent="0.3">
      <c r="A87" s="324"/>
      <c r="B87" s="41"/>
      <c r="C87" s="41"/>
      <c r="D87" s="41"/>
      <c r="E87" s="41"/>
      <c r="F87" s="41"/>
      <c r="G87" s="41"/>
      <c r="H87" s="41"/>
      <c r="I87" s="41"/>
      <c r="J87" s="41"/>
      <c r="K87" s="41"/>
      <c r="L87" s="41"/>
      <c r="M87" s="41"/>
      <c r="N87" s="43"/>
    </row>
    <row r="88" spans="1:14" ht="15.75" thickTop="1" x14ac:dyDescent="0.25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</row>
    <row r="89" spans="1:14" s="1382" customFormat="1" ht="15.75" x14ac:dyDescent="0.25">
      <c r="B89" s="1383" t="s">
        <v>1128</v>
      </c>
      <c r="G89" s="1383" t="s">
        <v>1127</v>
      </c>
    </row>
    <row r="90" spans="1:14" s="1141" customFormat="1" ht="15.75" thickBot="1" x14ac:dyDescent="0.3">
      <c r="B90" s="1381"/>
      <c r="G90" s="1381"/>
    </row>
    <row r="91" spans="1:14" ht="19.5" thickTop="1" x14ac:dyDescent="0.3">
      <c r="A91" s="960" t="s">
        <v>486</v>
      </c>
      <c r="B91" s="946"/>
      <c r="C91" s="946"/>
      <c r="D91" s="947"/>
      <c r="E91" s="947"/>
      <c r="F91" s="946"/>
      <c r="G91" s="946"/>
      <c r="H91" s="949"/>
    </row>
    <row r="92" spans="1:14" ht="15.75" x14ac:dyDescent="0.25">
      <c r="A92" s="964" t="s">
        <v>736</v>
      </c>
      <c r="B92" s="944"/>
      <c r="C92" s="944"/>
      <c r="D92" s="945"/>
      <c r="E92" s="945"/>
      <c r="F92" s="944"/>
      <c r="G92" s="944"/>
      <c r="H92" s="950"/>
    </row>
    <row r="93" spans="1:14" x14ac:dyDescent="0.25">
      <c r="A93" s="1054"/>
      <c r="B93" s="943" t="s">
        <v>326</v>
      </c>
      <c r="C93" s="945"/>
      <c r="D93" s="945"/>
      <c r="E93" s="945"/>
      <c r="F93" s="944"/>
      <c r="G93" s="944"/>
      <c r="H93" s="950"/>
    </row>
    <row r="94" spans="1:14" x14ac:dyDescent="0.25">
      <c r="A94" s="1054"/>
      <c r="B94" s="1356" t="s">
        <v>870</v>
      </c>
      <c r="C94" s="1357"/>
      <c r="D94" s="1357"/>
      <c r="E94" s="945"/>
      <c r="F94" s="944"/>
      <c r="G94" s="944"/>
      <c r="H94" s="950"/>
    </row>
    <row r="95" spans="1:14" x14ac:dyDescent="0.25">
      <c r="A95" s="1054"/>
      <c r="B95" s="942" t="s">
        <v>1103</v>
      </c>
      <c r="C95" s="945"/>
      <c r="D95" s="945"/>
      <c r="E95" s="945"/>
      <c r="F95" s="944"/>
      <c r="G95" s="944"/>
      <c r="H95" s="950"/>
      <c r="J95" s="1183"/>
    </row>
    <row r="96" spans="1:14" x14ac:dyDescent="0.25">
      <c r="A96" s="1054" t="s">
        <v>154</v>
      </c>
      <c r="B96" s="942" t="s">
        <v>1104</v>
      </c>
      <c r="C96" s="945"/>
      <c r="D96" s="945"/>
      <c r="E96" s="945"/>
      <c r="F96" s="944"/>
      <c r="G96" s="944"/>
      <c r="H96" s="950"/>
    </row>
    <row r="97" spans="1:8" x14ac:dyDescent="0.25">
      <c r="A97" s="1054"/>
      <c r="B97" s="942" t="s">
        <v>1105</v>
      </c>
      <c r="C97" s="945"/>
      <c r="D97" s="945"/>
      <c r="E97" s="945"/>
      <c r="F97" s="944"/>
      <c r="G97" s="944"/>
      <c r="H97" s="950"/>
    </row>
    <row r="98" spans="1:8" x14ac:dyDescent="0.25">
      <c r="A98" s="1890"/>
      <c r="B98" s="942" t="s">
        <v>1106</v>
      </c>
      <c r="C98" s="1019"/>
      <c r="D98" s="945"/>
      <c r="E98" s="945"/>
      <c r="F98" s="944"/>
      <c r="G98" s="944"/>
      <c r="H98" s="950"/>
    </row>
    <row r="99" spans="1:8" x14ac:dyDescent="0.25">
      <c r="A99" s="1890"/>
      <c r="B99" s="942" t="s">
        <v>1449</v>
      </c>
      <c r="C99" s="1019"/>
      <c r="D99" s="945"/>
      <c r="E99" s="945"/>
      <c r="F99" s="944"/>
      <c r="G99" s="944"/>
      <c r="H99" s="950"/>
    </row>
    <row r="100" spans="1:8" x14ac:dyDescent="0.25">
      <c r="A100" s="1890"/>
      <c r="B100" s="942" t="s">
        <v>1462</v>
      </c>
      <c r="C100" s="1019"/>
      <c r="D100" s="945"/>
      <c r="E100" s="945"/>
      <c r="F100" s="944"/>
      <c r="G100" s="944"/>
      <c r="H100" s="950"/>
    </row>
    <row r="101" spans="1:8" x14ac:dyDescent="0.25">
      <c r="A101" s="1890"/>
      <c r="B101" s="942" t="s">
        <v>1450</v>
      </c>
      <c r="C101" s="1019"/>
      <c r="D101" s="945"/>
      <c r="E101" s="945"/>
      <c r="F101" s="944"/>
      <c r="G101" s="944"/>
      <c r="H101" s="950"/>
    </row>
    <row r="102" spans="1:8" x14ac:dyDescent="0.25">
      <c r="A102" s="1890"/>
      <c r="B102" s="942" t="s">
        <v>1107</v>
      </c>
      <c r="C102" s="1019"/>
      <c r="D102" s="945"/>
      <c r="E102" s="945"/>
      <c r="F102" s="944"/>
      <c r="G102" s="944"/>
      <c r="H102" s="950"/>
    </row>
    <row r="103" spans="1:8" x14ac:dyDescent="0.25">
      <c r="A103" s="1890"/>
      <c r="B103" s="943" t="s">
        <v>1108</v>
      </c>
      <c r="C103" s="1019"/>
      <c r="D103" s="945"/>
      <c r="E103" s="945"/>
      <c r="F103" s="944"/>
      <c r="G103" s="944"/>
      <c r="H103" s="950"/>
    </row>
    <row r="104" spans="1:8" x14ac:dyDescent="0.25">
      <c r="A104" s="1890"/>
      <c r="B104" s="943" t="s">
        <v>1100</v>
      </c>
      <c r="C104" s="1019"/>
      <c r="D104" s="945"/>
      <c r="E104" s="945"/>
      <c r="F104" s="944"/>
      <c r="G104" s="944"/>
      <c r="H104" s="950"/>
    </row>
    <row r="105" spans="1:8" x14ac:dyDescent="0.25">
      <c r="A105" s="1054"/>
      <c r="B105" s="943" t="s">
        <v>1099</v>
      </c>
      <c r="C105" s="945"/>
      <c r="D105" s="945"/>
      <c r="E105" s="945"/>
      <c r="F105" s="944"/>
      <c r="G105" s="944"/>
      <c r="H105" s="950"/>
    </row>
    <row r="106" spans="1:8" x14ac:dyDescent="0.25">
      <c r="A106" s="1054"/>
      <c r="B106" s="943" t="s">
        <v>1098</v>
      </c>
      <c r="C106" s="945"/>
      <c r="D106" s="945"/>
      <c r="E106" s="945"/>
      <c r="F106" s="944"/>
      <c r="G106" s="944"/>
      <c r="H106" s="950"/>
    </row>
    <row r="107" spans="1:8" x14ac:dyDescent="0.25">
      <c r="A107" s="1054"/>
      <c r="B107" s="942" t="s">
        <v>1097</v>
      </c>
      <c r="C107" s="945"/>
      <c r="D107" s="945"/>
      <c r="E107" s="945"/>
      <c r="F107" s="944"/>
      <c r="G107" s="944"/>
      <c r="H107" s="950"/>
    </row>
    <row r="108" spans="1:8" x14ac:dyDescent="0.25">
      <c r="A108" s="1054"/>
      <c r="B108" s="943" t="s">
        <v>1101</v>
      </c>
      <c r="C108" s="945"/>
      <c r="D108" s="945"/>
      <c r="E108" s="945"/>
      <c r="F108" s="944"/>
      <c r="G108" s="944"/>
      <c r="H108" s="950"/>
    </row>
    <row r="109" spans="1:8" x14ac:dyDescent="0.25">
      <c r="A109" s="1054"/>
      <c r="B109" s="943" t="s">
        <v>1102</v>
      </c>
      <c r="C109" s="945"/>
      <c r="D109" s="1019" t="s">
        <v>1762</v>
      </c>
      <c r="E109" s="945"/>
      <c r="F109" s="944"/>
      <c r="G109" s="944"/>
      <c r="H109" s="950"/>
    </row>
    <row r="110" spans="1:8" x14ac:dyDescent="0.25">
      <c r="A110" s="1083"/>
      <c r="B110" s="1081" t="s">
        <v>719</v>
      </c>
      <c r="C110" s="945"/>
      <c r="D110" s="1019" t="s">
        <v>1764</v>
      </c>
      <c r="E110" s="945"/>
      <c r="F110" s="944"/>
      <c r="G110" s="944"/>
      <c r="H110" s="950"/>
    </row>
    <row r="111" spans="1:8" x14ac:dyDescent="0.25">
      <c r="A111" s="1083"/>
      <c r="B111" s="1081" t="s">
        <v>720</v>
      </c>
      <c r="C111" s="945"/>
      <c r="D111" s="1019" t="s">
        <v>1289</v>
      </c>
      <c r="E111" s="945"/>
      <c r="F111" s="945"/>
      <c r="G111" s="945"/>
      <c r="H111" s="950"/>
    </row>
    <row r="112" spans="1:8" x14ac:dyDescent="0.25">
      <c r="A112" s="1083"/>
      <c r="B112" s="1081" t="s">
        <v>721</v>
      </c>
      <c r="C112" s="945"/>
      <c r="D112" s="945" t="s">
        <v>722</v>
      </c>
      <c r="E112" s="945"/>
      <c r="F112" s="945"/>
      <c r="G112" s="945"/>
      <c r="H112" s="950"/>
    </row>
    <row r="113" spans="1:8" x14ac:dyDescent="0.25">
      <c r="A113" s="1083"/>
      <c r="B113" s="1081" t="s">
        <v>725</v>
      </c>
      <c r="C113" s="945"/>
      <c r="D113" s="1019" t="s">
        <v>1763</v>
      </c>
      <c r="E113" s="945"/>
      <c r="F113" s="945"/>
      <c r="G113" s="945"/>
      <c r="H113" s="950"/>
    </row>
    <row r="114" spans="1:8" ht="15.75" thickBot="1" x14ac:dyDescent="0.3">
      <c r="A114" s="1088"/>
      <c r="B114" s="1089" t="s">
        <v>577</v>
      </c>
      <c r="C114" s="948"/>
      <c r="D114" s="1087" t="s">
        <v>578</v>
      </c>
      <c r="E114" s="948"/>
      <c r="F114" s="948"/>
      <c r="G114" s="948"/>
      <c r="H114" s="951"/>
    </row>
    <row r="115" spans="1:8" ht="15.75" thickTop="1" x14ac:dyDescent="0.25"/>
  </sheetData>
  <sheetProtection sheet="1" objects="1" scenarios="1"/>
  <phoneticPr fontId="42" type="noConversion"/>
  <dataValidations count="3">
    <dataValidation type="list" allowBlank="1" showInputMessage="1" showErrorMessage="1" sqref="I81 J86 J71 J78:J80 I60 J49 N59 N80 J61 J63 J65 J57:J59 J82:J83">
      <formula1>"yes,no"</formula1>
    </dataValidation>
    <dataValidation type="list" allowBlank="1" showInputMessage="1" showErrorMessage="1" sqref="J84:J85">
      <formula1>"keep,remove"</formula1>
    </dataValidation>
    <dataValidation type="list" allowBlank="1" showInputMessage="1" showErrorMessage="1" sqref="K35:K40">
      <formula1>"used,ignored"</formula1>
    </dataValidation>
  </dataValidations>
  <hyperlinks>
    <hyperlink ref="M63" location="'10. ExpensesData'!A1" display="10. ExpensesData"/>
    <hyperlink ref="M65" location="'11. CashData'!A1" display="11. CashData"/>
    <hyperlink ref="M78" location="'7. IRAdata'!A1" display="7. IRAdata"/>
    <hyperlink ref="M80" location="'8. RothData'!A1" display="8. RothData"/>
    <hyperlink ref="M82" location="'9. SavingsData'!A1" display="9. SavingsData"/>
    <hyperlink ref="M84" location="'9. SavingsData'!A1" display="9. SavingsData"/>
    <hyperlink ref="M86" location="'2. TaxData'!A1" display="2. TaxData"/>
    <hyperlink ref="B1" location="'R. Results'!A1" display="Previous worksheet (R. Results)"/>
    <hyperlink ref="G1" location="'1. AgeData'!A1" display="Next worksheet (1. AgeData)"/>
    <hyperlink ref="B89" location="'R. Results'!A1" display="Previous worksheet (R. Results)"/>
    <hyperlink ref="G89" location="'1. AgeData'!A1" display="Next worksheet (1. AgeData)"/>
    <hyperlink ref="M57" location="'7. IRAdata'!A1" display="7. IRAdata"/>
    <hyperlink ref="M59" location="'8. RothData'!A1" display="8. RothData"/>
    <hyperlink ref="M61" location="'9. SavingsData'!A1" display="9. SavingsData"/>
    <hyperlink ref="B96" location="'S. Setup'!A1" display="Setup"/>
    <hyperlink ref="B97" location="'1. AgeData'!A1" display="AgeData"/>
    <hyperlink ref="B98" location="'2. TaxData'!A1" display="TaxData"/>
    <hyperlink ref="B100" location="'4. PensionData'!A1" display="4. PensionData"/>
    <hyperlink ref="B101" location="'5. SocSecData'!A1" display="5. SocSecData"/>
    <hyperlink ref="B99" location="'3. WorkData'!A1" display="3. WorkData"/>
    <hyperlink ref="B102" location="'6. AnnuityData'!A1" display="AnnuityData"/>
    <hyperlink ref="B103" location="'7. IRAdata'!A1" display="IRAdata"/>
    <hyperlink ref="B104" location="'8. RothData'!A1" display="RothData"/>
    <hyperlink ref="B105" location="'9. SavingsData'!A1" display="SavingsData"/>
    <hyperlink ref="B95" location="'R. Results'!A1" display="Results"/>
    <hyperlink ref="B107" location="'11. CashData'!A1" display="CashData"/>
    <hyperlink ref="B106" location="'10. ExpensesData'!A1" display="ExpensesData"/>
    <hyperlink ref="B108" location="'12. RMDtable'!A1" display="RMDtable"/>
    <hyperlink ref="B93" location="Introduction!A1" display="Introduction"/>
    <hyperlink ref="B113" location="'Appendix D'!A1" display="Appendix D"/>
    <hyperlink ref="B110" location="'Appendix A'!A1" display="Appendix A"/>
    <hyperlink ref="B111" location="'Appendix B'!A1" display="Appendix B"/>
    <hyperlink ref="B112" location="'Appendix C'!A1" display="Appendix C"/>
    <hyperlink ref="B114" location="FAQ!A1" display="FAQ"/>
    <hyperlink ref="B94" location="Assumptions!A1" display="Assumptions"/>
    <hyperlink ref="B109" location="'RS. Resources'!A1" display="Resources"/>
  </hyperlinks>
  <printOptions headings="1" gridLines="1"/>
  <pageMargins left="0.7" right="0.7" top="0.75" bottom="0.75" header="0.3" footer="0.3"/>
  <pageSetup orientation="landscape" horizontalDpi="1200" verticalDpi="1200" r:id="rId1"/>
  <headerFooter>
    <oddHeader>&amp;L&amp;F&amp;C   &amp;D &amp;T&amp;R&amp;A &amp;P</oddHeader>
  </headerFooter>
  <drawing r:id="rId2"/>
  <legacyDrawing r:id="rId3"/>
  <oleObjects>
    <mc:AlternateContent xmlns:mc="http://schemas.openxmlformats.org/markup-compatibility/2006">
      <mc:Choice Requires="x14">
        <oleObject shapeId="20483" r:id="rId4">
          <objectPr defaultSize="0" autoPict="0" r:id="rId5">
            <anchor moveWithCells="1">
              <from>
                <xdr:col>8</xdr:col>
                <xdr:colOff>200025</xdr:colOff>
                <xdr:row>28</xdr:row>
                <xdr:rowOff>66675</xdr:rowOff>
              </from>
              <to>
                <xdr:col>9</xdr:col>
                <xdr:colOff>276225</xdr:colOff>
                <xdr:row>30</xdr:row>
                <xdr:rowOff>142875</xdr:rowOff>
              </to>
            </anchor>
          </objectPr>
        </oleObject>
      </mc:Choice>
      <mc:Fallback>
        <oleObject shapeId="20483" r:id="rId4"/>
      </mc:Fallback>
    </mc:AlternateContent>
    <mc:AlternateContent xmlns:mc="http://schemas.openxmlformats.org/markup-compatibility/2006">
      <mc:Choice Requires="x14">
        <oleObject shapeId="20487" r:id="rId6">
          <objectPr defaultSize="0" autoPict="0" r:id="rId7">
            <anchor moveWithCells="1">
              <from>
                <xdr:col>8</xdr:col>
                <xdr:colOff>295275</xdr:colOff>
                <xdr:row>50</xdr:row>
                <xdr:rowOff>47625</xdr:rowOff>
              </from>
              <to>
                <xdr:col>9</xdr:col>
                <xdr:colOff>428625</xdr:colOff>
                <xdr:row>52</xdr:row>
                <xdr:rowOff>133350</xdr:rowOff>
              </to>
            </anchor>
          </objectPr>
        </oleObject>
      </mc:Choice>
      <mc:Fallback>
        <oleObject shapeId="20487" r:id="rId6"/>
      </mc:Fallback>
    </mc:AlternateContent>
    <mc:AlternateContent xmlns:mc="http://schemas.openxmlformats.org/markup-compatibility/2006">
      <mc:Choice Requires="x14">
        <oleObject shapeId="20488" r:id="rId8">
          <objectPr defaultSize="0" autoPict="0" r:id="rId9">
            <anchor moveWithCells="1">
              <from>
                <xdr:col>8</xdr:col>
                <xdr:colOff>257175</xdr:colOff>
                <xdr:row>72</xdr:row>
                <xdr:rowOff>66675</xdr:rowOff>
              </from>
              <to>
                <xdr:col>9</xdr:col>
                <xdr:colOff>523875</xdr:colOff>
                <xdr:row>75</xdr:row>
                <xdr:rowOff>19050</xdr:rowOff>
              </to>
            </anchor>
          </objectPr>
        </oleObject>
      </mc:Choice>
      <mc:Fallback>
        <oleObject shapeId="20488" r:id="rId8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X158"/>
  <sheetViews>
    <sheetView zoomScaleNormal="100" workbookViewId="0">
      <selection activeCell="E38" sqref="E38"/>
    </sheetView>
  </sheetViews>
  <sheetFormatPr defaultRowHeight="15" x14ac:dyDescent="0.25"/>
  <cols>
    <col min="9" max="9" width="10" customWidth="1"/>
    <col min="11" max="11" width="9" customWidth="1"/>
  </cols>
  <sheetData>
    <row r="1" spans="1:14" s="1382" customFormat="1" ht="15.75" x14ac:dyDescent="0.25">
      <c r="B1" s="1383" t="s">
        <v>1125</v>
      </c>
      <c r="G1" s="1383" t="s">
        <v>1126</v>
      </c>
    </row>
    <row r="2" spans="1:14" x14ac:dyDescent="0.25">
      <c r="A2" s="1149"/>
      <c r="B2" s="1149"/>
      <c r="C2" s="1149"/>
      <c r="D2" s="1149"/>
      <c r="E2" s="1149"/>
      <c r="F2" s="1149"/>
      <c r="G2" s="1149"/>
      <c r="H2" s="1149"/>
      <c r="I2" s="1149"/>
      <c r="J2" s="1149"/>
      <c r="K2" s="1149"/>
      <c r="L2" s="1149"/>
    </row>
    <row r="4" spans="1:14" s="6" customFormat="1" ht="18.75" x14ac:dyDescent="0.3">
      <c r="A4" s="144" t="s">
        <v>2385</v>
      </c>
    </row>
    <row r="5" spans="1:14" s="6" customFormat="1" ht="18.75" x14ac:dyDescent="0.3">
      <c r="A5" s="144" t="s">
        <v>2386</v>
      </c>
    </row>
    <row r="6" spans="1:14" s="6" customFormat="1" ht="18.75" x14ac:dyDescent="0.3">
      <c r="A6" s="144"/>
    </row>
    <row r="7" spans="1:14" ht="15.75" x14ac:dyDescent="0.25">
      <c r="A7" s="1582" t="s">
        <v>2989</v>
      </c>
      <c r="B7" s="6"/>
      <c r="C7" s="6"/>
      <c r="D7" s="6"/>
    </row>
    <row r="8" spans="1:14" x14ac:dyDescent="0.25">
      <c r="A8" s="122" t="s">
        <v>3689</v>
      </c>
      <c r="B8" s="6"/>
      <c r="C8" s="6"/>
      <c r="D8" s="6"/>
    </row>
    <row r="9" spans="1:14" x14ac:dyDescent="0.25">
      <c r="A9" s="1296" t="s">
        <v>3690</v>
      </c>
      <c r="B9" s="6"/>
      <c r="C9" s="6"/>
      <c r="D9" s="6"/>
    </row>
    <row r="10" spans="1:14" x14ac:dyDescent="0.25">
      <c r="A10" s="1296" t="s">
        <v>3688</v>
      </c>
      <c r="B10" s="6"/>
      <c r="C10" s="6"/>
      <c r="D10" s="6"/>
    </row>
    <row r="11" spans="1:14" ht="16.5" thickBot="1" x14ac:dyDescent="0.3">
      <c r="A11" s="1582"/>
      <c r="B11" s="6"/>
      <c r="C11" s="6"/>
      <c r="D11" s="6"/>
    </row>
    <row r="12" spans="1:14" ht="19.5" thickBot="1" x14ac:dyDescent="0.35">
      <c r="A12" s="144"/>
      <c r="B12" s="637" t="s">
        <v>484</v>
      </c>
      <c r="C12" s="638"/>
      <c r="D12" s="638"/>
      <c r="E12" s="638"/>
      <c r="F12" s="639"/>
    </row>
    <row r="13" spans="1:14" ht="18.75" x14ac:dyDescent="0.3">
      <c r="A13" s="144"/>
      <c r="B13" s="714"/>
      <c r="C13" s="33"/>
      <c r="D13" s="33"/>
      <c r="E13" s="33"/>
      <c r="F13" s="33"/>
    </row>
    <row r="14" spans="1:14" ht="18.75" x14ac:dyDescent="0.3">
      <c r="A14" s="671" t="s">
        <v>253</v>
      </c>
      <c r="B14" s="672"/>
      <c r="C14" s="672"/>
      <c r="D14" s="672"/>
      <c r="E14" s="672"/>
      <c r="F14" s="672"/>
      <c r="G14" s="672"/>
      <c r="H14" s="672"/>
      <c r="I14" s="672"/>
      <c r="J14" s="672"/>
      <c r="K14" s="675"/>
      <c r="N14" s="1367"/>
    </row>
    <row r="15" spans="1:14" x14ac:dyDescent="0.25">
      <c r="A15" s="1090" t="s">
        <v>2798</v>
      </c>
      <c r="B15" s="6"/>
      <c r="C15" s="6"/>
      <c r="D15" s="6"/>
      <c r="E15" s="6"/>
      <c r="F15" s="6"/>
      <c r="G15" s="6"/>
      <c r="H15" s="6"/>
      <c r="I15" s="6"/>
      <c r="J15" s="6"/>
      <c r="K15" s="678"/>
    </row>
    <row r="16" spans="1:14" x14ac:dyDescent="0.25">
      <c r="A16" s="676" t="s">
        <v>347</v>
      </c>
      <c r="B16" s="6"/>
      <c r="C16" s="6"/>
      <c r="D16" s="6"/>
      <c r="E16" s="6"/>
      <c r="F16" s="6"/>
      <c r="G16" s="6"/>
      <c r="H16" s="6"/>
      <c r="I16" s="6"/>
      <c r="J16" s="6"/>
      <c r="K16" s="678"/>
    </row>
    <row r="17" spans="1:11" x14ac:dyDescent="0.25">
      <c r="A17" s="676" t="s">
        <v>348</v>
      </c>
      <c r="B17" s="6"/>
      <c r="C17" s="6"/>
      <c r="D17" s="6"/>
      <c r="E17" s="6"/>
      <c r="F17" s="6"/>
      <c r="G17" s="6"/>
      <c r="H17" s="6"/>
      <c r="I17" s="6"/>
      <c r="J17" s="6"/>
      <c r="K17" s="678"/>
    </row>
    <row r="18" spans="1:11" x14ac:dyDescent="0.25">
      <c r="A18" s="676" t="s">
        <v>349</v>
      </c>
      <c r="B18" s="6"/>
      <c r="C18" s="6"/>
      <c r="D18" s="6"/>
      <c r="E18" s="6"/>
      <c r="F18" s="6"/>
      <c r="G18" s="6"/>
      <c r="H18" s="6"/>
      <c r="I18" s="6"/>
      <c r="J18" s="6"/>
      <c r="K18" s="678"/>
    </row>
    <row r="19" spans="1:11" x14ac:dyDescent="0.25">
      <c r="A19" s="1046" t="s">
        <v>1800</v>
      </c>
      <c r="B19" s="680"/>
      <c r="C19" s="680"/>
      <c r="D19" s="680"/>
      <c r="E19" s="680"/>
      <c r="F19" s="680"/>
      <c r="G19" s="680"/>
      <c r="H19" s="680"/>
      <c r="I19" s="680"/>
      <c r="J19" s="680"/>
      <c r="K19" s="682"/>
    </row>
    <row r="20" spans="1:11" x14ac:dyDescent="0.25">
      <c r="A20" s="66"/>
      <c r="B20" s="6"/>
      <c r="C20" s="6"/>
      <c r="D20" s="6"/>
    </row>
    <row r="21" spans="1:11" ht="15.75" customHeight="1" x14ac:dyDescent="0.25">
      <c r="A21" s="64"/>
      <c r="B21" s="6"/>
      <c r="C21" s="6"/>
      <c r="D21" s="6"/>
    </row>
    <row r="22" spans="1:11" ht="15.75" customHeight="1" x14ac:dyDescent="0.25">
      <c r="A22" s="1296" t="s">
        <v>3691</v>
      </c>
      <c r="B22" s="6"/>
      <c r="C22" s="6"/>
      <c r="D22" s="6"/>
    </row>
    <row r="23" spans="1:11" ht="15.75" customHeight="1" x14ac:dyDescent="0.25">
      <c r="A23" s="1296" t="s">
        <v>3692</v>
      </c>
      <c r="B23" s="6"/>
      <c r="C23" s="6"/>
      <c r="D23" s="6"/>
    </row>
    <row r="24" spans="1:11" ht="15.75" customHeight="1" x14ac:dyDescent="0.25">
      <c r="A24" s="1296" t="s">
        <v>3268</v>
      </c>
      <c r="B24" s="6"/>
      <c r="C24" s="6"/>
      <c r="D24" s="6"/>
    </row>
    <row r="25" spans="1:11" x14ac:dyDescent="0.25">
      <c r="A25" s="1296" t="s">
        <v>3269</v>
      </c>
      <c r="B25" s="6"/>
      <c r="C25" s="6"/>
      <c r="D25" s="6"/>
    </row>
    <row r="26" spans="1:11" x14ac:dyDescent="0.25">
      <c r="A26" s="1296" t="s">
        <v>3693</v>
      </c>
      <c r="B26" s="6"/>
      <c r="C26" s="6"/>
      <c r="D26" s="6"/>
    </row>
    <row r="27" spans="1:11" x14ac:dyDescent="0.25">
      <c r="A27" s="227"/>
      <c r="B27" s="6"/>
      <c r="C27" s="6"/>
      <c r="D27" s="6"/>
    </row>
    <row r="28" spans="1:11" ht="15.75" thickBot="1" x14ac:dyDescent="0.3">
      <c r="A28" s="227"/>
      <c r="B28" s="6"/>
      <c r="C28" s="6"/>
      <c r="D28" s="6"/>
    </row>
    <row r="29" spans="1:11" ht="19.5" thickTop="1" x14ac:dyDescent="0.3">
      <c r="A29" s="265" t="s">
        <v>346</v>
      </c>
      <c r="B29" s="42"/>
      <c r="C29" s="42"/>
      <c r="D29" s="14"/>
      <c r="E29" s="14"/>
      <c r="F29" s="14"/>
      <c r="G29" s="14"/>
      <c r="H29" s="14"/>
      <c r="I29" s="14"/>
      <c r="J29" s="14"/>
      <c r="K29" s="16"/>
    </row>
    <row r="30" spans="1:11" x14ac:dyDescent="0.25">
      <c r="A30" s="84" t="s">
        <v>362</v>
      </c>
      <c r="B30" s="66"/>
      <c r="C30" s="66"/>
      <c r="D30" s="1653">
        <v>60</v>
      </c>
      <c r="E30" s="6"/>
      <c r="F30" s="1156" t="s">
        <v>1363</v>
      </c>
      <c r="G30" s="1156"/>
      <c r="H30" s="1156"/>
      <c r="I30" s="1654">
        <v>85</v>
      </c>
      <c r="J30" s="1655" t="str">
        <f>IF(I30&gt;=D30, ".", ("   ERROR must specify decease age &gt;= Current age of S1 of "&amp;D30))</f>
        <v>.</v>
      </c>
      <c r="K30" s="39"/>
    </row>
    <row r="31" spans="1:11" x14ac:dyDescent="0.25">
      <c r="A31" s="84" t="s">
        <v>363</v>
      </c>
      <c r="B31" s="66"/>
      <c r="C31" s="66"/>
      <c r="D31" s="1653">
        <v>55</v>
      </c>
      <c r="E31" s="6"/>
      <c r="F31" s="1156" t="s">
        <v>1364</v>
      </c>
      <c r="G31" s="1156"/>
      <c r="H31" s="1156"/>
      <c r="I31" s="1654">
        <v>87</v>
      </c>
      <c r="J31" s="1655" t="str">
        <f>IF(I31&gt;=D31, ".", ("   ERROR must specify decease age &gt;= Current age of S2 of "&amp;D31))</f>
        <v>.</v>
      </c>
      <c r="K31" s="39"/>
    </row>
    <row r="32" spans="1:11" x14ac:dyDescent="0.25">
      <c r="A32" s="38"/>
      <c r="B32" s="6"/>
      <c r="C32" s="6"/>
      <c r="D32" s="6"/>
      <c r="E32" s="6"/>
      <c r="F32" s="6"/>
      <c r="G32" s="1643" t="s">
        <v>2835</v>
      </c>
      <c r="H32" s="6"/>
      <c r="I32" s="6"/>
      <c r="J32" s="6"/>
      <c r="K32" s="39"/>
    </row>
    <row r="33" spans="1:12" x14ac:dyDescent="0.25">
      <c r="A33" s="38" t="s">
        <v>637</v>
      </c>
      <c r="B33" s="6"/>
      <c r="C33" s="6"/>
      <c r="D33" s="6"/>
      <c r="E33" s="6"/>
      <c r="F33" s="6"/>
      <c r="G33" s="6"/>
      <c r="H33" s="6"/>
      <c r="I33" s="6"/>
      <c r="J33" s="6"/>
      <c r="K33" s="39"/>
    </row>
    <row r="34" spans="1:12" ht="15.75" thickBot="1" x14ac:dyDescent="0.3">
      <c r="A34" s="324" t="s">
        <v>638</v>
      </c>
      <c r="B34" s="41"/>
      <c r="C34" s="41"/>
      <c r="D34" s="41"/>
      <c r="E34" s="41"/>
      <c r="F34" s="41"/>
      <c r="G34" s="41"/>
      <c r="H34" s="41"/>
      <c r="I34" s="41"/>
      <c r="J34" s="41"/>
      <c r="K34" s="43"/>
    </row>
    <row r="35" spans="1:12" ht="15.75" thickTop="1" x14ac:dyDescent="0.25"/>
    <row r="36" spans="1:12" ht="15.75" thickBot="1" x14ac:dyDescent="0.3"/>
    <row r="37" spans="1:12" ht="19.5" thickTop="1" x14ac:dyDescent="0.3">
      <c r="A37" s="265" t="s">
        <v>639</v>
      </c>
      <c r="B37" s="14"/>
      <c r="C37" s="14"/>
      <c r="D37" s="14"/>
      <c r="E37" s="14"/>
      <c r="F37" s="14"/>
      <c r="G37" s="14"/>
      <c r="H37" s="14"/>
      <c r="I37" s="14"/>
      <c r="J37" s="14"/>
      <c r="K37" s="16"/>
    </row>
    <row r="38" spans="1:12" x14ac:dyDescent="0.25">
      <c r="A38" s="354" t="s">
        <v>635</v>
      </c>
      <c r="B38" s="293"/>
      <c r="C38" s="293"/>
      <c r="D38" s="293"/>
      <c r="E38" s="1656">
        <v>0.02</v>
      </c>
      <c r="F38" s="6" t="s">
        <v>1313</v>
      </c>
      <c r="G38" s="6"/>
      <c r="H38" s="6"/>
      <c r="I38" s="6"/>
      <c r="J38" s="6"/>
      <c r="K38" s="39"/>
    </row>
    <row r="39" spans="1:12" x14ac:dyDescent="0.25">
      <c r="B39" s="293"/>
      <c r="C39" s="293"/>
      <c r="D39" s="293"/>
      <c r="E39" s="134"/>
      <c r="F39" s="6"/>
      <c r="G39" s="6"/>
      <c r="H39" s="6"/>
      <c r="I39" s="6"/>
      <c r="J39" s="6"/>
      <c r="K39" s="1311"/>
    </row>
    <row r="40" spans="1:12" x14ac:dyDescent="0.25">
      <c r="A40" s="292" t="s">
        <v>636</v>
      </c>
      <c r="B40" s="293"/>
      <c r="C40" s="293"/>
      <c r="D40" s="293"/>
      <c r="E40" s="327"/>
      <c r="F40" s="6"/>
      <c r="G40" s="6"/>
      <c r="H40" s="6"/>
      <c r="I40" s="6"/>
      <c r="J40" s="6"/>
      <c r="K40" s="39"/>
    </row>
    <row r="41" spans="1:12" x14ac:dyDescent="0.25">
      <c r="A41" s="1267" t="s">
        <v>1365</v>
      </c>
      <c r="B41" s="6"/>
      <c r="C41" s="6"/>
      <c r="D41" s="6"/>
      <c r="E41" s="6"/>
      <c r="F41" s="6"/>
      <c r="G41" s="6"/>
      <c r="H41" s="6"/>
      <c r="I41" s="6"/>
      <c r="J41" s="6"/>
      <c r="K41" s="39"/>
    </row>
    <row r="42" spans="1:12" x14ac:dyDescent="0.25">
      <c r="A42" s="1267" t="s">
        <v>3694</v>
      </c>
      <c r="B42" s="6"/>
      <c r="C42" s="6"/>
      <c r="D42" s="6"/>
      <c r="E42" s="6"/>
      <c r="F42" s="6"/>
      <c r="G42" s="6"/>
      <c r="H42" s="6"/>
      <c r="I42" s="6"/>
      <c r="J42" s="6"/>
      <c r="K42" s="39"/>
    </row>
    <row r="43" spans="1:12" x14ac:dyDescent="0.25">
      <c r="A43" s="1267" t="s">
        <v>3695</v>
      </c>
      <c r="B43" s="6"/>
      <c r="C43" s="6"/>
      <c r="D43" s="6"/>
      <c r="E43" s="6"/>
      <c r="F43" s="6"/>
      <c r="G43" s="6"/>
      <c r="H43" s="6"/>
      <c r="I43" s="6"/>
      <c r="J43" s="6"/>
      <c r="K43" s="39"/>
    </row>
    <row r="44" spans="1:12" ht="15.75" thickBot="1" x14ac:dyDescent="0.3">
      <c r="A44" s="1639" t="s">
        <v>3696</v>
      </c>
      <c r="B44" s="41"/>
      <c r="C44" s="41"/>
      <c r="D44" s="41"/>
      <c r="E44" s="41"/>
      <c r="F44" s="41"/>
      <c r="G44" s="41"/>
      <c r="H44" s="41"/>
      <c r="I44" s="41"/>
      <c r="J44" s="41"/>
      <c r="K44" s="43"/>
    </row>
    <row r="45" spans="1:12" ht="15.75" thickTop="1" x14ac:dyDescent="0.25">
      <c r="A45" s="1371" t="s">
        <v>756</v>
      </c>
    </row>
    <row r="46" spans="1:12" ht="15.75" thickBot="1" x14ac:dyDescent="0.3"/>
    <row r="47" spans="1:12" ht="19.5" thickTop="1" x14ac:dyDescent="0.3">
      <c r="A47" s="265" t="s">
        <v>780</v>
      </c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336"/>
    </row>
    <row r="48" spans="1:12" x14ac:dyDescent="0.25">
      <c r="A48" s="1638" t="s">
        <v>1314</v>
      </c>
      <c r="B48" s="6"/>
      <c r="C48" s="6"/>
      <c r="D48" s="6"/>
      <c r="E48" s="6"/>
      <c r="F48" s="6"/>
      <c r="G48" s="6"/>
      <c r="H48" s="6"/>
      <c r="I48" s="6"/>
      <c r="J48" s="6"/>
      <c r="K48" s="6"/>
      <c r="L48" s="1336"/>
    </row>
    <row r="49" spans="1:14" x14ac:dyDescent="0.25">
      <c r="A49" s="1638"/>
      <c r="B49" s="6"/>
      <c r="C49" s="6"/>
      <c r="D49" s="6"/>
      <c r="E49" s="6"/>
      <c r="F49" s="6"/>
      <c r="G49" s="6"/>
      <c r="H49" s="6"/>
      <c r="I49" s="6"/>
      <c r="J49" s="6"/>
      <c r="K49" s="6"/>
      <c r="L49" s="1336"/>
    </row>
    <row r="50" spans="1:14" x14ac:dyDescent="0.25">
      <c r="A50" s="68" t="s">
        <v>558</v>
      </c>
      <c r="B50" s="356"/>
      <c r="C50" s="356"/>
      <c r="D50" s="356"/>
      <c r="E50" s="1657">
        <v>4.4999999999999998E-2</v>
      </c>
      <c r="F50" s="165" t="s">
        <v>1367</v>
      </c>
      <c r="H50" s="6"/>
      <c r="I50" s="6"/>
      <c r="J50" s="6"/>
      <c r="K50" s="6"/>
      <c r="L50" s="1336"/>
    </row>
    <row r="51" spans="1:14" x14ac:dyDescent="0.25">
      <c r="A51" s="68" t="s">
        <v>559</v>
      </c>
      <c r="B51" s="356"/>
      <c r="C51" s="356"/>
      <c r="D51" s="356"/>
      <c r="E51" s="1657">
        <v>1.7500000000000002E-2</v>
      </c>
      <c r="F51" s="165" t="s">
        <v>1366</v>
      </c>
      <c r="H51" s="6"/>
      <c r="I51" s="6"/>
      <c r="J51" s="6"/>
      <c r="K51" s="6"/>
      <c r="L51" s="1336"/>
    </row>
    <row r="52" spans="1:14" x14ac:dyDescent="0.25">
      <c r="A52" s="1312" t="s">
        <v>2657</v>
      </c>
      <c r="B52" s="1296"/>
      <c r="C52" s="66"/>
      <c r="D52" s="66"/>
      <c r="E52" s="1656">
        <v>1E-4</v>
      </c>
      <c r="F52" s="165" t="s">
        <v>2658</v>
      </c>
      <c r="H52" s="6"/>
      <c r="I52" s="6"/>
      <c r="J52" s="6"/>
      <c r="K52" s="6"/>
      <c r="L52" s="1336"/>
    </row>
    <row r="53" spans="1:14" x14ac:dyDescent="0.25">
      <c r="A53" s="1312"/>
      <c r="B53" s="356"/>
      <c r="C53" s="356"/>
      <c r="D53" s="356"/>
      <c r="E53" s="1657"/>
      <c r="F53" s="165"/>
      <c r="H53" s="6"/>
      <c r="I53" s="6"/>
      <c r="J53" s="6"/>
      <c r="K53" s="6"/>
      <c r="L53" s="1336"/>
    </row>
    <row r="54" spans="1:14" x14ac:dyDescent="0.25">
      <c r="A54" s="1267" t="s">
        <v>1576</v>
      </c>
      <c r="B54" s="63"/>
      <c r="C54" s="63"/>
      <c r="D54" s="63"/>
      <c r="E54" s="134"/>
      <c r="F54" s="1296"/>
      <c r="H54" s="6"/>
      <c r="I54" s="6"/>
      <c r="J54" s="6"/>
      <c r="K54" s="6"/>
      <c r="L54" s="1336"/>
    </row>
    <row r="55" spans="1:14" x14ac:dyDescent="0.25">
      <c r="A55" s="67" t="s">
        <v>1315</v>
      </c>
      <c r="B55" s="67"/>
      <c r="C55" s="67"/>
      <c r="D55" s="67"/>
      <c r="E55" s="67"/>
      <c r="F55" s="67" t="s">
        <v>1227</v>
      </c>
      <c r="J55" s="6"/>
      <c r="K55" s="6"/>
      <c r="L55" s="1336"/>
    </row>
    <row r="56" spans="1:14" ht="15.75" thickBot="1" x14ac:dyDescent="0.3">
      <c r="A56" s="1639" t="s">
        <v>2706</v>
      </c>
      <c r="B56" s="154"/>
      <c r="C56" s="154"/>
      <c r="D56" s="154"/>
      <c r="E56" s="154"/>
      <c r="F56" s="1640"/>
      <c r="G56" s="41"/>
      <c r="H56" s="41"/>
      <c r="I56" s="41"/>
      <c r="J56" s="41"/>
      <c r="K56" s="41"/>
      <c r="L56" s="1336"/>
    </row>
    <row r="57" spans="1:14" ht="15.75" thickTop="1" x14ac:dyDescent="0.25">
      <c r="A57" s="1296"/>
      <c r="B57" s="66"/>
      <c r="C57" s="66"/>
      <c r="D57" s="66"/>
      <c r="E57" s="66"/>
      <c r="F57" s="1296"/>
      <c r="G57" s="6"/>
      <c r="H57" s="6"/>
      <c r="I57" s="6"/>
      <c r="J57" s="6"/>
      <c r="K57" s="6"/>
      <c r="L57" s="6"/>
    </row>
    <row r="58" spans="1:14" ht="15.75" thickBot="1" x14ac:dyDescent="0.3">
      <c r="A58" s="1296"/>
      <c r="B58" s="66"/>
      <c r="C58" s="66"/>
      <c r="D58" s="66"/>
      <c r="E58" s="66"/>
      <c r="F58" s="1296"/>
      <c r="G58" s="6"/>
      <c r="H58" s="6"/>
      <c r="I58" s="6"/>
      <c r="J58" s="6"/>
      <c r="K58" s="6"/>
      <c r="L58" s="6"/>
      <c r="N58" s="1183"/>
    </row>
    <row r="59" spans="1:14" ht="19.5" thickTop="1" x14ac:dyDescent="0.3">
      <c r="A59" s="1340" t="s">
        <v>1799</v>
      </c>
      <c r="B59" s="1341"/>
      <c r="C59" s="1341"/>
      <c r="D59" s="1341"/>
      <c r="E59" s="1341"/>
      <c r="F59" s="1341"/>
      <c r="G59" s="1341"/>
      <c r="H59" s="1341"/>
      <c r="I59" s="1341"/>
      <c r="J59" s="1341"/>
      <c r="K59" s="1342"/>
      <c r="L59" s="6"/>
      <c r="N59" s="1183"/>
    </row>
    <row r="60" spans="1:14" x14ac:dyDescent="0.25">
      <c r="A60" s="1416" t="s">
        <v>2383</v>
      </c>
      <c r="B60" s="6"/>
      <c r="C60" s="6"/>
      <c r="D60" s="6"/>
      <c r="E60" s="6"/>
      <c r="F60" s="6"/>
      <c r="G60" s="6"/>
      <c r="H60" s="6"/>
      <c r="I60" s="6"/>
      <c r="J60" s="6"/>
      <c r="K60" s="1311"/>
      <c r="L60" s="6"/>
    </row>
    <row r="61" spans="1:14" x14ac:dyDescent="0.25">
      <c r="A61" s="1416" t="s">
        <v>1971</v>
      </c>
      <c r="B61" s="6"/>
      <c r="C61" s="6"/>
      <c r="D61" s="6"/>
      <c r="E61" s="6"/>
      <c r="F61" s="6"/>
      <c r="G61" s="6"/>
      <c r="H61" s="6"/>
      <c r="I61" s="6"/>
      <c r="J61" s="6"/>
      <c r="K61" s="1311"/>
      <c r="L61" s="6"/>
      <c r="N61" s="1183"/>
    </row>
    <row r="62" spans="1:14" x14ac:dyDescent="0.25">
      <c r="A62" s="1416" t="s">
        <v>1972</v>
      </c>
      <c r="B62" s="6"/>
      <c r="C62" s="6"/>
      <c r="D62" s="6"/>
      <c r="E62" s="6"/>
      <c r="F62" s="6"/>
      <c r="G62" s="6"/>
      <c r="H62" s="6"/>
      <c r="I62" s="6"/>
      <c r="J62" s="6"/>
      <c r="K62" s="1311"/>
      <c r="L62" s="6"/>
      <c r="N62" s="1183"/>
    </row>
    <row r="63" spans="1:14" x14ac:dyDescent="0.25">
      <c r="A63" s="1416" t="s">
        <v>1798</v>
      </c>
      <c r="B63" s="6"/>
      <c r="C63" s="6"/>
      <c r="D63" s="6"/>
      <c r="E63" s="6"/>
      <c r="F63" s="6"/>
      <c r="G63" s="6"/>
      <c r="H63" s="6"/>
      <c r="I63" s="6"/>
      <c r="J63" s="6"/>
      <c r="K63" s="1311"/>
      <c r="L63" s="6"/>
    </row>
    <row r="64" spans="1:14" x14ac:dyDescent="0.25">
      <c r="A64" s="1416" t="s">
        <v>1804</v>
      </c>
      <c r="B64" s="6"/>
      <c r="C64" s="6"/>
      <c r="D64" s="6"/>
      <c r="E64" s="6"/>
      <c r="F64" s="6"/>
      <c r="G64" s="6"/>
      <c r="H64" s="6"/>
      <c r="I64" s="6"/>
      <c r="J64" s="6"/>
      <c r="K64" s="1311"/>
      <c r="L64" s="6"/>
    </row>
    <row r="65" spans="1:12" x14ac:dyDescent="0.25">
      <c r="A65" s="1416" t="s">
        <v>2384</v>
      </c>
      <c r="B65" s="6"/>
      <c r="C65" s="6"/>
      <c r="D65" s="6"/>
      <c r="E65" s="6"/>
      <c r="F65" s="6"/>
      <c r="G65" s="6"/>
      <c r="H65" s="6"/>
      <c r="I65" s="6"/>
      <c r="J65" s="6"/>
      <c r="K65" s="1311"/>
      <c r="L65" s="6"/>
    </row>
    <row r="66" spans="1:12" x14ac:dyDescent="0.25">
      <c r="A66" s="1416" t="s">
        <v>1806</v>
      </c>
      <c r="B66" s="6"/>
      <c r="C66" s="6"/>
      <c r="D66" s="6"/>
      <c r="E66" s="6"/>
      <c r="F66" s="6"/>
      <c r="G66" s="6"/>
      <c r="H66" s="6"/>
      <c r="I66" s="6"/>
      <c r="J66" s="6"/>
      <c r="K66" s="1311"/>
      <c r="L66" s="6"/>
    </row>
    <row r="67" spans="1:12" x14ac:dyDescent="0.25">
      <c r="A67" s="1416" t="s">
        <v>1805</v>
      </c>
      <c r="B67" s="6"/>
      <c r="C67" s="6"/>
      <c r="D67" s="6"/>
      <c r="E67" s="6"/>
      <c r="F67" s="6"/>
      <c r="G67" s="6"/>
      <c r="H67" s="6"/>
      <c r="I67" s="6"/>
      <c r="J67" s="6"/>
      <c r="K67" s="1311"/>
      <c r="L67" s="6"/>
    </row>
    <row r="68" spans="1:12" x14ac:dyDescent="0.25">
      <c r="A68" s="1416" t="s">
        <v>2379</v>
      </c>
      <c r="B68" s="6"/>
      <c r="C68" s="6"/>
      <c r="D68" s="6"/>
      <c r="E68" s="6"/>
      <c r="F68" s="6"/>
      <c r="G68" s="6"/>
      <c r="H68" s="6"/>
      <c r="I68" s="6"/>
      <c r="J68" s="6"/>
      <c r="K68" s="1311"/>
      <c r="L68" s="6"/>
    </row>
    <row r="69" spans="1:12" x14ac:dyDescent="0.25">
      <c r="A69" s="1416" t="s">
        <v>2404</v>
      </c>
      <c r="B69" s="6"/>
      <c r="C69" s="6"/>
      <c r="D69" s="6"/>
      <c r="E69" s="6"/>
      <c r="F69" s="6"/>
      <c r="G69" s="6"/>
      <c r="H69" s="6"/>
      <c r="I69" s="6"/>
      <c r="J69" s="6"/>
      <c r="K69" s="1311"/>
      <c r="L69" s="6"/>
    </row>
    <row r="70" spans="1:12" x14ac:dyDescent="0.25">
      <c r="A70" s="1296"/>
      <c r="B70" s="6"/>
      <c r="C70" s="6"/>
      <c r="D70" s="6"/>
      <c r="E70" s="6"/>
      <c r="F70" s="6"/>
      <c r="G70" s="6"/>
      <c r="H70" s="6"/>
      <c r="I70" s="6"/>
      <c r="J70" s="6"/>
      <c r="K70" s="1311"/>
      <c r="L70" s="6"/>
    </row>
    <row r="71" spans="1:12" x14ac:dyDescent="0.25">
      <c r="A71" s="1155" t="s">
        <v>1847</v>
      </c>
      <c r="B71" s="5"/>
      <c r="C71" s="356"/>
      <c r="D71" s="697"/>
      <c r="E71" s="1172"/>
      <c r="F71" s="3111"/>
      <c r="G71" s="1653"/>
      <c r="H71" s="6"/>
      <c r="I71" s="6"/>
      <c r="J71" s="1653"/>
      <c r="K71" s="1311"/>
      <c r="L71" s="6"/>
    </row>
    <row r="72" spans="1:12" ht="15.75" thickBot="1" x14ac:dyDescent="0.3">
      <c r="A72" s="1155"/>
      <c r="B72" s="5"/>
      <c r="C72" s="356"/>
      <c r="D72" s="697"/>
      <c r="E72" s="1172"/>
      <c r="F72" s="3111"/>
      <c r="G72" s="1653"/>
      <c r="H72" s="6"/>
      <c r="I72" s="6"/>
      <c r="J72" s="1653"/>
      <c r="K72" s="1311"/>
      <c r="L72" s="6"/>
    </row>
    <row r="73" spans="1:12" ht="53.25" thickTop="1" thickBot="1" x14ac:dyDescent="0.3">
      <c r="A73" s="1312"/>
      <c r="B73" s="3106" t="s">
        <v>2370</v>
      </c>
      <c r="C73" s="2038" t="s">
        <v>2371</v>
      </c>
      <c r="D73" s="2038" t="s">
        <v>2372</v>
      </c>
      <c r="E73" s="2039" t="s">
        <v>2374</v>
      </c>
      <c r="F73" s="2039" t="s">
        <v>2375</v>
      </c>
      <c r="G73" s="2039" t="s">
        <v>2382</v>
      </c>
      <c r="H73" s="1256" t="s">
        <v>2373</v>
      </c>
      <c r="I73" s="3117" t="s">
        <v>2410</v>
      </c>
      <c r="J73" s="1653"/>
      <c r="K73" s="1311"/>
      <c r="L73" s="6"/>
    </row>
    <row r="74" spans="1:12" ht="16.5" thickTop="1" thickBot="1" x14ac:dyDescent="0.3">
      <c r="A74" s="1312"/>
      <c r="B74" s="2057">
        <v>1</v>
      </c>
      <c r="C74" s="3220">
        <v>150000</v>
      </c>
      <c r="D74" s="3109">
        <v>0.01</v>
      </c>
      <c r="E74" s="3107">
        <v>65</v>
      </c>
      <c r="F74" s="3114">
        <f>IF(E74&gt;$D$30,E74,$D$30)</f>
        <v>65</v>
      </c>
      <c r="G74" s="3112">
        <v>0</v>
      </c>
      <c r="H74" s="3115">
        <f>IF(G74&gt;F74,G74,$I$30)</f>
        <v>85</v>
      </c>
      <c r="I74" s="3119" t="s">
        <v>1797</v>
      </c>
      <c r="J74" s="1653"/>
      <c r="K74" s="1311"/>
      <c r="L74" s="6"/>
    </row>
    <row r="75" spans="1:12" ht="15.75" thickBot="1" x14ac:dyDescent="0.3">
      <c r="A75" s="1312"/>
      <c r="B75" s="3108">
        <v>2</v>
      </c>
      <c r="C75" s="3143">
        <v>50000</v>
      </c>
      <c r="D75" s="3110">
        <v>0</v>
      </c>
      <c r="E75" s="2067">
        <v>0</v>
      </c>
      <c r="F75" s="3005">
        <f>IF(E75&gt;$D$30,E75,$D$30)</f>
        <v>60</v>
      </c>
      <c r="G75" s="3113">
        <v>80</v>
      </c>
      <c r="H75" s="3116">
        <f>IF(G75&gt;F75,G75,$I$30)</f>
        <v>80</v>
      </c>
      <c r="I75" s="3120" t="s">
        <v>1797</v>
      </c>
      <c r="J75" s="1653"/>
      <c r="K75" s="1311"/>
      <c r="L75" s="6"/>
    </row>
    <row r="76" spans="1:12" ht="16.5" thickTop="1" thickBot="1" x14ac:dyDescent="0.3">
      <c r="A76" s="1312"/>
      <c r="B76" s="5"/>
      <c r="C76" s="356"/>
      <c r="D76" s="697"/>
      <c r="E76" s="1172"/>
      <c r="F76" s="3111"/>
      <c r="G76" s="1653"/>
      <c r="H76" s="6"/>
      <c r="I76" s="6"/>
      <c r="J76" s="1653"/>
      <c r="K76" s="1311"/>
      <c r="L76" s="6"/>
    </row>
    <row r="77" spans="1:12" ht="53.25" thickTop="1" thickBot="1" x14ac:dyDescent="0.3">
      <c r="A77" s="1312"/>
      <c r="B77" s="3106" t="s">
        <v>2370</v>
      </c>
      <c r="C77" s="2038" t="s">
        <v>2376</v>
      </c>
      <c r="D77" s="2038" t="s">
        <v>2377</v>
      </c>
      <c r="E77" s="2039" t="s">
        <v>2378</v>
      </c>
      <c r="F77" s="2039" t="s">
        <v>2396</v>
      </c>
      <c r="G77" s="2039" t="s">
        <v>2398</v>
      </c>
      <c r="H77" s="1256" t="s">
        <v>2397</v>
      </c>
      <c r="I77" s="3118" t="s">
        <v>2411</v>
      </c>
      <c r="J77" s="1653"/>
      <c r="K77" s="1311"/>
      <c r="L77" s="6"/>
    </row>
    <row r="78" spans="1:12" ht="16.5" thickTop="1" thickBot="1" x14ac:dyDescent="0.3">
      <c r="A78" s="1312"/>
      <c r="B78" s="2057">
        <v>1</v>
      </c>
      <c r="C78" s="3220">
        <v>125000</v>
      </c>
      <c r="D78" s="3109">
        <v>0</v>
      </c>
      <c r="E78" s="3107">
        <v>56</v>
      </c>
      <c r="F78" s="3114">
        <f>IF(E78&gt;$D$31,E78,$D$31)</f>
        <v>56</v>
      </c>
      <c r="G78" s="3112">
        <v>80</v>
      </c>
      <c r="H78" s="3115">
        <f>IF(G78&gt;=F78,G78,$I$31)</f>
        <v>80</v>
      </c>
      <c r="I78" s="3119" t="s">
        <v>1808</v>
      </c>
      <c r="J78" s="1653"/>
      <c r="K78" s="1311"/>
      <c r="L78" s="6"/>
    </row>
    <row r="79" spans="1:12" ht="15.75" thickBot="1" x14ac:dyDescent="0.3">
      <c r="A79" s="1312"/>
      <c r="B79" s="3108">
        <v>2</v>
      </c>
      <c r="C79" s="3143">
        <v>30000</v>
      </c>
      <c r="D79" s="3110">
        <v>0</v>
      </c>
      <c r="E79" s="2067">
        <v>0</v>
      </c>
      <c r="F79" s="3005">
        <f>IF(E79&gt;$D$31,E79,$D$31)</f>
        <v>55</v>
      </c>
      <c r="G79" s="3113">
        <v>0</v>
      </c>
      <c r="H79" s="3116">
        <f>IF(G79&gt;=F79,G79,$I$31)</f>
        <v>87</v>
      </c>
      <c r="I79" s="3120" t="s">
        <v>1808</v>
      </c>
      <c r="J79" s="1653"/>
      <c r="K79" s="1311"/>
      <c r="L79" s="6"/>
    </row>
    <row r="80" spans="1:12" ht="16.5" thickTop="1" thickBot="1" x14ac:dyDescent="0.3">
      <c r="A80" s="1313"/>
      <c r="B80" s="1334"/>
      <c r="C80" s="1334"/>
      <c r="D80" s="1334"/>
      <c r="E80" s="2119"/>
      <c r="F80" s="2120"/>
      <c r="G80" s="1314"/>
      <c r="H80" s="1314"/>
      <c r="I80" s="1314"/>
      <c r="J80" s="1314"/>
      <c r="K80" s="1315"/>
      <c r="L80" s="6"/>
    </row>
    <row r="81" spans="1:24" ht="15.75" thickTop="1" x14ac:dyDescent="0.25">
      <c r="A81" s="1296"/>
      <c r="B81" s="66"/>
      <c r="C81" s="66"/>
      <c r="D81" s="66"/>
      <c r="E81" s="66"/>
      <c r="F81" s="1296"/>
      <c r="G81" s="6"/>
      <c r="H81" s="6"/>
      <c r="I81" s="6"/>
      <c r="J81" s="6"/>
      <c r="K81" s="6"/>
      <c r="L81" s="6"/>
    </row>
    <row r="82" spans="1:24" ht="15.75" thickBot="1" x14ac:dyDescent="0.3">
      <c r="A82" s="1296"/>
      <c r="B82" s="66"/>
      <c r="C82" s="66"/>
      <c r="D82" s="66"/>
      <c r="E82" s="66"/>
      <c r="F82" s="1296"/>
      <c r="G82" s="6"/>
      <c r="H82" s="6"/>
      <c r="I82" s="6"/>
      <c r="J82" s="6"/>
      <c r="K82" s="6"/>
      <c r="L82" s="6"/>
    </row>
    <row r="83" spans="1:24" ht="19.5" thickBot="1" x14ac:dyDescent="0.35">
      <c r="A83" s="1571" t="s">
        <v>1263</v>
      </c>
      <c r="B83" s="1572"/>
      <c r="C83" s="1573"/>
      <c r="D83" s="1573"/>
      <c r="E83" s="1572"/>
      <c r="F83" s="1572"/>
      <c r="G83" s="1572"/>
      <c r="H83" s="1572"/>
      <c r="I83" s="1572"/>
      <c r="J83" s="1572"/>
      <c r="K83" s="1575"/>
      <c r="L83" s="6"/>
    </row>
    <row r="84" spans="1:24" x14ac:dyDescent="0.25">
      <c r="A84" s="1296"/>
      <c r="B84" s="66"/>
      <c r="C84" s="66"/>
      <c r="D84" s="66"/>
      <c r="E84" s="66"/>
      <c r="F84" s="1296"/>
      <c r="G84" s="6"/>
      <c r="H84" s="6"/>
      <c r="I84" s="6"/>
      <c r="J84" s="6"/>
      <c r="K84" s="6"/>
      <c r="L84" s="6"/>
    </row>
    <row r="85" spans="1:24" ht="15.75" thickBot="1" x14ac:dyDescent="0.3">
      <c r="A85" s="1296"/>
      <c r="B85" s="66"/>
      <c r="C85" s="66"/>
      <c r="D85" s="66"/>
      <c r="E85" s="66"/>
      <c r="F85" s="1296"/>
      <c r="G85" s="6"/>
      <c r="H85" s="6"/>
      <c r="I85" s="6"/>
      <c r="J85" s="6"/>
      <c r="K85" s="6"/>
      <c r="L85" s="6"/>
    </row>
    <row r="86" spans="1:24" ht="19.5" thickTop="1" x14ac:dyDescent="0.3">
      <c r="A86" s="1340" t="s">
        <v>1813</v>
      </c>
      <c r="B86" s="1341"/>
      <c r="C86" s="1341"/>
      <c r="D86" s="1341"/>
      <c r="E86" s="1341"/>
      <c r="F86" s="1341"/>
      <c r="G86" s="1341"/>
      <c r="H86" s="1341"/>
      <c r="I86" s="1341"/>
      <c r="J86" s="1341"/>
      <c r="K86" s="1342"/>
      <c r="L86" s="6"/>
    </row>
    <row r="87" spans="1:24" x14ac:dyDescent="0.25">
      <c r="A87" s="1416" t="s">
        <v>1816</v>
      </c>
      <c r="B87" s="6"/>
      <c r="C87" s="6"/>
      <c r="D87" s="6"/>
      <c r="E87" s="6"/>
      <c r="F87" s="6"/>
      <c r="G87" s="6"/>
      <c r="H87" s="6"/>
      <c r="I87" s="6"/>
      <c r="J87" s="6"/>
      <c r="K87" s="1311"/>
      <c r="L87" s="6"/>
    </row>
    <row r="88" spans="1:24" x14ac:dyDescent="0.25">
      <c r="A88" s="1416" t="s">
        <v>1817</v>
      </c>
      <c r="B88" s="6"/>
      <c r="C88" s="6"/>
      <c r="D88" s="6"/>
      <c r="E88" s="6"/>
      <c r="F88" s="6"/>
      <c r="G88" s="6"/>
      <c r="H88" s="6"/>
      <c r="I88" s="6"/>
      <c r="J88" s="6"/>
      <c r="K88" s="1311"/>
      <c r="L88" s="6"/>
    </row>
    <row r="89" spans="1:24" ht="15.75" thickBot="1" x14ac:dyDescent="0.3">
      <c r="A89" s="1416"/>
      <c r="B89" s="66"/>
      <c r="C89" s="66"/>
      <c r="D89" s="66"/>
      <c r="E89" s="66"/>
      <c r="F89" s="1296"/>
      <c r="G89" s="6"/>
      <c r="H89" s="6"/>
      <c r="I89" s="6"/>
      <c r="J89" s="6"/>
      <c r="K89" s="1311"/>
      <c r="L89" s="6"/>
    </row>
    <row r="90" spans="1:24" s="442" customFormat="1" ht="66" thickTop="1" thickBot="1" x14ac:dyDescent="0.3">
      <c r="A90" s="1254" t="s">
        <v>142</v>
      </c>
      <c r="B90" s="1255" t="s">
        <v>143</v>
      </c>
      <c r="C90" s="2126" t="s">
        <v>1809</v>
      </c>
      <c r="D90" s="1293" t="s">
        <v>1810</v>
      </c>
      <c r="E90" s="2121" t="s">
        <v>1811</v>
      </c>
      <c r="F90" s="2126" t="s">
        <v>2380</v>
      </c>
      <c r="G90" s="1293" t="s">
        <v>2381</v>
      </c>
      <c r="H90" s="2121" t="s">
        <v>1812</v>
      </c>
      <c r="I90" s="2144" t="s">
        <v>1815</v>
      </c>
      <c r="J90" s="2145" t="s">
        <v>1814</v>
      </c>
      <c r="K90" s="2141"/>
      <c r="L90" s="1152"/>
      <c r="M90"/>
      <c r="N90"/>
      <c r="O90"/>
      <c r="P90"/>
      <c r="Q90"/>
      <c r="R90"/>
      <c r="S90"/>
      <c r="T90"/>
      <c r="U90"/>
      <c r="V90"/>
      <c r="W90"/>
      <c r="X90"/>
    </row>
    <row r="91" spans="1:24" ht="15.75" thickTop="1" x14ac:dyDescent="0.25">
      <c r="A91" s="2047">
        <f>D30</f>
        <v>60</v>
      </c>
      <c r="B91" s="2204">
        <f>D31</f>
        <v>55</v>
      </c>
      <c r="C91" s="3121">
        <f t="shared" ref="C91:C128" si="0">IF(AND(A91=$I$30, A91&lt;=$H$74, $I$74="S1"),$C$74*POWER((1+$D$74),(A91-$F$74)),0) + IF(AND(A91=$I$30, A91&lt;=$H$75, $I$75="S1"),$C$75*POWER((1+$D$75),(A91-$F$75)),0)</f>
        <v>0</v>
      </c>
      <c r="D91" s="2130">
        <f t="shared" ref="D91:D128" si="1" xml:space="preserve"> IF(AND(B91=$I$31, B91&lt;=$H$78, $I$78="S1"),$C$78*POWER((1+$D$78),(B91-$F$78)),0) + IF(AND(B91=$I$31, B91&lt;=$H$79, $I$79="S1"),$C$79*POWER((1+$D$79),(B91-$F$79)),0)</f>
        <v>0</v>
      </c>
      <c r="E91" s="2136">
        <f>C91+D91</f>
        <v>0</v>
      </c>
      <c r="F91" s="2130">
        <f t="shared" ref="F91:F128" si="2">IF(AND(B91=$I$31, B91&lt;=$H$78, $I$78="S2"),$C$78*POWER((1+$D$78),(B91-$F$78)),0) + IF(AND(B91=$I$31, B91&lt;=$H$79, $I$79="S2"),$C$78*POWER((1+$D$79),(B91-$F$79)),0)</f>
        <v>0</v>
      </c>
      <c r="G91" s="2130">
        <f t="shared" ref="G91:G128" si="3">IF(AND(A91=$I$30, A91&lt;=$H$74, $I$74="S2"),$C$74*POWER((1+$D$74),(A91-$F$74)),0) + IF(AND(A91=$I$30, A91&lt;=$H$75, $I$75="S2"),$C$75*POWER((1+$D$75),(A91-$F$75)),0)</f>
        <v>0</v>
      </c>
      <c r="H91" s="2134">
        <f>F91+G91</f>
        <v>0</v>
      </c>
      <c r="I91" s="2139">
        <f t="shared" ref="I91:I128" si="4">IF(AND(A91=$I$30, A91&lt;=$H$74, $I$74="Other"),$C$74*POWER((1+$D$74),(A91-$F$74)),0) + IF(AND(A91=$I$30, A91&lt;=$H$75, $I$75="Other"),$C$75*POWER((1+$D$75),(A91-$F$75)),0)</f>
        <v>0</v>
      </c>
      <c r="J91" s="2134">
        <f t="shared" ref="J91:J128" si="5">IF(AND(B91=$I$31, B91&lt;=$H$78, $I$78="Other"),$C$78*POWER((1+$D$78),(B91-$F$78)),0) + IF(AND(B91=$I$31, B91&lt;=$H$79, $I$79="Other"),$C$78*POWER((1+$D$79),(B91-$F$79)),0)</f>
        <v>0</v>
      </c>
      <c r="K91" s="1311"/>
    </row>
    <row r="92" spans="1:24" x14ac:dyDescent="0.25">
      <c r="A92" s="2125">
        <f>1+A91</f>
        <v>61</v>
      </c>
      <c r="B92" s="2205">
        <f>1+B91</f>
        <v>56</v>
      </c>
      <c r="C92" s="2131">
        <f t="shared" si="0"/>
        <v>0</v>
      </c>
      <c r="D92" s="2128">
        <f t="shared" si="1"/>
        <v>0</v>
      </c>
      <c r="E92" s="2137">
        <f t="shared" ref="E92:E128" si="6">C92+D92</f>
        <v>0</v>
      </c>
      <c r="F92" s="2128">
        <f t="shared" si="2"/>
        <v>0</v>
      </c>
      <c r="G92" s="2128">
        <f t="shared" si="3"/>
        <v>0</v>
      </c>
      <c r="H92" s="2134">
        <f t="shared" ref="H92:H128" si="7">F92+G92</f>
        <v>0</v>
      </c>
      <c r="I92" s="2139">
        <f t="shared" si="4"/>
        <v>0</v>
      </c>
      <c r="J92" s="2134">
        <f t="shared" si="5"/>
        <v>0</v>
      </c>
      <c r="K92" s="1311"/>
      <c r="L92" s="6"/>
    </row>
    <row r="93" spans="1:24" x14ac:dyDescent="0.25">
      <c r="A93" s="2125">
        <f t="shared" ref="A93:A119" si="8">1+A92</f>
        <v>62</v>
      </c>
      <c r="B93" s="2205">
        <f t="shared" ref="B93:B119" si="9">1+B92</f>
        <v>57</v>
      </c>
      <c r="C93" s="2131">
        <f t="shared" si="0"/>
        <v>0</v>
      </c>
      <c r="D93" s="2128">
        <f t="shared" si="1"/>
        <v>0</v>
      </c>
      <c r="E93" s="2137">
        <f t="shared" si="6"/>
        <v>0</v>
      </c>
      <c r="F93" s="2128">
        <f t="shared" si="2"/>
        <v>0</v>
      </c>
      <c r="G93" s="2128">
        <f t="shared" si="3"/>
        <v>0</v>
      </c>
      <c r="H93" s="2134">
        <f t="shared" si="7"/>
        <v>0</v>
      </c>
      <c r="I93" s="2139">
        <f t="shared" si="4"/>
        <v>0</v>
      </c>
      <c r="J93" s="2134">
        <f t="shared" si="5"/>
        <v>0</v>
      </c>
      <c r="K93" s="1311"/>
      <c r="L93" s="6"/>
    </row>
    <row r="94" spans="1:24" x14ac:dyDescent="0.25">
      <c r="A94" s="2133">
        <f t="shared" si="8"/>
        <v>63</v>
      </c>
      <c r="B94" s="2206">
        <f t="shared" si="9"/>
        <v>58</v>
      </c>
      <c r="C94" s="2131">
        <f t="shared" si="0"/>
        <v>0</v>
      </c>
      <c r="D94" s="2128">
        <f t="shared" si="1"/>
        <v>0</v>
      </c>
      <c r="E94" s="2137">
        <f t="shared" si="6"/>
        <v>0</v>
      </c>
      <c r="F94" s="2128">
        <f t="shared" si="2"/>
        <v>0</v>
      </c>
      <c r="G94" s="2128">
        <f t="shared" si="3"/>
        <v>0</v>
      </c>
      <c r="H94" s="2134">
        <f t="shared" si="7"/>
        <v>0</v>
      </c>
      <c r="I94" s="2139">
        <f t="shared" si="4"/>
        <v>0</v>
      </c>
      <c r="J94" s="2134">
        <f t="shared" si="5"/>
        <v>0</v>
      </c>
      <c r="K94" s="1311"/>
      <c r="L94" s="6"/>
    </row>
    <row r="95" spans="1:24" x14ac:dyDescent="0.25">
      <c r="A95" s="2133">
        <f t="shared" si="8"/>
        <v>64</v>
      </c>
      <c r="B95" s="2206">
        <f t="shared" si="9"/>
        <v>59</v>
      </c>
      <c r="C95" s="2131">
        <f t="shared" si="0"/>
        <v>0</v>
      </c>
      <c r="D95" s="2128">
        <f t="shared" si="1"/>
        <v>0</v>
      </c>
      <c r="E95" s="2137">
        <f t="shared" si="6"/>
        <v>0</v>
      </c>
      <c r="F95" s="2128">
        <f t="shared" si="2"/>
        <v>0</v>
      </c>
      <c r="G95" s="2128">
        <f t="shared" si="3"/>
        <v>0</v>
      </c>
      <c r="H95" s="2134">
        <f t="shared" si="7"/>
        <v>0</v>
      </c>
      <c r="I95" s="2139">
        <f t="shared" si="4"/>
        <v>0</v>
      </c>
      <c r="J95" s="2134">
        <f t="shared" si="5"/>
        <v>0</v>
      </c>
      <c r="K95" s="1311"/>
      <c r="L95" s="33"/>
    </row>
    <row r="96" spans="1:24" x14ac:dyDescent="0.25">
      <c r="A96" s="2125">
        <f t="shared" si="8"/>
        <v>65</v>
      </c>
      <c r="B96" s="2205">
        <f t="shared" si="9"/>
        <v>60</v>
      </c>
      <c r="C96" s="2131">
        <f t="shared" si="0"/>
        <v>0</v>
      </c>
      <c r="D96" s="2128">
        <f t="shared" si="1"/>
        <v>0</v>
      </c>
      <c r="E96" s="2137">
        <f t="shared" si="6"/>
        <v>0</v>
      </c>
      <c r="F96" s="2128">
        <f t="shared" si="2"/>
        <v>0</v>
      </c>
      <c r="G96" s="2128">
        <f t="shared" si="3"/>
        <v>0</v>
      </c>
      <c r="H96" s="2134">
        <f t="shared" si="7"/>
        <v>0</v>
      </c>
      <c r="I96" s="2139">
        <f t="shared" si="4"/>
        <v>0</v>
      </c>
      <c r="J96" s="2134">
        <f t="shared" si="5"/>
        <v>0</v>
      </c>
      <c r="K96" s="1311"/>
      <c r="L96" s="33"/>
    </row>
    <row r="97" spans="1:12" x14ac:dyDescent="0.25">
      <c r="A97" s="2125">
        <f t="shared" si="8"/>
        <v>66</v>
      </c>
      <c r="B97" s="2205">
        <f t="shared" si="9"/>
        <v>61</v>
      </c>
      <c r="C97" s="2131">
        <f t="shared" si="0"/>
        <v>0</v>
      </c>
      <c r="D97" s="2128">
        <f t="shared" si="1"/>
        <v>0</v>
      </c>
      <c r="E97" s="2137">
        <f t="shared" si="6"/>
        <v>0</v>
      </c>
      <c r="F97" s="2128">
        <f t="shared" si="2"/>
        <v>0</v>
      </c>
      <c r="G97" s="2128">
        <f t="shared" si="3"/>
        <v>0</v>
      </c>
      <c r="H97" s="2134">
        <f t="shared" si="7"/>
        <v>0</v>
      </c>
      <c r="I97" s="2139">
        <f t="shared" si="4"/>
        <v>0</v>
      </c>
      <c r="J97" s="2134">
        <f t="shared" si="5"/>
        <v>0</v>
      </c>
      <c r="K97" s="1311"/>
      <c r="L97" s="6"/>
    </row>
    <row r="98" spans="1:12" x14ac:dyDescent="0.25">
      <c r="A98" s="2125">
        <f t="shared" si="8"/>
        <v>67</v>
      </c>
      <c r="B98" s="2205">
        <f t="shared" si="9"/>
        <v>62</v>
      </c>
      <c r="C98" s="2131">
        <f t="shared" si="0"/>
        <v>0</v>
      </c>
      <c r="D98" s="2128">
        <f t="shared" si="1"/>
        <v>0</v>
      </c>
      <c r="E98" s="2137">
        <f t="shared" si="6"/>
        <v>0</v>
      </c>
      <c r="F98" s="2128">
        <f t="shared" si="2"/>
        <v>0</v>
      </c>
      <c r="G98" s="2128">
        <f t="shared" si="3"/>
        <v>0</v>
      </c>
      <c r="H98" s="2134">
        <f t="shared" si="7"/>
        <v>0</v>
      </c>
      <c r="I98" s="2139">
        <f t="shared" si="4"/>
        <v>0</v>
      </c>
      <c r="J98" s="2134">
        <f t="shared" si="5"/>
        <v>0</v>
      </c>
      <c r="K98" s="1311"/>
      <c r="L98" s="6"/>
    </row>
    <row r="99" spans="1:12" x14ac:dyDescent="0.25">
      <c r="A99" s="2125">
        <f t="shared" si="8"/>
        <v>68</v>
      </c>
      <c r="B99" s="2205">
        <f t="shared" si="9"/>
        <v>63</v>
      </c>
      <c r="C99" s="2131">
        <f t="shared" si="0"/>
        <v>0</v>
      </c>
      <c r="D99" s="2128">
        <f t="shared" si="1"/>
        <v>0</v>
      </c>
      <c r="E99" s="2137">
        <f t="shared" si="6"/>
        <v>0</v>
      </c>
      <c r="F99" s="2128">
        <f t="shared" si="2"/>
        <v>0</v>
      </c>
      <c r="G99" s="2128">
        <f t="shared" si="3"/>
        <v>0</v>
      </c>
      <c r="H99" s="2134">
        <f t="shared" si="7"/>
        <v>0</v>
      </c>
      <c r="I99" s="2139">
        <f t="shared" si="4"/>
        <v>0</v>
      </c>
      <c r="J99" s="2134">
        <f t="shared" si="5"/>
        <v>0</v>
      </c>
      <c r="K99" s="1311"/>
      <c r="L99" s="6"/>
    </row>
    <row r="100" spans="1:12" x14ac:dyDescent="0.25">
      <c r="A100" s="2125">
        <f t="shared" si="8"/>
        <v>69</v>
      </c>
      <c r="B100" s="2205">
        <f t="shared" si="9"/>
        <v>64</v>
      </c>
      <c r="C100" s="2131">
        <f t="shared" si="0"/>
        <v>0</v>
      </c>
      <c r="D100" s="2128">
        <f t="shared" si="1"/>
        <v>0</v>
      </c>
      <c r="E100" s="2137">
        <f t="shared" si="6"/>
        <v>0</v>
      </c>
      <c r="F100" s="2128">
        <f t="shared" si="2"/>
        <v>0</v>
      </c>
      <c r="G100" s="2128">
        <f t="shared" si="3"/>
        <v>0</v>
      </c>
      <c r="H100" s="2134">
        <f t="shared" si="7"/>
        <v>0</v>
      </c>
      <c r="I100" s="2139">
        <f t="shared" si="4"/>
        <v>0</v>
      </c>
      <c r="J100" s="2134">
        <f t="shared" si="5"/>
        <v>0</v>
      </c>
      <c r="K100" s="1311"/>
      <c r="L100" s="6"/>
    </row>
    <row r="101" spans="1:12" x14ac:dyDescent="0.25">
      <c r="A101" s="2125">
        <f t="shared" si="8"/>
        <v>70</v>
      </c>
      <c r="B101" s="2205">
        <f t="shared" si="9"/>
        <v>65</v>
      </c>
      <c r="C101" s="2131">
        <f t="shared" si="0"/>
        <v>0</v>
      </c>
      <c r="D101" s="2128">
        <f t="shared" si="1"/>
        <v>0</v>
      </c>
      <c r="E101" s="2137">
        <f t="shared" si="6"/>
        <v>0</v>
      </c>
      <c r="F101" s="2128">
        <f t="shared" si="2"/>
        <v>0</v>
      </c>
      <c r="G101" s="2128">
        <f t="shared" si="3"/>
        <v>0</v>
      </c>
      <c r="H101" s="2134">
        <f t="shared" si="7"/>
        <v>0</v>
      </c>
      <c r="I101" s="2139">
        <f t="shared" si="4"/>
        <v>0</v>
      </c>
      <c r="J101" s="2134">
        <f t="shared" si="5"/>
        <v>0</v>
      </c>
      <c r="K101" s="1311"/>
      <c r="L101" s="6"/>
    </row>
    <row r="102" spans="1:12" x14ac:dyDescent="0.25">
      <c r="A102" s="2125">
        <f t="shared" si="8"/>
        <v>71</v>
      </c>
      <c r="B102" s="2205">
        <f t="shared" si="9"/>
        <v>66</v>
      </c>
      <c r="C102" s="2131">
        <f t="shared" si="0"/>
        <v>0</v>
      </c>
      <c r="D102" s="2128">
        <f t="shared" si="1"/>
        <v>0</v>
      </c>
      <c r="E102" s="2137">
        <f t="shared" si="6"/>
        <v>0</v>
      </c>
      <c r="F102" s="2128">
        <f t="shared" si="2"/>
        <v>0</v>
      </c>
      <c r="G102" s="2128">
        <f t="shared" si="3"/>
        <v>0</v>
      </c>
      <c r="H102" s="2134">
        <f t="shared" si="7"/>
        <v>0</v>
      </c>
      <c r="I102" s="2139">
        <f t="shared" si="4"/>
        <v>0</v>
      </c>
      <c r="J102" s="2134">
        <f t="shared" si="5"/>
        <v>0</v>
      </c>
      <c r="K102" s="1311"/>
      <c r="L102" s="6"/>
    </row>
    <row r="103" spans="1:12" x14ac:dyDescent="0.25">
      <c r="A103" s="2125">
        <f t="shared" si="8"/>
        <v>72</v>
      </c>
      <c r="B103" s="2205">
        <f t="shared" si="9"/>
        <v>67</v>
      </c>
      <c r="C103" s="2131">
        <f t="shared" si="0"/>
        <v>0</v>
      </c>
      <c r="D103" s="2128">
        <f t="shared" si="1"/>
        <v>0</v>
      </c>
      <c r="E103" s="2137">
        <f t="shared" si="6"/>
        <v>0</v>
      </c>
      <c r="F103" s="2128">
        <f t="shared" si="2"/>
        <v>0</v>
      </c>
      <c r="G103" s="2128">
        <f t="shared" si="3"/>
        <v>0</v>
      </c>
      <c r="H103" s="2134">
        <f t="shared" si="7"/>
        <v>0</v>
      </c>
      <c r="I103" s="2139">
        <f t="shared" si="4"/>
        <v>0</v>
      </c>
      <c r="J103" s="2134">
        <f t="shared" si="5"/>
        <v>0</v>
      </c>
      <c r="K103" s="1311"/>
      <c r="L103" s="6"/>
    </row>
    <row r="104" spans="1:12" x14ac:dyDescent="0.25">
      <c r="A104" s="2125">
        <f t="shared" si="8"/>
        <v>73</v>
      </c>
      <c r="B104" s="2205">
        <f t="shared" si="9"/>
        <v>68</v>
      </c>
      <c r="C104" s="2131">
        <f t="shared" si="0"/>
        <v>0</v>
      </c>
      <c r="D104" s="2128">
        <f t="shared" si="1"/>
        <v>0</v>
      </c>
      <c r="E104" s="2137">
        <f t="shared" si="6"/>
        <v>0</v>
      </c>
      <c r="F104" s="2128">
        <f t="shared" si="2"/>
        <v>0</v>
      </c>
      <c r="G104" s="2128">
        <f t="shared" si="3"/>
        <v>0</v>
      </c>
      <c r="H104" s="2134">
        <f t="shared" si="7"/>
        <v>0</v>
      </c>
      <c r="I104" s="2139">
        <f t="shared" si="4"/>
        <v>0</v>
      </c>
      <c r="J104" s="2134">
        <f t="shared" si="5"/>
        <v>0</v>
      </c>
      <c r="K104" s="1311"/>
      <c r="L104" s="6"/>
    </row>
    <row r="105" spans="1:12" x14ac:dyDescent="0.25">
      <c r="A105" s="2125">
        <f t="shared" si="8"/>
        <v>74</v>
      </c>
      <c r="B105" s="2205">
        <f t="shared" si="9"/>
        <v>69</v>
      </c>
      <c r="C105" s="2131">
        <f t="shared" si="0"/>
        <v>0</v>
      </c>
      <c r="D105" s="2128">
        <f t="shared" si="1"/>
        <v>0</v>
      </c>
      <c r="E105" s="2137">
        <f t="shared" si="6"/>
        <v>0</v>
      </c>
      <c r="F105" s="2128">
        <f t="shared" si="2"/>
        <v>0</v>
      </c>
      <c r="G105" s="2128">
        <f t="shared" si="3"/>
        <v>0</v>
      </c>
      <c r="H105" s="2134">
        <f t="shared" si="7"/>
        <v>0</v>
      </c>
      <c r="I105" s="2139">
        <f t="shared" si="4"/>
        <v>0</v>
      </c>
      <c r="J105" s="2134">
        <f t="shared" si="5"/>
        <v>0</v>
      </c>
      <c r="K105" s="1311"/>
      <c r="L105" s="6"/>
    </row>
    <row r="106" spans="1:12" x14ac:dyDescent="0.25">
      <c r="A106" s="2125">
        <f t="shared" si="8"/>
        <v>75</v>
      </c>
      <c r="B106" s="2205">
        <f t="shared" si="9"/>
        <v>70</v>
      </c>
      <c r="C106" s="2131">
        <f t="shared" si="0"/>
        <v>0</v>
      </c>
      <c r="D106" s="2128">
        <f t="shared" si="1"/>
        <v>0</v>
      </c>
      <c r="E106" s="2137">
        <f t="shared" si="6"/>
        <v>0</v>
      </c>
      <c r="F106" s="2128">
        <f t="shared" si="2"/>
        <v>0</v>
      </c>
      <c r="G106" s="2128">
        <f t="shared" si="3"/>
        <v>0</v>
      </c>
      <c r="H106" s="2134">
        <f t="shared" si="7"/>
        <v>0</v>
      </c>
      <c r="I106" s="2139">
        <f t="shared" si="4"/>
        <v>0</v>
      </c>
      <c r="J106" s="2134">
        <f t="shared" si="5"/>
        <v>0</v>
      </c>
      <c r="K106" s="1311"/>
      <c r="L106" s="6"/>
    </row>
    <row r="107" spans="1:12" x14ac:dyDescent="0.25">
      <c r="A107" s="2125">
        <f t="shared" si="8"/>
        <v>76</v>
      </c>
      <c r="B107" s="2205">
        <f t="shared" si="9"/>
        <v>71</v>
      </c>
      <c r="C107" s="2131">
        <f t="shared" si="0"/>
        <v>0</v>
      </c>
      <c r="D107" s="2128">
        <f t="shared" si="1"/>
        <v>0</v>
      </c>
      <c r="E107" s="2137">
        <f t="shared" si="6"/>
        <v>0</v>
      </c>
      <c r="F107" s="2128">
        <f t="shared" si="2"/>
        <v>0</v>
      </c>
      <c r="G107" s="2128">
        <f t="shared" si="3"/>
        <v>0</v>
      </c>
      <c r="H107" s="2134">
        <f t="shared" si="7"/>
        <v>0</v>
      </c>
      <c r="I107" s="2139">
        <f t="shared" si="4"/>
        <v>0</v>
      </c>
      <c r="J107" s="2134">
        <f t="shared" si="5"/>
        <v>0</v>
      </c>
      <c r="K107" s="1311"/>
      <c r="L107" s="6"/>
    </row>
    <row r="108" spans="1:12" x14ac:dyDescent="0.25">
      <c r="A108" s="2125">
        <f t="shared" si="8"/>
        <v>77</v>
      </c>
      <c r="B108" s="2205">
        <f t="shared" si="9"/>
        <v>72</v>
      </c>
      <c r="C108" s="2131">
        <f t="shared" si="0"/>
        <v>0</v>
      </c>
      <c r="D108" s="2128">
        <f t="shared" si="1"/>
        <v>0</v>
      </c>
      <c r="E108" s="2137">
        <f t="shared" si="6"/>
        <v>0</v>
      </c>
      <c r="F108" s="2128">
        <f t="shared" si="2"/>
        <v>0</v>
      </c>
      <c r="G108" s="2128">
        <f t="shared" si="3"/>
        <v>0</v>
      </c>
      <c r="H108" s="2134">
        <f t="shared" si="7"/>
        <v>0</v>
      </c>
      <c r="I108" s="2139">
        <f t="shared" si="4"/>
        <v>0</v>
      </c>
      <c r="J108" s="2134">
        <f t="shared" si="5"/>
        <v>0</v>
      </c>
      <c r="K108" s="1311"/>
      <c r="L108" s="6"/>
    </row>
    <row r="109" spans="1:12" x14ac:dyDescent="0.25">
      <c r="A109" s="2125">
        <f t="shared" si="8"/>
        <v>78</v>
      </c>
      <c r="B109" s="2205">
        <f t="shared" si="9"/>
        <v>73</v>
      </c>
      <c r="C109" s="2131">
        <f t="shared" si="0"/>
        <v>0</v>
      </c>
      <c r="D109" s="2128">
        <f t="shared" si="1"/>
        <v>0</v>
      </c>
      <c r="E109" s="2137">
        <f t="shared" si="6"/>
        <v>0</v>
      </c>
      <c r="F109" s="2128">
        <f t="shared" si="2"/>
        <v>0</v>
      </c>
      <c r="G109" s="2128">
        <f t="shared" si="3"/>
        <v>0</v>
      </c>
      <c r="H109" s="2134">
        <f t="shared" si="7"/>
        <v>0</v>
      </c>
      <c r="I109" s="2139">
        <f t="shared" si="4"/>
        <v>0</v>
      </c>
      <c r="J109" s="2134">
        <f t="shared" si="5"/>
        <v>0</v>
      </c>
      <c r="K109" s="1311"/>
      <c r="L109" s="6"/>
    </row>
    <row r="110" spans="1:12" x14ac:dyDescent="0.25">
      <c r="A110" s="2125">
        <f t="shared" si="8"/>
        <v>79</v>
      </c>
      <c r="B110" s="2205">
        <f t="shared" si="9"/>
        <v>74</v>
      </c>
      <c r="C110" s="2131">
        <f t="shared" si="0"/>
        <v>0</v>
      </c>
      <c r="D110" s="2128">
        <f t="shared" si="1"/>
        <v>0</v>
      </c>
      <c r="E110" s="2137">
        <f t="shared" si="6"/>
        <v>0</v>
      </c>
      <c r="F110" s="2128">
        <f t="shared" si="2"/>
        <v>0</v>
      </c>
      <c r="G110" s="2128">
        <f t="shared" si="3"/>
        <v>0</v>
      </c>
      <c r="H110" s="2134">
        <f t="shared" si="7"/>
        <v>0</v>
      </c>
      <c r="I110" s="2139">
        <f t="shared" si="4"/>
        <v>0</v>
      </c>
      <c r="J110" s="2134">
        <f t="shared" si="5"/>
        <v>0</v>
      </c>
      <c r="K110" s="1311"/>
      <c r="L110" s="6"/>
    </row>
    <row r="111" spans="1:12" x14ac:dyDescent="0.25">
      <c r="A111" s="2125">
        <f t="shared" si="8"/>
        <v>80</v>
      </c>
      <c r="B111" s="2205">
        <f t="shared" si="9"/>
        <v>75</v>
      </c>
      <c r="C111" s="2131">
        <f t="shared" si="0"/>
        <v>0</v>
      </c>
      <c r="D111" s="2128">
        <f t="shared" si="1"/>
        <v>0</v>
      </c>
      <c r="E111" s="2137">
        <f t="shared" si="6"/>
        <v>0</v>
      </c>
      <c r="F111" s="2128">
        <f t="shared" si="2"/>
        <v>0</v>
      </c>
      <c r="G111" s="2128">
        <f t="shared" si="3"/>
        <v>0</v>
      </c>
      <c r="H111" s="2134">
        <f t="shared" si="7"/>
        <v>0</v>
      </c>
      <c r="I111" s="2139">
        <f t="shared" si="4"/>
        <v>0</v>
      </c>
      <c r="J111" s="2134">
        <f t="shared" si="5"/>
        <v>0</v>
      </c>
      <c r="K111" s="1311"/>
      <c r="L111" s="6"/>
    </row>
    <row r="112" spans="1:12" x14ac:dyDescent="0.25">
      <c r="A112" s="2125">
        <f t="shared" si="8"/>
        <v>81</v>
      </c>
      <c r="B112" s="2205">
        <f t="shared" si="9"/>
        <v>76</v>
      </c>
      <c r="C112" s="2131">
        <f t="shared" si="0"/>
        <v>0</v>
      </c>
      <c r="D112" s="2128">
        <f t="shared" si="1"/>
        <v>0</v>
      </c>
      <c r="E112" s="2137">
        <f t="shared" si="6"/>
        <v>0</v>
      </c>
      <c r="F112" s="2128">
        <f t="shared" si="2"/>
        <v>0</v>
      </c>
      <c r="G112" s="2128">
        <f t="shared" si="3"/>
        <v>0</v>
      </c>
      <c r="H112" s="2134">
        <f t="shared" si="7"/>
        <v>0</v>
      </c>
      <c r="I112" s="2139">
        <f t="shared" si="4"/>
        <v>0</v>
      </c>
      <c r="J112" s="2134">
        <f t="shared" si="5"/>
        <v>0</v>
      </c>
      <c r="K112" s="1311"/>
      <c r="L112" s="6"/>
    </row>
    <row r="113" spans="1:12" x14ac:dyDescent="0.25">
      <c r="A113" s="2125">
        <f t="shared" si="8"/>
        <v>82</v>
      </c>
      <c r="B113" s="2205">
        <f t="shared" si="9"/>
        <v>77</v>
      </c>
      <c r="C113" s="2131">
        <f t="shared" si="0"/>
        <v>0</v>
      </c>
      <c r="D113" s="2128">
        <f t="shared" si="1"/>
        <v>0</v>
      </c>
      <c r="E113" s="2137">
        <f t="shared" si="6"/>
        <v>0</v>
      </c>
      <c r="F113" s="2128">
        <f t="shared" si="2"/>
        <v>0</v>
      </c>
      <c r="G113" s="2128">
        <f t="shared" si="3"/>
        <v>0</v>
      </c>
      <c r="H113" s="2134">
        <f t="shared" si="7"/>
        <v>0</v>
      </c>
      <c r="I113" s="2139">
        <f t="shared" si="4"/>
        <v>0</v>
      </c>
      <c r="J113" s="2134">
        <f t="shared" si="5"/>
        <v>0</v>
      </c>
      <c r="K113" s="1311"/>
      <c r="L113" s="6"/>
    </row>
    <row r="114" spans="1:12" x14ac:dyDescent="0.25">
      <c r="A114" s="2125">
        <f t="shared" si="8"/>
        <v>83</v>
      </c>
      <c r="B114" s="2205">
        <f t="shared" si="9"/>
        <v>78</v>
      </c>
      <c r="C114" s="2131">
        <f t="shared" si="0"/>
        <v>0</v>
      </c>
      <c r="D114" s="2128">
        <f t="shared" si="1"/>
        <v>0</v>
      </c>
      <c r="E114" s="2137">
        <f t="shared" si="6"/>
        <v>0</v>
      </c>
      <c r="F114" s="2128">
        <f t="shared" si="2"/>
        <v>0</v>
      </c>
      <c r="G114" s="2128">
        <f t="shared" si="3"/>
        <v>0</v>
      </c>
      <c r="H114" s="2134">
        <f t="shared" si="7"/>
        <v>0</v>
      </c>
      <c r="I114" s="2139">
        <f t="shared" si="4"/>
        <v>0</v>
      </c>
      <c r="J114" s="2134">
        <f t="shared" si="5"/>
        <v>0</v>
      </c>
      <c r="K114" s="1311"/>
      <c r="L114" s="6"/>
    </row>
    <row r="115" spans="1:12" x14ac:dyDescent="0.25">
      <c r="A115" s="2125">
        <f t="shared" si="8"/>
        <v>84</v>
      </c>
      <c r="B115" s="2205">
        <f t="shared" si="9"/>
        <v>79</v>
      </c>
      <c r="C115" s="2131">
        <f t="shared" si="0"/>
        <v>0</v>
      </c>
      <c r="D115" s="2128">
        <f t="shared" si="1"/>
        <v>0</v>
      </c>
      <c r="E115" s="2137">
        <f t="shared" si="6"/>
        <v>0</v>
      </c>
      <c r="F115" s="2128">
        <f t="shared" si="2"/>
        <v>0</v>
      </c>
      <c r="G115" s="2128">
        <f t="shared" si="3"/>
        <v>0</v>
      </c>
      <c r="H115" s="2134">
        <f t="shared" si="7"/>
        <v>0</v>
      </c>
      <c r="I115" s="2139">
        <f t="shared" si="4"/>
        <v>0</v>
      </c>
      <c r="J115" s="2134">
        <f t="shared" si="5"/>
        <v>0</v>
      </c>
      <c r="K115" s="1311"/>
      <c r="L115" s="6"/>
    </row>
    <row r="116" spans="1:12" x14ac:dyDescent="0.25">
      <c r="A116" s="2125">
        <f t="shared" si="8"/>
        <v>85</v>
      </c>
      <c r="B116" s="2205">
        <f t="shared" si="9"/>
        <v>80</v>
      </c>
      <c r="C116" s="2131">
        <f t="shared" si="0"/>
        <v>0</v>
      </c>
      <c r="D116" s="2128">
        <f t="shared" si="1"/>
        <v>0</v>
      </c>
      <c r="E116" s="2137">
        <f t="shared" si="6"/>
        <v>0</v>
      </c>
      <c r="F116" s="2128">
        <f t="shared" si="2"/>
        <v>0</v>
      </c>
      <c r="G116" s="2128">
        <f t="shared" si="3"/>
        <v>183028.50599219505</v>
      </c>
      <c r="H116" s="2134">
        <f t="shared" si="7"/>
        <v>183028.50599219505</v>
      </c>
      <c r="I116" s="2139">
        <f t="shared" si="4"/>
        <v>0</v>
      </c>
      <c r="J116" s="2134">
        <f t="shared" si="5"/>
        <v>0</v>
      </c>
      <c r="K116" s="1311"/>
      <c r="L116" s="6"/>
    </row>
    <row r="117" spans="1:12" x14ac:dyDescent="0.25">
      <c r="A117" s="2125">
        <f t="shared" si="8"/>
        <v>86</v>
      </c>
      <c r="B117" s="2205">
        <f t="shared" si="9"/>
        <v>81</v>
      </c>
      <c r="C117" s="2131">
        <f t="shared" si="0"/>
        <v>0</v>
      </c>
      <c r="D117" s="2128">
        <f t="shared" si="1"/>
        <v>0</v>
      </c>
      <c r="E117" s="2137">
        <f t="shared" si="6"/>
        <v>0</v>
      </c>
      <c r="F117" s="2128">
        <f t="shared" si="2"/>
        <v>0</v>
      </c>
      <c r="G117" s="2128">
        <f t="shared" si="3"/>
        <v>0</v>
      </c>
      <c r="H117" s="2134">
        <f t="shared" si="7"/>
        <v>0</v>
      </c>
      <c r="I117" s="2139">
        <f t="shared" si="4"/>
        <v>0</v>
      </c>
      <c r="J117" s="2134">
        <f t="shared" si="5"/>
        <v>0</v>
      </c>
      <c r="K117" s="1311"/>
      <c r="L117" s="6"/>
    </row>
    <row r="118" spans="1:12" x14ac:dyDescent="0.25">
      <c r="A118" s="2125">
        <f t="shared" si="8"/>
        <v>87</v>
      </c>
      <c r="B118" s="2205">
        <f t="shared" si="9"/>
        <v>82</v>
      </c>
      <c r="C118" s="2131">
        <f t="shared" si="0"/>
        <v>0</v>
      </c>
      <c r="D118" s="2128">
        <f t="shared" si="1"/>
        <v>0</v>
      </c>
      <c r="E118" s="2137">
        <f t="shared" si="6"/>
        <v>0</v>
      </c>
      <c r="F118" s="2128">
        <f t="shared" si="2"/>
        <v>0</v>
      </c>
      <c r="G118" s="2128">
        <f t="shared" si="3"/>
        <v>0</v>
      </c>
      <c r="H118" s="2134">
        <f t="shared" si="7"/>
        <v>0</v>
      </c>
      <c r="I118" s="2139">
        <f t="shared" si="4"/>
        <v>0</v>
      </c>
      <c r="J118" s="2134">
        <f t="shared" si="5"/>
        <v>0</v>
      </c>
      <c r="K118" s="1311"/>
      <c r="L118" s="6"/>
    </row>
    <row r="119" spans="1:12" x14ac:dyDescent="0.25">
      <c r="A119" s="2125">
        <f t="shared" si="8"/>
        <v>88</v>
      </c>
      <c r="B119" s="2205">
        <f t="shared" si="9"/>
        <v>83</v>
      </c>
      <c r="C119" s="2131">
        <f t="shared" si="0"/>
        <v>0</v>
      </c>
      <c r="D119" s="2128">
        <f t="shared" si="1"/>
        <v>0</v>
      </c>
      <c r="E119" s="2137">
        <f t="shared" si="6"/>
        <v>0</v>
      </c>
      <c r="F119" s="2128">
        <f t="shared" si="2"/>
        <v>0</v>
      </c>
      <c r="G119" s="2128">
        <f t="shared" si="3"/>
        <v>0</v>
      </c>
      <c r="H119" s="2134">
        <f t="shared" si="7"/>
        <v>0</v>
      </c>
      <c r="I119" s="2139">
        <f t="shared" si="4"/>
        <v>0</v>
      </c>
      <c r="J119" s="2134">
        <f t="shared" si="5"/>
        <v>0</v>
      </c>
      <c r="K119" s="1311"/>
      <c r="L119" s="6"/>
    </row>
    <row r="120" spans="1:12" x14ac:dyDescent="0.25">
      <c r="A120" s="2125">
        <f t="shared" ref="A120:A128" si="10">1+A119</f>
        <v>89</v>
      </c>
      <c r="B120" s="2205">
        <f t="shared" ref="B120:B128" si="11">1+B119</f>
        <v>84</v>
      </c>
      <c r="C120" s="2131">
        <f t="shared" si="0"/>
        <v>0</v>
      </c>
      <c r="D120" s="2128">
        <f t="shared" si="1"/>
        <v>0</v>
      </c>
      <c r="E120" s="2137">
        <f t="shared" si="6"/>
        <v>0</v>
      </c>
      <c r="F120" s="2128">
        <f t="shared" si="2"/>
        <v>0</v>
      </c>
      <c r="G120" s="2128">
        <f t="shared" si="3"/>
        <v>0</v>
      </c>
      <c r="H120" s="2134">
        <f t="shared" si="7"/>
        <v>0</v>
      </c>
      <c r="I120" s="2139">
        <f t="shared" si="4"/>
        <v>0</v>
      </c>
      <c r="J120" s="2134">
        <f t="shared" si="5"/>
        <v>0</v>
      </c>
      <c r="K120" s="1311"/>
      <c r="L120" s="6"/>
    </row>
    <row r="121" spans="1:12" x14ac:dyDescent="0.25">
      <c r="A121" s="2125">
        <f t="shared" si="10"/>
        <v>90</v>
      </c>
      <c r="B121" s="2205">
        <f t="shared" si="11"/>
        <v>85</v>
      </c>
      <c r="C121" s="2131">
        <f t="shared" si="0"/>
        <v>0</v>
      </c>
      <c r="D121" s="2128">
        <f t="shared" si="1"/>
        <v>0</v>
      </c>
      <c r="E121" s="2137">
        <f t="shared" si="6"/>
        <v>0</v>
      </c>
      <c r="F121" s="2128">
        <f t="shared" si="2"/>
        <v>0</v>
      </c>
      <c r="G121" s="2128">
        <f t="shared" si="3"/>
        <v>0</v>
      </c>
      <c r="H121" s="2134">
        <f t="shared" si="7"/>
        <v>0</v>
      </c>
      <c r="I121" s="2139">
        <f t="shared" si="4"/>
        <v>0</v>
      </c>
      <c r="J121" s="2134">
        <f t="shared" si="5"/>
        <v>0</v>
      </c>
      <c r="K121" s="1311"/>
      <c r="L121" s="6"/>
    </row>
    <row r="122" spans="1:12" x14ac:dyDescent="0.25">
      <c r="A122" s="2125">
        <f t="shared" si="10"/>
        <v>91</v>
      </c>
      <c r="B122" s="2205">
        <f t="shared" si="11"/>
        <v>86</v>
      </c>
      <c r="C122" s="2131">
        <f t="shared" si="0"/>
        <v>0</v>
      </c>
      <c r="D122" s="2128">
        <f t="shared" si="1"/>
        <v>0</v>
      </c>
      <c r="E122" s="2137">
        <f t="shared" si="6"/>
        <v>0</v>
      </c>
      <c r="F122" s="2128">
        <f t="shared" si="2"/>
        <v>0</v>
      </c>
      <c r="G122" s="2128">
        <f t="shared" si="3"/>
        <v>0</v>
      </c>
      <c r="H122" s="2134">
        <f t="shared" si="7"/>
        <v>0</v>
      </c>
      <c r="I122" s="2139">
        <f t="shared" si="4"/>
        <v>0</v>
      </c>
      <c r="J122" s="2134">
        <f t="shared" si="5"/>
        <v>0</v>
      </c>
      <c r="K122" s="1311"/>
      <c r="L122" s="6"/>
    </row>
    <row r="123" spans="1:12" x14ac:dyDescent="0.25">
      <c r="A123" s="2125">
        <f t="shared" si="10"/>
        <v>92</v>
      </c>
      <c r="B123" s="2205">
        <f t="shared" si="11"/>
        <v>87</v>
      </c>
      <c r="C123" s="2131">
        <f t="shared" si="0"/>
        <v>0</v>
      </c>
      <c r="D123" s="2128">
        <f t="shared" si="1"/>
        <v>30000</v>
      </c>
      <c r="E123" s="2137">
        <f t="shared" si="6"/>
        <v>30000</v>
      </c>
      <c r="F123" s="2128">
        <f t="shared" si="2"/>
        <v>0</v>
      </c>
      <c r="G123" s="2128">
        <f t="shared" si="3"/>
        <v>0</v>
      </c>
      <c r="H123" s="2134">
        <f t="shared" si="7"/>
        <v>0</v>
      </c>
      <c r="I123" s="2139">
        <f t="shared" si="4"/>
        <v>0</v>
      </c>
      <c r="J123" s="2134">
        <f t="shared" si="5"/>
        <v>0</v>
      </c>
      <c r="K123" s="1311"/>
      <c r="L123" s="6"/>
    </row>
    <row r="124" spans="1:12" x14ac:dyDescent="0.25">
      <c r="A124" s="2125">
        <f t="shared" si="10"/>
        <v>93</v>
      </c>
      <c r="B124" s="2205">
        <f t="shared" si="11"/>
        <v>88</v>
      </c>
      <c r="C124" s="2131">
        <f t="shared" si="0"/>
        <v>0</v>
      </c>
      <c r="D124" s="2128">
        <f t="shared" si="1"/>
        <v>0</v>
      </c>
      <c r="E124" s="2137">
        <f t="shared" si="6"/>
        <v>0</v>
      </c>
      <c r="F124" s="2128">
        <f t="shared" si="2"/>
        <v>0</v>
      </c>
      <c r="G124" s="2128">
        <f t="shared" si="3"/>
        <v>0</v>
      </c>
      <c r="H124" s="2134">
        <f t="shared" si="7"/>
        <v>0</v>
      </c>
      <c r="I124" s="2139">
        <f t="shared" si="4"/>
        <v>0</v>
      </c>
      <c r="J124" s="2134">
        <f t="shared" si="5"/>
        <v>0</v>
      </c>
      <c r="K124" s="1311"/>
      <c r="L124" s="6"/>
    </row>
    <row r="125" spans="1:12" x14ac:dyDescent="0.25">
      <c r="A125" s="2125">
        <f t="shared" si="10"/>
        <v>94</v>
      </c>
      <c r="B125" s="2205">
        <f t="shared" si="11"/>
        <v>89</v>
      </c>
      <c r="C125" s="2131">
        <f t="shared" si="0"/>
        <v>0</v>
      </c>
      <c r="D125" s="2128">
        <f t="shared" si="1"/>
        <v>0</v>
      </c>
      <c r="E125" s="2137">
        <f t="shared" si="6"/>
        <v>0</v>
      </c>
      <c r="F125" s="2128">
        <f t="shared" si="2"/>
        <v>0</v>
      </c>
      <c r="G125" s="2128">
        <f t="shared" si="3"/>
        <v>0</v>
      </c>
      <c r="H125" s="2134">
        <f t="shared" si="7"/>
        <v>0</v>
      </c>
      <c r="I125" s="2139">
        <f t="shared" si="4"/>
        <v>0</v>
      </c>
      <c r="J125" s="2134">
        <f t="shared" si="5"/>
        <v>0</v>
      </c>
      <c r="K125" s="1311"/>
      <c r="L125" s="6"/>
    </row>
    <row r="126" spans="1:12" x14ac:dyDescent="0.25">
      <c r="A126" s="2125">
        <f t="shared" si="10"/>
        <v>95</v>
      </c>
      <c r="B126" s="2205">
        <f t="shared" si="11"/>
        <v>90</v>
      </c>
      <c r="C126" s="2131">
        <f t="shared" si="0"/>
        <v>0</v>
      </c>
      <c r="D126" s="2128">
        <f t="shared" si="1"/>
        <v>0</v>
      </c>
      <c r="E126" s="2137">
        <f t="shared" si="6"/>
        <v>0</v>
      </c>
      <c r="F126" s="2128">
        <f t="shared" si="2"/>
        <v>0</v>
      </c>
      <c r="G126" s="2128">
        <f t="shared" si="3"/>
        <v>0</v>
      </c>
      <c r="H126" s="2134">
        <f t="shared" si="7"/>
        <v>0</v>
      </c>
      <c r="I126" s="2139">
        <f t="shared" si="4"/>
        <v>0</v>
      </c>
      <c r="J126" s="2134">
        <f t="shared" si="5"/>
        <v>0</v>
      </c>
      <c r="K126" s="1311"/>
      <c r="L126" s="6"/>
    </row>
    <row r="127" spans="1:12" x14ac:dyDescent="0.25">
      <c r="A127" s="2125">
        <f t="shared" si="10"/>
        <v>96</v>
      </c>
      <c r="B127" s="2205">
        <f t="shared" si="11"/>
        <v>91</v>
      </c>
      <c r="C127" s="2131">
        <f t="shared" si="0"/>
        <v>0</v>
      </c>
      <c r="D127" s="2128">
        <f t="shared" si="1"/>
        <v>0</v>
      </c>
      <c r="E127" s="2137">
        <f t="shared" si="6"/>
        <v>0</v>
      </c>
      <c r="F127" s="2128">
        <f t="shared" si="2"/>
        <v>0</v>
      </c>
      <c r="G127" s="2128">
        <f t="shared" si="3"/>
        <v>0</v>
      </c>
      <c r="H127" s="2134">
        <f t="shared" si="7"/>
        <v>0</v>
      </c>
      <c r="I127" s="2139">
        <f t="shared" si="4"/>
        <v>0</v>
      </c>
      <c r="J127" s="2134">
        <f t="shared" si="5"/>
        <v>0</v>
      </c>
      <c r="K127" s="1311"/>
      <c r="L127" s="6"/>
    </row>
    <row r="128" spans="1:12" ht="15.75" thickBot="1" x14ac:dyDescent="0.3">
      <c r="A128" s="2127">
        <f t="shared" si="10"/>
        <v>97</v>
      </c>
      <c r="B128" s="2207">
        <f t="shared" si="11"/>
        <v>92</v>
      </c>
      <c r="C128" s="2132">
        <f t="shared" si="0"/>
        <v>0</v>
      </c>
      <c r="D128" s="2129">
        <f t="shared" si="1"/>
        <v>0</v>
      </c>
      <c r="E128" s="2138">
        <f t="shared" si="6"/>
        <v>0</v>
      </c>
      <c r="F128" s="2129">
        <f t="shared" si="2"/>
        <v>0</v>
      </c>
      <c r="G128" s="2129">
        <f t="shared" si="3"/>
        <v>0</v>
      </c>
      <c r="H128" s="2135">
        <f t="shared" si="7"/>
        <v>0</v>
      </c>
      <c r="I128" s="2140">
        <f t="shared" si="4"/>
        <v>0</v>
      </c>
      <c r="J128" s="2135">
        <f t="shared" si="5"/>
        <v>0</v>
      </c>
      <c r="K128" s="1315"/>
      <c r="L128" s="6"/>
    </row>
    <row r="129" spans="1:12" ht="15.75" thickTop="1" x14ac:dyDescent="0.25">
      <c r="A129" s="1296"/>
      <c r="B129" s="66"/>
      <c r="C129" s="66"/>
      <c r="D129" s="66"/>
      <c r="E129" s="66"/>
      <c r="F129" s="1296"/>
      <c r="G129" s="6"/>
      <c r="H129" s="6"/>
      <c r="I129" s="6"/>
      <c r="J129" s="6"/>
      <c r="K129" s="6"/>
      <c r="L129" s="6"/>
    </row>
    <row r="130" spans="1:12" x14ac:dyDescent="0.25">
      <c r="A130" s="1296"/>
      <c r="B130" s="66"/>
      <c r="C130" s="66"/>
      <c r="D130" s="66"/>
      <c r="E130" s="66"/>
      <c r="F130" s="1296"/>
      <c r="G130" s="6"/>
      <c r="H130" s="6"/>
      <c r="I130" s="6"/>
      <c r="J130" s="6"/>
      <c r="K130" s="6"/>
      <c r="L130" s="6"/>
    </row>
    <row r="132" spans="1:12" s="1382" customFormat="1" ht="15.75" x14ac:dyDescent="0.25">
      <c r="B132" s="1383" t="s">
        <v>1125</v>
      </c>
      <c r="G132" s="1383" t="s">
        <v>1126</v>
      </c>
    </row>
    <row r="133" spans="1:12" s="1382" customFormat="1" ht="16.5" thickBot="1" x14ac:dyDescent="0.3">
      <c r="B133" s="1379"/>
      <c r="G133" s="1379"/>
    </row>
    <row r="134" spans="1:12" ht="19.5" thickTop="1" x14ac:dyDescent="0.3">
      <c r="A134" s="960" t="s">
        <v>486</v>
      </c>
      <c r="B134" s="946"/>
      <c r="C134" s="946"/>
      <c r="D134" s="947"/>
      <c r="E134" s="947"/>
      <c r="F134" s="946"/>
      <c r="G134" s="946"/>
      <c r="H134" s="949"/>
    </row>
    <row r="135" spans="1:12" ht="15.75" x14ac:dyDescent="0.25">
      <c r="A135" s="964" t="s">
        <v>736</v>
      </c>
      <c r="B135" s="944"/>
      <c r="C135" s="944"/>
      <c r="D135" s="945"/>
      <c r="E135" s="945"/>
      <c r="F135" s="944"/>
      <c r="G135" s="944"/>
      <c r="H135" s="950"/>
    </row>
    <row r="136" spans="1:12" x14ac:dyDescent="0.25">
      <c r="A136" s="1054"/>
      <c r="B136" s="943" t="s">
        <v>326</v>
      </c>
      <c r="C136" s="945"/>
      <c r="D136" s="945"/>
      <c r="E136" s="945"/>
      <c r="F136" s="944"/>
      <c r="G136" s="944"/>
      <c r="H136" s="950"/>
    </row>
    <row r="137" spans="1:12" x14ac:dyDescent="0.25">
      <c r="A137" s="1054"/>
      <c r="B137" s="1356" t="s">
        <v>870</v>
      </c>
      <c r="C137" s="1357"/>
      <c r="D137" s="1357"/>
      <c r="E137" s="945"/>
      <c r="F137" s="944"/>
      <c r="G137" s="944"/>
      <c r="H137" s="950"/>
    </row>
    <row r="138" spans="1:12" x14ac:dyDescent="0.25">
      <c r="A138" s="1054"/>
      <c r="B138" s="942" t="s">
        <v>1103</v>
      </c>
      <c r="C138" s="945"/>
      <c r="D138" s="945"/>
      <c r="E138" s="945"/>
      <c r="F138" s="944"/>
      <c r="G138" s="944"/>
      <c r="H138" s="950"/>
    </row>
    <row r="139" spans="1:12" x14ac:dyDescent="0.25">
      <c r="A139" s="1054" t="s">
        <v>154</v>
      </c>
      <c r="B139" s="942" t="s">
        <v>1104</v>
      </c>
      <c r="C139" s="945"/>
      <c r="D139" s="945"/>
      <c r="E139" s="945"/>
      <c r="F139" s="944"/>
      <c r="G139" s="944"/>
      <c r="H139" s="950"/>
    </row>
    <row r="140" spans="1:12" x14ac:dyDescent="0.25">
      <c r="A140" s="1054"/>
      <c r="B140" s="942" t="s">
        <v>1105</v>
      </c>
      <c r="C140" s="945"/>
      <c r="D140" s="945"/>
      <c r="E140" s="945"/>
      <c r="F140" s="944"/>
      <c r="G140" s="944"/>
      <c r="H140" s="950"/>
    </row>
    <row r="141" spans="1:12" x14ac:dyDescent="0.25">
      <c r="A141" s="1890"/>
      <c r="B141" s="942" t="s">
        <v>1106</v>
      </c>
      <c r="C141" s="1019"/>
      <c r="D141" s="945"/>
      <c r="E141" s="945"/>
      <c r="F141" s="944"/>
      <c r="G141" s="944"/>
      <c r="H141" s="950"/>
    </row>
    <row r="142" spans="1:12" x14ac:dyDescent="0.25">
      <c r="A142" s="1890"/>
      <c r="B142" s="942" t="s">
        <v>1449</v>
      </c>
      <c r="C142" s="1019"/>
      <c r="D142" s="945"/>
      <c r="E142" s="945"/>
      <c r="F142" s="944"/>
      <c r="G142" s="944"/>
      <c r="H142" s="950"/>
    </row>
    <row r="143" spans="1:12" x14ac:dyDescent="0.25">
      <c r="A143" s="1890"/>
      <c r="B143" s="942" t="s">
        <v>1462</v>
      </c>
      <c r="C143" s="1019"/>
      <c r="D143" s="945"/>
      <c r="E143" s="945"/>
      <c r="F143" s="944"/>
      <c r="G143" s="944"/>
      <c r="H143" s="950"/>
    </row>
    <row r="144" spans="1:12" x14ac:dyDescent="0.25">
      <c r="A144" s="1890"/>
      <c r="B144" s="942" t="s">
        <v>1450</v>
      </c>
      <c r="C144" s="1019"/>
      <c r="D144" s="945"/>
      <c r="E144" s="945"/>
      <c r="F144" s="944"/>
      <c r="G144" s="944"/>
      <c r="H144" s="950"/>
    </row>
    <row r="145" spans="1:8" x14ac:dyDescent="0.25">
      <c r="A145" s="1890"/>
      <c r="B145" s="942" t="s">
        <v>1107</v>
      </c>
      <c r="C145" s="1019"/>
      <c r="D145" s="945"/>
      <c r="E145" s="945"/>
      <c r="F145" s="944"/>
      <c r="G145" s="944"/>
      <c r="H145" s="950"/>
    </row>
    <row r="146" spans="1:8" x14ac:dyDescent="0.25">
      <c r="A146" s="1890"/>
      <c r="B146" s="943" t="s">
        <v>1108</v>
      </c>
      <c r="C146" s="1019"/>
      <c r="D146" s="945"/>
      <c r="E146" s="945"/>
      <c r="F146" s="944"/>
      <c r="G146" s="944"/>
      <c r="H146" s="950"/>
    </row>
    <row r="147" spans="1:8" x14ac:dyDescent="0.25">
      <c r="A147" s="1890"/>
      <c r="B147" s="943" t="s">
        <v>1100</v>
      </c>
      <c r="C147" s="1019"/>
      <c r="D147" s="945"/>
      <c r="E147" s="945"/>
      <c r="F147" s="944"/>
      <c r="G147" s="944"/>
      <c r="H147" s="950"/>
    </row>
    <row r="148" spans="1:8" x14ac:dyDescent="0.25">
      <c r="A148" s="1054"/>
      <c r="B148" s="943" t="s">
        <v>1099</v>
      </c>
      <c r="C148" s="945"/>
      <c r="D148" s="945"/>
      <c r="E148" s="945"/>
      <c r="F148" s="944"/>
      <c r="G148" s="944"/>
      <c r="H148" s="950"/>
    </row>
    <row r="149" spans="1:8" x14ac:dyDescent="0.25">
      <c r="A149" s="1054"/>
      <c r="B149" s="943" t="s">
        <v>1098</v>
      </c>
      <c r="C149" s="945"/>
      <c r="D149" s="945"/>
      <c r="E149" s="945"/>
      <c r="F149" s="944"/>
      <c r="G149" s="944"/>
      <c r="H149" s="950"/>
    </row>
    <row r="150" spans="1:8" x14ac:dyDescent="0.25">
      <c r="A150" s="1054"/>
      <c r="B150" s="942" t="s">
        <v>1097</v>
      </c>
      <c r="C150" s="945"/>
      <c r="D150" s="945"/>
      <c r="E150" s="945"/>
      <c r="F150" s="944"/>
      <c r="G150" s="944"/>
      <c r="H150" s="950"/>
    </row>
    <row r="151" spans="1:8" x14ac:dyDescent="0.25">
      <c r="A151" s="1054"/>
      <c r="B151" s="943" t="s">
        <v>1101</v>
      </c>
      <c r="C151" s="945"/>
      <c r="D151" s="945"/>
      <c r="E151" s="945"/>
      <c r="F151" s="944"/>
      <c r="G151" s="944"/>
      <c r="H151" s="950"/>
    </row>
    <row r="152" spans="1:8" x14ac:dyDescent="0.25">
      <c r="A152" s="1054"/>
      <c r="B152" s="943" t="s">
        <v>1102</v>
      </c>
      <c r="C152" s="945"/>
      <c r="D152" s="1019" t="s">
        <v>1762</v>
      </c>
      <c r="E152" s="945"/>
      <c r="F152" s="944"/>
      <c r="G152" s="944"/>
      <c r="H152" s="950"/>
    </row>
    <row r="153" spans="1:8" x14ac:dyDescent="0.25">
      <c r="A153" s="1083"/>
      <c r="B153" s="1081" t="s">
        <v>719</v>
      </c>
      <c r="C153" s="945"/>
      <c r="D153" s="1019" t="s">
        <v>1764</v>
      </c>
      <c r="E153" s="945"/>
      <c r="F153" s="944"/>
      <c r="G153" s="944"/>
      <c r="H153" s="950"/>
    </row>
    <row r="154" spans="1:8" x14ac:dyDescent="0.25">
      <c r="A154" s="1083"/>
      <c r="B154" s="1081" t="s">
        <v>720</v>
      </c>
      <c r="C154" s="945"/>
      <c r="D154" s="1019" t="s">
        <v>1289</v>
      </c>
      <c r="E154" s="945"/>
      <c r="F154" s="945"/>
      <c r="G154" s="945"/>
      <c r="H154" s="950"/>
    </row>
    <row r="155" spans="1:8" x14ac:dyDescent="0.25">
      <c r="A155" s="1083"/>
      <c r="B155" s="1081" t="s">
        <v>721</v>
      </c>
      <c r="C155" s="945"/>
      <c r="D155" s="945" t="s">
        <v>722</v>
      </c>
      <c r="E155" s="945"/>
      <c r="F155" s="945"/>
      <c r="G155" s="945"/>
      <c r="H155" s="950"/>
    </row>
    <row r="156" spans="1:8" x14ac:dyDescent="0.25">
      <c r="A156" s="1083"/>
      <c r="B156" s="1081" t="s">
        <v>725</v>
      </c>
      <c r="C156" s="945"/>
      <c r="D156" s="1019" t="s">
        <v>1763</v>
      </c>
      <c r="E156" s="945"/>
      <c r="F156" s="945"/>
      <c r="G156" s="945"/>
      <c r="H156" s="950"/>
    </row>
    <row r="157" spans="1:8" ht="15.75" thickBot="1" x14ac:dyDescent="0.3">
      <c r="A157" s="1088"/>
      <c r="B157" s="1089" t="s">
        <v>577</v>
      </c>
      <c r="C157" s="948"/>
      <c r="D157" s="1087" t="s">
        <v>578</v>
      </c>
      <c r="E157" s="948"/>
      <c r="F157" s="948"/>
      <c r="G157" s="948"/>
      <c r="H157" s="951"/>
    </row>
    <row r="158" spans="1:8" ht="15.75" thickTop="1" x14ac:dyDescent="0.25"/>
  </sheetData>
  <sheetProtection sheet="1" objects="1" scenarios="1"/>
  <phoneticPr fontId="0" type="noConversion"/>
  <dataValidations count="1">
    <dataValidation type="list" allowBlank="1" showInputMessage="1" showErrorMessage="1" sqref="F76 I74:I75 I78:I79 F71:F72">
      <formula1>"S1,S2,Other"</formula1>
    </dataValidation>
  </dataValidations>
  <hyperlinks>
    <hyperlink ref="B132" location="'S. Setup'!A1" display="Previous worksheet (S. Setup)"/>
    <hyperlink ref="G132" location="'2. TaxData'!A1" display="Next worksheet (2. TaxData)"/>
    <hyperlink ref="B1" location="'S. Setup'!A1" display="Previous worksheet (S. Setup)"/>
    <hyperlink ref="G1" location="'2. TaxData'!A1" display="Next worksheet (2. TaxData)"/>
    <hyperlink ref="B139" location="'S. Setup'!A1" display="Setup"/>
    <hyperlink ref="B140" location="'1. AgeData'!A1" display="AgeData"/>
    <hyperlink ref="B141" location="'2. TaxData'!A1" display="TaxData"/>
    <hyperlink ref="B143" location="'4. PensionData'!A1" display="4. PensionData"/>
    <hyperlink ref="B144" location="'5. SocSecData'!A1" display="5. SocSecData"/>
    <hyperlink ref="B142" location="'3. WorkData'!A1" display="3. WorkData"/>
    <hyperlink ref="B145" location="'6. AnnuityData'!A1" display="AnnuityData"/>
    <hyperlink ref="B146" location="'7. IRAdata'!A1" display="IRAdata"/>
    <hyperlink ref="B147" location="'8. RothData'!A1" display="RothData"/>
    <hyperlink ref="B148" location="'9. SavingsData'!A1" display="SavingsData"/>
    <hyperlink ref="B138" location="'R. Results'!A1" display="Results"/>
    <hyperlink ref="B150" location="'11. CashData'!A1" display="CashData"/>
    <hyperlink ref="B149" location="'10. ExpensesData'!A1" display="ExpensesData"/>
    <hyperlink ref="B151" location="'12. RMDtable'!A1" display="RMDtable"/>
    <hyperlink ref="B136" location="Introduction!A1" display="Introduction"/>
    <hyperlink ref="B156" location="'Appendix D'!A1" display="Appendix D"/>
    <hyperlink ref="B153" location="'Appendix A'!A1" display="Appendix A"/>
    <hyperlink ref="B154" location="'Appendix B'!A1" display="Appendix B"/>
    <hyperlink ref="B155" location="'Appendix C'!A1" display="Appendix C"/>
    <hyperlink ref="B157" location="FAQ!A1" display="FAQ"/>
    <hyperlink ref="B137" location="Assumptions!A1" display="Assumptions"/>
    <hyperlink ref="B152" location="'RS. Resources'!A1" display="Resources"/>
  </hyperlinks>
  <printOptions headings="1" gridLines="1"/>
  <pageMargins left="0.7" right="0.7" top="0.75" bottom="0.75" header="0.3" footer="0.3"/>
  <pageSetup orientation="landscape" horizontalDpi="1200" verticalDpi="1200" r:id="rId1"/>
  <headerFooter>
    <oddHeader>&amp;L&amp;F&amp;C   &amp;D &amp;T&amp;R&amp;A  &amp;P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O290"/>
  <sheetViews>
    <sheetView zoomScaleNormal="100" workbookViewId="0">
      <selection activeCell="H102" sqref="H102"/>
    </sheetView>
  </sheetViews>
  <sheetFormatPr defaultRowHeight="15" x14ac:dyDescent="0.25"/>
  <cols>
    <col min="1" max="1" width="6.7109375" customWidth="1"/>
    <col min="2" max="2" width="4" customWidth="1"/>
    <col min="3" max="3" width="10.85546875" customWidth="1"/>
    <col min="4" max="4" width="9.85546875" customWidth="1"/>
    <col min="5" max="5" width="9.7109375" customWidth="1"/>
    <col min="6" max="6" width="9.85546875" customWidth="1"/>
    <col min="7" max="7" width="9.140625" customWidth="1"/>
    <col min="8" max="8" width="10" customWidth="1"/>
    <col min="9" max="9" width="7.42578125" customWidth="1"/>
    <col min="10" max="10" width="6.7109375" customWidth="1"/>
    <col min="11" max="11" width="7.85546875" customWidth="1"/>
    <col min="12" max="12" width="8.28515625" customWidth="1"/>
    <col min="13" max="13" width="9.85546875" customWidth="1"/>
    <col min="14" max="14" width="8.28515625" customWidth="1"/>
  </cols>
  <sheetData>
    <row r="1" spans="1:13" s="1382" customFormat="1" ht="15.75" x14ac:dyDescent="0.25">
      <c r="B1" s="1383" t="s">
        <v>1124</v>
      </c>
      <c r="G1" s="1471" t="s">
        <v>1432</v>
      </c>
    </row>
    <row r="2" spans="1:13" s="1382" customFormat="1" ht="15.75" x14ac:dyDescent="0.25">
      <c r="A2" s="1410"/>
      <c r="B2" s="1410"/>
      <c r="C2" s="1410"/>
      <c r="D2" s="1410"/>
      <c r="E2" s="1410"/>
      <c r="F2" s="1410"/>
      <c r="G2" s="1410"/>
      <c r="H2" s="1410"/>
      <c r="I2" s="1410"/>
      <c r="J2" s="1410"/>
      <c r="K2" s="1410"/>
      <c r="L2" s="1410"/>
      <c r="M2" s="1410"/>
    </row>
    <row r="4" spans="1:13" ht="18.75" x14ac:dyDescent="0.3">
      <c r="A4" s="144" t="s">
        <v>746</v>
      </c>
    </row>
    <row r="5" spans="1:13" ht="18.75" x14ac:dyDescent="0.3">
      <c r="A5" s="144"/>
    </row>
    <row r="6" spans="1:13" ht="15.75" x14ac:dyDescent="0.25">
      <c r="A6" s="1582" t="s">
        <v>2989</v>
      </c>
    </row>
    <row r="7" spans="1:13" x14ac:dyDescent="0.25">
      <c r="A7" s="1296" t="s">
        <v>2992</v>
      </c>
    </row>
    <row r="8" spans="1:13" ht="19.5" thickBot="1" x14ac:dyDescent="0.35">
      <c r="A8" s="144"/>
    </row>
    <row r="9" spans="1:13" ht="19.5" thickBot="1" x14ac:dyDescent="0.35">
      <c r="A9" s="144"/>
      <c r="B9" s="637" t="s">
        <v>484</v>
      </c>
      <c r="C9" s="638"/>
      <c r="D9" s="638"/>
      <c r="E9" s="638"/>
      <c r="F9" s="639"/>
    </row>
    <row r="10" spans="1:13" ht="19.5" thickBot="1" x14ac:dyDescent="0.35">
      <c r="A10" s="144"/>
      <c r="B10" s="714"/>
      <c r="C10" s="33"/>
      <c r="D10" s="33"/>
      <c r="E10" s="33"/>
      <c r="F10" s="33"/>
    </row>
    <row r="11" spans="1:13" ht="19.5" thickBot="1" x14ac:dyDescent="0.35">
      <c r="A11" s="144"/>
      <c r="B11" s="637" t="str">
        <f>IF('S. Setup'!$J$86="Yes","State taxes are ADDED to the calculations.","State taxes are IGNORED.")</f>
        <v>State taxes are ADDED to the calculations.</v>
      </c>
      <c r="C11" s="638"/>
      <c r="D11" s="638"/>
      <c r="E11" s="638"/>
      <c r="F11" s="638"/>
      <c r="G11" s="639"/>
    </row>
    <row r="12" spans="1:13" ht="15.75" x14ac:dyDescent="0.25">
      <c r="A12" s="1097" t="s">
        <v>60</v>
      </c>
      <c r="B12" s="1097"/>
      <c r="C12" s="1097"/>
      <c r="D12" s="1097"/>
      <c r="E12" s="1097"/>
      <c r="F12" s="1097"/>
      <c r="G12" s="1097"/>
      <c r="H12" s="1388" t="s">
        <v>1104</v>
      </c>
    </row>
    <row r="13" spans="1:13" ht="15.75" x14ac:dyDescent="0.25">
      <c r="A13" s="1097"/>
      <c r="B13" s="1097"/>
      <c r="C13" s="1097"/>
      <c r="D13" s="1097"/>
      <c r="E13" s="1097"/>
      <c r="F13" s="1097"/>
      <c r="G13" s="1097"/>
      <c r="H13" s="1388"/>
    </row>
    <row r="14" spans="1:13" ht="18.75" x14ac:dyDescent="0.3">
      <c r="A14" s="671" t="s">
        <v>253</v>
      </c>
      <c r="B14" s="749"/>
      <c r="C14" s="750"/>
      <c r="D14" s="750"/>
      <c r="E14" s="750"/>
      <c r="F14" s="750"/>
      <c r="G14" s="672"/>
      <c r="H14" s="672"/>
      <c r="I14" s="675"/>
    </row>
    <row r="15" spans="1:13" x14ac:dyDescent="0.25">
      <c r="A15" s="679" t="s">
        <v>746</v>
      </c>
      <c r="B15" s="748"/>
      <c r="C15" s="33"/>
      <c r="D15" s="33"/>
      <c r="E15" s="33"/>
      <c r="F15" s="33"/>
      <c r="G15" s="6"/>
      <c r="H15" s="6"/>
      <c r="I15" s="678"/>
    </row>
    <row r="16" spans="1:13" x14ac:dyDescent="0.25">
      <c r="A16" s="1365" t="s">
        <v>1074</v>
      </c>
      <c r="B16" s="748"/>
      <c r="C16" s="33"/>
      <c r="D16" s="33"/>
      <c r="E16" s="33"/>
      <c r="F16" s="33"/>
      <c r="G16" s="6"/>
      <c r="H16" s="6"/>
      <c r="I16" s="678"/>
    </row>
    <row r="17" spans="1:9" x14ac:dyDescent="0.25">
      <c r="A17" s="1365" t="s">
        <v>888</v>
      </c>
      <c r="B17" s="748"/>
      <c r="C17" s="33"/>
      <c r="D17" s="33"/>
      <c r="E17" s="33"/>
      <c r="F17" s="33"/>
      <c r="G17" s="6"/>
      <c r="H17" s="6"/>
      <c r="I17" s="678"/>
    </row>
    <row r="18" spans="1:9" x14ac:dyDescent="0.25">
      <c r="A18" s="1365" t="s">
        <v>1052</v>
      </c>
      <c r="B18" s="748"/>
      <c r="C18" s="33"/>
      <c r="D18" s="33"/>
      <c r="E18" s="33"/>
      <c r="F18" s="33"/>
      <c r="G18" s="6"/>
      <c r="H18" s="6"/>
      <c r="I18" s="678"/>
    </row>
    <row r="19" spans="1:9" x14ac:dyDescent="0.25">
      <c r="A19" s="679" t="s">
        <v>269</v>
      </c>
      <c r="B19" s="748"/>
      <c r="C19" s="33"/>
      <c r="D19" s="33"/>
      <c r="E19" s="33"/>
      <c r="F19" s="33"/>
      <c r="G19" s="6"/>
      <c r="H19" s="6"/>
      <c r="I19" s="678"/>
    </row>
    <row r="20" spans="1:9" x14ac:dyDescent="0.25">
      <c r="A20" s="751" t="s">
        <v>270</v>
      </c>
      <c r="B20" s="752"/>
      <c r="C20" s="753"/>
      <c r="D20" s="753"/>
      <c r="E20" s="753"/>
      <c r="F20" s="753"/>
      <c r="G20" s="680"/>
      <c r="H20" s="680"/>
      <c r="I20" s="682"/>
    </row>
    <row r="21" spans="1:9" x14ac:dyDescent="0.25">
      <c r="A21" s="63"/>
    </row>
    <row r="22" spans="1:9" x14ac:dyDescent="0.25">
      <c r="A22" s="1351" t="s">
        <v>3271</v>
      </c>
    </row>
    <row r="23" spans="1:9" x14ac:dyDescent="0.25">
      <c r="A23" s="1296" t="s">
        <v>3270</v>
      </c>
    </row>
    <row r="24" spans="1:9" x14ac:dyDescent="0.25">
      <c r="A24" s="1296" t="s">
        <v>3698</v>
      </c>
    </row>
    <row r="25" spans="1:9" x14ac:dyDescent="0.25">
      <c r="A25" s="1296" t="s">
        <v>3697</v>
      </c>
    </row>
    <row r="26" spans="1:9" x14ac:dyDescent="0.25">
      <c r="A26" s="1296" t="s">
        <v>3272</v>
      </c>
    </row>
    <row r="27" spans="1:9" x14ac:dyDescent="0.25">
      <c r="A27" s="1296" t="s">
        <v>3273</v>
      </c>
    </row>
    <row r="28" spans="1:9" x14ac:dyDescent="0.25">
      <c r="A28" s="1296" t="s">
        <v>3274</v>
      </c>
    </row>
    <row r="29" spans="1:9" x14ac:dyDescent="0.25">
      <c r="A29" s="1296" t="s">
        <v>3699</v>
      </c>
    </row>
    <row r="30" spans="1:9" x14ac:dyDescent="0.25">
      <c r="A30" s="1296" t="s">
        <v>3700</v>
      </c>
    </row>
    <row r="31" spans="1:9" x14ac:dyDescent="0.25">
      <c r="A31" s="1296" t="s">
        <v>3282</v>
      </c>
    </row>
    <row r="32" spans="1:9" x14ac:dyDescent="0.25">
      <c r="A32" s="1296" t="s">
        <v>3283</v>
      </c>
    </row>
    <row r="33" spans="1:13" x14ac:dyDescent="0.25">
      <c r="A33" s="1296"/>
    </row>
    <row r="34" spans="1:13" ht="15.75" x14ac:dyDescent="0.25">
      <c r="A34" s="1296" t="s">
        <v>3275</v>
      </c>
    </row>
    <row r="35" spans="1:13" x14ac:dyDescent="0.25">
      <c r="A35" s="1296" t="s">
        <v>3276</v>
      </c>
    </row>
    <row r="36" spans="1:13" x14ac:dyDescent="0.25">
      <c r="A36" s="1296" t="s">
        <v>3277</v>
      </c>
    </row>
    <row r="37" spans="1:13" x14ac:dyDescent="0.25">
      <c r="A37" s="1351" t="s">
        <v>3278</v>
      </c>
    </row>
    <row r="38" spans="1:13" ht="15.75" thickBot="1" x14ac:dyDescent="0.3">
      <c r="A38" s="64"/>
    </row>
    <row r="39" spans="1:13" x14ac:dyDescent="0.25">
      <c r="A39" s="2209" t="s">
        <v>1195</v>
      </c>
      <c r="B39" s="2210"/>
      <c r="C39" s="2210"/>
      <c r="D39" s="2210"/>
      <c r="E39" s="2210"/>
      <c r="F39" s="2210"/>
      <c r="G39" s="2210"/>
      <c r="H39" s="2210"/>
      <c r="I39" s="2210"/>
      <c r="J39" s="2210"/>
      <c r="K39" s="2210"/>
      <c r="L39" s="2210"/>
      <c r="M39" s="2211"/>
    </row>
    <row r="40" spans="1:13" x14ac:dyDescent="0.25">
      <c r="A40" s="2212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2213"/>
    </row>
    <row r="41" spans="1:13" x14ac:dyDescent="0.25">
      <c r="A41" s="2214"/>
      <c r="B41" s="1026" t="s">
        <v>1320</v>
      </c>
      <c r="C41" s="6"/>
      <c r="D41" s="6"/>
      <c r="E41" s="6"/>
      <c r="F41" s="6"/>
      <c r="G41" s="6"/>
      <c r="H41" s="6"/>
      <c r="I41" s="6"/>
      <c r="J41" s="6"/>
      <c r="K41" s="6"/>
      <c r="L41" s="6"/>
      <c r="M41" s="2213"/>
    </row>
    <row r="42" spans="1:13" x14ac:dyDescent="0.25">
      <c r="A42" s="2214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2213"/>
    </row>
    <row r="43" spans="1:13" x14ac:dyDescent="0.25">
      <c r="A43" s="2214" t="s">
        <v>1319</v>
      </c>
      <c r="B43" s="1026"/>
      <c r="C43" s="6"/>
      <c r="D43" s="6"/>
      <c r="E43" s="6"/>
      <c r="F43" s="6"/>
      <c r="G43" s="6"/>
      <c r="H43" s="6"/>
      <c r="I43" s="6"/>
      <c r="J43" s="6"/>
      <c r="K43" s="6"/>
      <c r="L43" s="6"/>
      <c r="M43" s="2213"/>
    </row>
    <row r="44" spans="1:13" x14ac:dyDescent="0.25">
      <c r="A44" s="2214"/>
      <c r="B44" s="1351" t="s">
        <v>1323</v>
      </c>
      <c r="C44" s="6"/>
      <c r="D44" s="6"/>
      <c r="E44" s="6"/>
      <c r="F44" s="6"/>
      <c r="G44" s="6"/>
      <c r="H44" s="6"/>
      <c r="I44" s="6"/>
      <c r="J44" s="6"/>
      <c r="K44" s="6"/>
      <c r="L44" s="6"/>
      <c r="M44" s="2213"/>
    </row>
    <row r="45" spans="1:13" x14ac:dyDescent="0.25">
      <c r="A45" s="2214"/>
      <c r="B45" s="1351" t="s">
        <v>1324</v>
      </c>
      <c r="C45" s="6"/>
      <c r="D45" s="6"/>
      <c r="E45" s="6"/>
      <c r="F45" s="6"/>
      <c r="G45" s="6"/>
      <c r="H45" s="6"/>
      <c r="I45" s="6"/>
      <c r="J45" s="6"/>
      <c r="K45" s="6"/>
      <c r="L45" s="6"/>
      <c r="M45" s="2213"/>
    </row>
    <row r="46" spans="1:13" x14ac:dyDescent="0.25">
      <c r="A46" s="2214"/>
      <c r="B46" s="1351" t="s">
        <v>1325</v>
      </c>
      <c r="C46" s="6"/>
      <c r="D46" s="6"/>
      <c r="E46" s="6"/>
      <c r="F46" s="6"/>
      <c r="G46" s="6"/>
      <c r="H46" s="6"/>
      <c r="I46" s="6"/>
      <c r="J46" s="6"/>
      <c r="K46" s="6"/>
      <c r="L46" s="6"/>
      <c r="M46" s="2213"/>
    </row>
    <row r="47" spans="1:13" x14ac:dyDescent="0.25">
      <c r="A47" s="2214"/>
      <c r="B47" s="1351" t="s">
        <v>1326</v>
      </c>
      <c r="C47" s="6"/>
      <c r="D47" s="6"/>
      <c r="E47" s="6"/>
      <c r="F47" s="6"/>
      <c r="G47" s="6"/>
      <c r="H47" s="6"/>
      <c r="I47" s="6"/>
      <c r="J47" s="6"/>
      <c r="K47" s="6"/>
      <c r="L47" s="6"/>
      <c r="M47" s="2213"/>
    </row>
    <row r="48" spans="1:13" x14ac:dyDescent="0.25">
      <c r="A48" s="2214"/>
      <c r="B48" s="1351" t="s">
        <v>1327</v>
      </c>
      <c r="C48" s="6"/>
      <c r="D48" s="6"/>
      <c r="E48" s="6"/>
      <c r="F48" s="6"/>
      <c r="G48" s="6"/>
      <c r="H48" s="6"/>
      <c r="I48" s="6"/>
      <c r="J48" s="6"/>
      <c r="K48" s="6"/>
      <c r="L48" s="6"/>
      <c r="M48" s="2213"/>
    </row>
    <row r="49" spans="1:13" x14ac:dyDescent="0.25">
      <c r="A49" s="2214"/>
      <c r="B49" s="1351" t="s">
        <v>1328</v>
      </c>
      <c r="C49" s="6"/>
      <c r="D49" s="6"/>
      <c r="E49" s="6"/>
      <c r="F49" s="6"/>
      <c r="G49" s="6"/>
      <c r="H49" s="6"/>
      <c r="I49" s="6"/>
      <c r="J49" s="6"/>
      <c r="K49" s="6"/>
      <c r="L49" s="6"/>
      <c r="M49" s="2213"/>
    </row>
    <row r="50" spans="1:13" x14ac:dyDescent="0.25">
      <c r="A50" s="2214"/>
      <c r="B50" s="1351" t="s">
        <v>1321</v>
      </c>
      <c r="C50" s="6"/>
      <c r="D50" s="6"/>
      <c r="E50" s="6"/>
      <c r="F50" s="6"/>
      <c r="G50" s="6"/>
      <c r="H50" s="6"/>
      <c r="I50" s="6"/>
      <c r="J50" s="6"/>
      <c r="K50" s="6"/>
      <c r="L50" s="6"/>
      <c r="M50" s="2213"/>
    </row>
    <row r="51" spans="1:13" x14ac:dyDescent="0.25">
      <c r="A51" s="2214"/>
      <c r="B51" s="1351" t="s">
        <v>1322</v>
      </c>
      <c r="C51" s="6"/>
      <c r="D51" s="6"/>
      <c r="E51" s="6"/>
      <c r="F51" s="6"/>
      <c r="G51" s="6"/>
      <c r="H51" s="6"/>
      <c r="I51" s="6"/>
      <c r="J51" s="6"/>
      <c r="K51" s="6"/>
      <c r="L51" s="6"/>
      <c r="M51" s="2213"/>
    </row>
    <row r="52" spans="1:13" x14ac:dyDescent="0.25">
      <c r="A52" s="2214"/>
      <c r="B52" s="1351"/>
      <c r="C52" s="6"/>
      <c r="D52" s="6"/>
      <c r="E52" s="6"/>
      <c r="F52" s="6"/>
      <c r="G52" s="6"/>
      <c r="H52" s="6"/>
      <c r="I52" s="6"/>
      <c r="J52" s="6"/>
      <c r="K52" s="6"/>
      <c r="L52" s="6"/>
      <c r="M52" s="2213"/>
    </row>
    <row r="53" spans="1:13" ht="15.75" x14ac:dyDescent="0.25">
      <c r="A53" s="2215" t="s">
        <v>112</v>
      </c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2213"/>
    </row>
    <row r="54" spans="1:13" x14ac:dyDescent="0.25">
      <c r="A54" s="2216" t="s">
        <v>113</v>
      </c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2213"/>
    </row>
    <row r="55" spans="1:13" x14ac:dyDescent="0.25">
      <c r="A55" s="2212" t="s">
        <v>1830</v>
      </c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2213"/>
    </row>
    <row r="56" spans="1:13" x14ac:dyDescent="0.25">
      <c r="A56" s="2212" t="s">
        <v>1831</v>
      </c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2213"/>
    </row>
    <row r="57" spans="1:13" x14ac:dyDescent="0.25">
      <c r="A57" s="2212" t="s">
        <v>989</v>
      </c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2213"/>
    </row>
    <row r="58" spans="1:13" x14ac:dyDescent="0.25">
      <c r="A58" s="2214" t="s">
        <v>1332</v>
      </c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2213"/>
    </row>
    <row r="59" spans="1:13" x14ac:dyDescent="0.25">
      <c r="A59" s="2214" t="s">
        <v>537</v>
      </c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2213"/>
    </row>
    <row r="60" spans="1:13" x14ac:dyDescent="0.25">
      <c r="A60" s="2214" t="s">
        <v>538</v>
      </c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2213"/>
    </row>
    <row r="61" spans="1:13" ht="15.75" thickBot="1" x14ac:dyDescent="0.3">
      <c r="A61" s="2217" t="s">
        <v>68</v>
      </c>
      <c r="B61" s="2218"/>
      <c r="C61" s="2218"/>
      <c r="D61" s="2218"/>
      <c r="E61" s="2218"/>
      <c r="F61" s="2218"/>
      <c r="G61" s="2218"/>
      <c r="H61" s="2218"/>
      <c r="I61" s="2218"/>
      <c r="J61" s="2218"/>
      <c r="K61" s="2218"/>
      <c r="L61" s="2218"/>
      <c r="M61" s="2219"/>
    </row>
    <row r="63" spans="1:13" ht="16.5" thickBot="1" x14ac:dyDescent="0.3">
      <c r="A63" s="164"/>
    </row>
    <row r="64" spans="1:13" ht="19.5" thickTop="1" x14ac:dyDescent="0.3">
      <c r="A64" s="265" t="s">
        <v>606</v>
      </c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6"/>
    </row>
    <row r="65" spans="1:13" x14ac:dyDescent="0.25">
      <c r="A65" s="84" t="s">
        <v>644</v>
      </c>
      <c r="B65" s="3"/>
      <c r="C65" s="102"/>
      <c r="D65" s="102"/>
      <c r="E65" s="102"/>
      <c r="F65" s="6"/>
      <c r="I65" s="1685">
        <f>IF(I66&gt;0,I66,'1. AgeData'!$E$38)</f>
        <v>0.02</v>
      </c>
      <c r="J65" s="3" t="s">
        <v>2702</v>
      </c>
      <c r="K65" s="6"/>
      <c r="L65" s="6"/>
      <c r="M65" s="39"/>
    </row>
    <row r="66" spans="1:13" x14ac:dyDescent="0.25">
      <c r="A66" s="84" t="s">
        <v>3279</v>
      </c>
      <c r="B66" s="3"/>
      <c r="C66" s="102"/>
      <c r="D66" s="102"/>
      <c r="E66" s="102"/>
      <c r="F66" s="6"/>
      <c r="I66" s="1656">
        <v>0</v>
      </c>
      <c r="J66" s="3" t="s">
        <v>2703</v>
      </c>
      <c r="K66" s="6"/>
      <c r="L66" s="6"/>
      <c r="M66" s="39"/>
    </row>
    <row r="67" spans="1:13" x14ac:dyDescent="0.25">
      <c r="A67" s="1338"/>
      <c r="B67" s="3"/>
      <c r="C67" s="102"/>
      <c r="D67" s="102"/>
      <c r="E67" s="102"/>
      <c r="F67" s="6"/>
      <c r="I67" s="134"/>
      <c r="J67" s="3"/>
      <c r="K67" s="6"/>
      <c r="L67" s="6"/>
      <c r="M67" s="1311"/>
    </row>
    <row r="68" spans="1:13" x14ac:dyDescent="0.25">
      <c r="A68" s="84" t="s">
        <v>2819</v>
      </c>
      <c r="B68" s="64"/>
      <c r="C68" s="64"/>
      <c r="D68" s="134"/>
      <c r="E68" s="147"/>
      <c r="I68" s="1684">
        <f>'10. ExpensesData'!H65</f>
        <v>7000</v>
      </c>
      <c r="J68" s="130" t="s">
        <v>863</v>
      </c>
      <c r="K68" s="66"/>
      <c r="L68" s="66"/>
      <c r="M68" s="1344"/>
    </row>
    <row r="69" spans="1:13" x14ac:dyDescent="0.25">
      <c r="A69" s="84" t="s">
        <v>2820</v>
      </c>
      <c r="B69" s="64"/>
      <c r="C69" s="64"/>
      <c r="D69" s="134"/>
      <c r="E69" s="147"/>
      <c r="I69" s="1684">
        <f>'10. ExpensesData'!H66</f>
        <v>6500</v>
      </c>
      <c r="J69" s="130" t="s">
        <v>863</v>
      </c>
      <c r="K69" s="66"/>
      <c r="L69" s="66"/>
      <c r="M69" s="1344"/>
    </row>
    <row r="70" spans="1:13" x14ac:dyDescent="0.25">
      <c r="A70" s="1345"/>
      <c r="B70" s="64"/>
      <c r="C70" s="64"/>
      <c r="D70" s="134"/>
      <c r="E70" s="147"/>
      <c r="I70" s="1684"/>
      <c r="J70" s="130"/>
      <c r="K70" s="66"/>
      <c r="L70" s="66"/>
      <c r="M70" s="1344"/>
    </row>
    <row r="71" spans="1:13" x14ac:dyDescent="0.25">
      <c r="A71" s="1345" t="s">
        <v>1414</v>
      </c>
      <c r="B71" s="1296"/>
      <c r="C71" s="1296"/>
      <c r="D71" s="134"/>
      <c r="E71" s="147"/>
      <c r="I71" s="1678">
        <v>0.55000000000000004</v>
      </c>
      <c r="J71" s="1807" t="s">
        <v>1399</v>
      </c>
      <c r="M71" s="1344"/>
    </row>
    <row r="72" spans="1:13" x14ac:dyDescent="0.25">
      <c r="A72" s="302"/>
      <c r="B72" s="5"/>
      <c r="C72" s="176"/>
      <c r="D72" s="176"/>
      <c r="E72" s="206"/>
      <c r="F72" s="1156" t="s">
        <v>1415</v>
      </c>
      <c r="H72" s="147"/>
      <c r="I72" s="1352">
        <f>(I68+I69)*I71</f>
        <v>7425.0000000000009</v>
      </c>
      <c r="J72" s="6"/>
      <c r="K72" s="1352"/>
      <c r="L72" s="66"/>
      <c r="M72" s="1344"/>
    </row>
    <row r="73" spans="1:13" x14ac:dyDescent="0.25">
      <c r="A73" s="1832"/>
      <c r="B73" s="5"/>
      <c r="C73" s="176"/>
      <c r="D73" s="176"/>
      <c r="E73" s="206"/>
      <c r="F73" s="176"/>
      <c r="G73" s="6"/>
      <c r="H73" s="147"/>
      <c r="I73" s="1352"/>
      <c r="J73" s="6"/>
      <c r="K73" s="1352"/>
      <c r="L73" s="66"/>
      <c r="M73" s="1344"/>
    </row>
    <row r="74" spans="1:13" x14ac:dyDescent="0.25">
      <c r="A74" s="1416" t="s">
        <v>1416</v>
      </c>
      <c r="B74" s="5"/>
      <c r="C74" s="176"/>
      <c r="D74" s="176"/>
      <c r="E74" s="206"/>
      <c r="F74" s="176"/>
      <c r="G74" s="6"/>
      <c r="I74" s="1679"/>
      <c r="J74" s="6"/>
      <c r="K74" s="1352"/>
      <c r="L74" s="66"/>
      <c r="M74" s="1344"/>
    </row>
    <row r="75" spans="1:13" x14ac:dyDescent="0.25">
      <c r="A75" s="789" t="s">
        <v>752</v>
      </c>
      <c r="B75" s="1290"/>
      <c r="C75" s="1279"/>
      <c r="D75" s="1279"/>
      <c r="E75" s="1280"/>
      <c r="F75" s="1279"/>
      <c r="G75" s="33"/>
      <c r="H75" s="215"/>
      <c r="I75" s="1680">
        <v>0.05</v>
      </c>
      <c r="J75" s="801" t="s">
        <v>145</v>
      </c>
      <c r="K75" s="1808" t="s">
        <v>1400</v>
      </c>
      <c r="L75" s="66"/>
      <c r="M75" s="1344"/>
    </row>
    <row r="76" spans="1:13" x14ac:dyDescent="0.25">
      <c r="A76" s="139"/>
      <c r="B76" s="531"/>
      <c r="C76" s="6"/>
      <c r="D76" s="6"/>
      <c r="E76" s="6"/>
      <c r="I76" s="1679"/>
      <c r="J76" s="3"/>
      <c r="K76" s="1352"/>
      <c r="L76" s="66"/>
      <c r="M76" s="1344"/>
    </row>
    <row r="77" spans="1:13" x14ac:dyDescent="0.25">
      <c r="A77" s="165" t="s">
        <v>1331</v>
      </c>
      <c r="B77" s="531"/>
      <c r="C77" s="6"/>
      <c r="E77" s="6"/>
      <c r="F77" s="161"/>
      <c r="I77" s="1679"/>
      <c r="J77" s="3"/>
      <c r="K77" s="1352"/>
      <c r="L77" s="66"/>
      <c r="M77" s="1344"/>
    </row>
    <row r="78" spans="1:13" x14ac:dyDescent="0.25">
      <c r="A78" s="789" t="s">
        <v>385</v>
      </c>
      <c r="B78" s="531"/>
      <c r="C78" s="6"/>
      <c r="D78" s="6"/>
      <c r="E78" s="6"/>
      <c r="F78" s="6"/>
      <c r="G78" s="6"/>
      <c r="I78" s="1678">
        <v>0.5</v>
      </c>
      <c r="J78" s="161"/>
      <c r="K78" s="1807" t="s">
        <v>1401</v>
      </c>
      <c r="L78" s="66"/>
      <c r="M78" s="1344"/>
    </row>
    <row r="79" spans="1:13" x14ac:dyDescent="0.25">
      <c r="A79" s="1753" t="s">
        <v>386</v>
      </c>
      <c r="B79" s="6"/>
      <c r="C79" s="6"/>
      <c r="D79" s="6"/>
      <c r="E79" s="6"/>
      <c r="F79" s="6"/>
      <c r="G79" s="6"/>
      <c r="H79" s="6"/>
      <c r="I79" s="1678">
        <v>0.5</v>
      </c>
      <c r="J79" s="166" t="str">
        <f>IF(($I$78+I$79)=1, ".", "   ERROR in TaxData - the sum of S1+S2 shares must be 100%")</f>
        <v>.</v>
      </c>
      <c r="K79" s="1352"/>
      <c r="L79" s="66"/>
      <c r="M79" s="1344"/>
    </row>
    <row r="80" spans="1:13" x14ac:dyDescent="0.25">
      <c r="A80" s="1753"/>
      <c r="B80" s="6"/>
      <c r="C80" s="6"/>
      <c r="D80" s="6"/>
      <c r="E80" s="6"/>
      <c r="F80" s="6"/>
      <c r="G80" s="6"/>
      <c r="H80" s="6"/>
      <c r="I80" s="1678"/>
      <c r="J80" s="166"/>
      <c r="K80" s="1352"/>
      <c r="L80" s="66"/>
      <c r="M80" s="1344"/>
    </row>
    <row r="81" spans="1:13" x14ac:dyDescent="0.25">
      <c r="A81" s="2122" t="s">
        <v>1807</v>
      </c>
      <c r="B81" s="2123"/>
      <c r="C81" s="2123"/>
      <c r="D81" s="2123"/>
      <c r="E81" s="2124"/>
      <c r="F81" s="2124"/>
      <c r="G81" s="2124"/>
      <c r="H81" s="2124"/>
      <c r="I81" s="1678"/>
      <c r="J81" s="166"/>
      <c r="K81" s="1352"/>
      <c r="L81" s="66"/>
      <c r="M81" s="1344"/>
    </row>
    <row r="82" spans="1:13" x14ac:dyDescent="0.25">
      <c r="A82" s="2122" t="s">
        <v>1354</v>
      </c>
      <c r="B82" s="2123"/>
      <c r="C82" s="2123"/>
      <c r="D82" s="2123"/>
      <c r="E82" s="2124"/>
      <c r="F82" s="2124"/>
      <c r="G82" s="2124"/>
      <c r="H82" s="2124"/>
      <c r="I82" s="1678"/>
      <c r="J82" s="166"/>
      <c r="K82" s="1352"/>
      <c r="L82" s="66"/>
      <c r="M82" s="1344"/>
    </row>
    <row r="83" spans="1:13" x14ac:dyDescent="0.25">
      <c r="A83" s="1345"/>
      <c r="B83" s="1296"/>
      <c r="C83" s="1296"/>
      <c r="D83" s="134"/>
      <c r="E83" s="147"/>
      <c r="H83" s="549"/>
      <c r="I83" s="6"/>
      <c r="J83" s="147"/>
      <c r="K83" s="1352"/>
      <c r="L83" s="66"/>
      <c r="M83" s="1344"/>
    </row>
    <row r="84" spans="1:13" x14ac:dyDescent="0.25">
      <c r="A84" s="1267" t="s">
        <v>1329</v>
      </c>
      <c r="B84" s="1026"/>
      <c r="C84" s="1279"/>
      <c r="D84" s="1279"/>
      <c r="E84" s="1279"/>
      <c r="F84" s="33"/>
      <c r="G84" s="215"/>
      <c r="H84" s="215"/>
      <c r="I84" s="1543"/>
      <c r="J84" s="66"/>
      <c r="K84" s="66"/>
      <c r="L84" s="66"/>
      <c r="M84" s="1344"/>
    </row>
    <row r="85" spans="1:13" x14ac:dyDescent="0.25">
      <c r="A85" s="1416" t="s">
        <v>1330</v>
      </c>
      <c r="B85" s="1026"/>
      <c r="C85" s="1279"/>
      <c r="D85" s="1279"/>
      <c r="E85" s="1279"/>
      <c r="F85" s="33"/>
      <c r="G85" s="215"/>
      <c r="H85" s="215"/>
      <c r="I85" s="1543"/>
      <c r="J85" s="66"/>
      <c r="K85" s="66"/>
      <c r="L85" s="66"/>
      <c r="M85" s="1344"/>
    </row>
    <row r="86" spans="1:13" ht="15.75" thickBot="1" x14ac:dyDescent="0.3">
      <c r="A86" s="68" t="s">
        <v>1412</v>
      </c>
      <c r="B86" s="63"/>
      <c r="C86" s="176"/>
      <c r="D86" s="176"/>
      <c r="E86" s="176"/>
      <c r="F86" s="6"/>
      <c r="I86" s="1742">
        <v>0.15</v>
      </c>
      <c r="J86" s="6"/>
      <c r="K86" s="1346" t="s">
        <v>822</v>
      </c>
      <c r="L86" s="1346" t="s">
        <v>676</v>
      </c>
      <c r="M86" s="1641" t="s">
        <v>823</v>
      </c>
    </row>
    <row r="87" spans="1:13" x14ac:dyDescent="0.25">
      <c r="A87" s="789" t="s">
        <v>1413</v>
      </c>
      <c r="B87" s="1026"/>
      <c r="C87" s="1279"/>
      <c r="D87" s="1279"/>
      <c r="E87" s="1279"/>
      <c r="F87" s="33"/>
      <c r="G87" s="215"/>
      <c r="H87" s="215"/>
      <c r="I87" s="1743">
        <v>0.2</v>
      </c>
      <c r="J87" s="6"/>
      <c r="K87" s="1744">
        <v>425000</v>
      </c>
      <c r="L87" s="1745">
        <v>450000</v>
      </c>
      <c r="M87" s="39"/>
    </row>
    <row r="88" spans="1:13" x14ac:dyDescent="0.25">
      <c r="I88" s="1737"/>
      <c r="J88" s="6"/>
      <c r="K88" s="6"/>
      <c r="L88" s="6"/>
      <c r="M88" s="39"/>
    </row>
    <row r="89" spans="1:13" x14ac:dyDescent="0.25">
      <c r="A89" s="68" t="s">
        <v>753</v>
      </c>
      <c r="B89" s="63"/>
      <c r="C89" s="176"/>
      <c r="D89" s="176"/>
      <c r="E89" s="206"/>
      <c r="F89" s="176"/>
      <c r="G89" s="6"/>
      <c r="I89" s="1737"/>
      <c r="J89" s="6"/>
      <c r="K89" s="6"/>
      <c r="L89" s="6"/>
      <c r="M89" s="39"/>
    </row>
    <row r="90" spans="1:13" x14ac:dyDescent="0.25">
      <c r="A90" s="68" t="s">
        <v>754</v>
      </c>
      <c r="B90" s="63"/>
      <c r="C90" s="176"/>
      <c r="D90" s="176"/>
      <c r="E90" s="206"/>
      <c r="F90" s="176"/>
      <c r="G90" s="6"/>
      <c r="I90" s="1742">
        <v>0.15</v>
      </c>
      <c r="J90" s="6"/>
      <c r="K90" s="6"/>
      <c r="L90" s="6"/>
      <c r="M90" s="39"/>
    </row>
    <row r="91" spans="1:13" x14ac:dyDescent="0.25">
      <c r="A91" s="789" t="s">
        <v>755</v>
      </c>
      <c r="B91" s="1026"/>
      <c r="C91" s="1279"/>
      <c r="D91" s="1279"/>
      <c r="E91" s="1279"/>
      <c r="F91" s="33"/>
      <c r="G91" s="215"/>
      <c r="H91" s="215"/>
      <c r="I91" s="1736"/>
      <c r="J91" s="33"/>
      <c r="K91" s="215"/>
      <c r="L91" s="6"/>
      <c r="M91" s="39"/>
    </row>
    <row r="92" spans="1:13" x14ac:dyDescent="0.25">
      <c r="A92" s="1150" t="s">
        <v>756</v>
      </c>
      <c r="B92" s="63"/>
      <c r="C92" s="176"/>
      <c r="D92" s="176"/>
      <c r="E92" s="206"/>
      <c r="F92" s="176"/>
      <c r="G92" s="6"/>
      <c r="I92" s="1738"/>
      <c r="J92" s="6"/>
      <c r="K92" s="6"/>
      <c r="L92" s="6"/>
      <c r="M92" s="39"/>
    </row>
    <row r="93" spans="1:13" x14ac:dyDescent="0.25">
      <c r="A93" s="789" t="s">
        <v>757</v>
      </c>
      <c r="B93" s="1026"/>
      <c r="C93" s="1279"/>
      <c r="D93" s="1279"/>
      <c r="E93" s="1280"/>
      <c r="F93" s="1279"/>
      <c r="G93" s="33"/>
      <c r="H93" s="215"/>
      <c r="I93" s="1747">
        <v>8.9999999999999993E-3</v>
      </c>
      <c r="J93" s="6" t="s">
        <v>824</v>
      </c>
      <c r="K93" s="1746">
        <v>200000</v>
      </c>
      <c r="L93" s="1189"/>
      <c r="M93" s="39"/>
    </row>
    <row r="94" spans="1:13" ht="15.75" thickBot="1" x14ac:dyDescent="0.3">
      <c r="A94" s="1754" t="s">
        <v>758</v>
      </c>
      <c r="B94" s="1755"/>
      <c r="C94" s="1756"/>
      <c r="D94" s="1756"/>
      <c r="E94" s="1756"/>
      <c r="F94" s="1757"/>
      <c r="G94" s="1757"/>
      <c r="H94" s="1757"/>
      <c r="I94" s="1758">
        <v>3.7999999999999999E-2</v>
      </c>
      <c r="J94" s="1314"/>
      <c r="K94" s="1759"/>
      <c r="L94" s="1760"/>
      <c r="M94" s="1315"/>
    </row>
    <row r="95" spans="1:13" ht="15.75" thickTop="1" x14ac:dyDescent="0.25"/>
    <row r="96" spans="1:13" ht="15.75" thickBot="1" x14ac:dyDescent="0.3"/>
    <row r="97" spans="1:13" ht="19.5" thickTop="1" x14ac:dyDescent="0.3">
      <c r="A97" s="265" t="s">
        <v>775</v>
      </c>
      <c r="B97" s="42"/>
      <c r="C97" s="42"/>
      <c r="D97" s="42"/>
      <c r="E97" s="42"/>
      <c r="F97" s="14"/>
      <c r="G97" s="14"/>
      <c r="H97" s="42"/>
      <c r="I97" s="14"/>
      <c r="J97" s="78"/>
      <c r="K97" s="79"/>
      <c r="L97" s="80"/>
      <c r="M97" s="115"/>
    </row>
    <row r="98" spans="1:13" x14ac:dyDescent="0.25">
      <c r="A98" s="1416" t="s">
        <v>1417</v>
      </c>
      <c r="B98" s="64"/>
      <c r="C98" s="64"/>
      <c r="D98" s="64"/>
      <c r="E98" s="64"/>
      <c r="F98" s="6"/>
      <c r="G98" s="6"/>
      <c r="I98" s="1648"/>
      <c r="J98" s="77"/>
      <c r="K98" s="44"/>
      <c r="L98" s="1809"/>
      <c r="M98" s="1810"/>
    </row>
    <row r="99" spans="1:13" x14ac:dyDescent="0.25">
      <c r="A99" s="1609" t="s">
        <v>3280</v>
      </c>
      <c r="B99" s="93"/>
      <c r="C99" s="601"/>
      <c r="D99" s="601"/>
      <c r="E99" s="602"/>
      <c r="F99" s="603"/>
      <c r="G99" s="604"/>
      <c r="H99" s="603"/>
      <c r="I99" s="1648" t="s">
        <v>1768</v>
      </c>
      <c r="K99" s="44"/>
      <c r="L99" s="1809"/>
      <c r="M99" s="1810"/>
    </row>
    <row r="100" spans="1:13" x14ac:dyDescent="0.25">
      <c r="A100" s="1609" t="s">
        <v>1767</v>
      </c>
      <c r="B100" s="93"/>
      <c r="C100" s="601"/>
      <c r="D100" s="601"/>
      <c r="E100" s="602"/>
      <c r="F100" s="603"/>
      <c r="G100" s="604"/>
      <c r="H100" s="603"/>
      <c r="I100" s="603"/>
      <c r="J100" s="603"/>
      <c r="K100" s="44"/>
      <c r="L100" s="1809"/>
      <c r="M100" s="1810"/>
    </row>
    <row r="101" spans="1:13" ht="16.5" thickBot="1" x14ac:dyDescent="0.3">
      <c r="A101" s="85"/>
      <c r="B101" s="64"/>
      <c r="C101" s="64"/>
      <c r="D101" s="64"/>
      <c r="E101" s="64"/>
      <c r="F101" s="6"/>
      <c r="G101" s="6"/>
      <c r="H101" s="64"/>
      <c r="M101" s="1810"/>
    </row>
    <row r="102" spans="1:13" ht="16.5" thickBot="1" x14ac:dyDescent="0.3">
      <c r="A102" s="68" t="s">
        <v>1356</v>
      </c>
      <c r="B102" s="64"/>
      <c r="C102" s="64"/>
      <c r="D102" s="64"/>
      <c r="E102" s="64"/>
      <c r="F102" s="64"/>
      <c r="H102" s="2114" t="s">
        <v>676</v>
      </c>
      <c r="J102" s="1212" t="s">
        <v>389</v>
      </c>
      <c r="K102" s="1170"/>
      <c r="L102" s="1170"/>
      <c r="M102" s="968"/>
    </row>
    <row r="103" spans="1:13" x14ac:dyDescent="0.25">
      <c r="A103" s="194" t="s">
        <v>1539</v>
      </c>
      <c r="B103" s="64"/>
      <c r="C103" s="64"/>
      <c r="D103" s="64"/>
      <c r="E103" s="64"/>
      <c r="F103" s="64"/>
      <c r="G103" s="76"/>
      <c r="H103" s="33"/>
      <c r="J103" s="177" t="s">
        <v>674</v>
      </c>
      <c r="K103" s="77"/>
      <c r="L103" s="44"/>
      <c r="M103" s="969"/>
    </row>
    <row r="104" spans="1:13" x14ac:dyDescent="0.25">
      <c r="A104" s="1956" t="s">
        <v>1537</v>
      </c>
      <c r="J104" s="177" t="s">
        <v>673</v>
      </c>
      <c r="K104" s="6"/>
      <c r="L104" s="6"/>
      <c r="M104" s="39"/>
    </row>
    <row r="105" spans="1:13" x14ac:dyDescent="0.25">
      <c r="A105" s="194" t="s">
        <v>1538</v>
      </c>
      <c r="J105" s="1966" t="s">
        <v>781</v>
      </c>
      <c r="K105" s="33"/>
      <c r="L105" s="33"/>
      <c r="M105" s="1454"/>
    </row>
    <row r="106" spans="1:13" ht="15.75" thickBot="1" x14ac:dyDescent="0.3">
      <c r="I106" s="215"/>
      <c r="J106" s="1967" t="s">
        <v>675</v>
      </c>
      <c r="K106" s="1964"/>
      <c r="L106" s="1964"/>
      <c r="M106" s="1965"/>
    </row>
    <row r="107" spans="1:13" x14ac:dyDescent="0.25">
      <c r="A107" s="1377" t="s">
        <v>1355</v>
      </c>
      <c r="B107" s="530"/>
      <c r="C107" s="530"/>
      <c r="D107" s="530"/>
      <c r="E107" s="26"/>
      <c r="F107" s="26"/>
      <c r="G107" s="26"/>
      <c r="H107" s="26"/>
      <c r="I107" s="66"/>
      <c r="M107" s="1608"/>
    </row>
    <row r="108" spans="1:13" x14ac:dyDescent="0.25">
      <c r="A108" s="1377" t="s">
        <v>1354</v>
      </c>
      <c r="B108" s="530"/>
      <c r="C108" s="530"/>
      <c r="D108" s="530"/>
      <c r="E108" s="26"/>
      <c r="F108" s="26"/>
      <c r="G108" s="26"/>
      <c r="H108" s="26"/>
      <c r="I108" s="66"/>
      <c r="J108" s="32"/>
      <c r="K108" s="34"/>
      <c r="L108" s="35"/>
      <c r="M108" s="1608"/>
    </row>
    <row r="109" spans="1:13" x14ac:dyDescent="0.25">
      <c r="A109" s="1026" t="s">
        <v>1353</v>
      </c>
      <c r="B109" s="122"/>
      <c r="C109" s="122"/>
      <c r="D109" s="66"/>
      <c r="E109" s="66"/>
      <c r="F109" s="66"/>
      <c r="G109" s="66"/>
      <c r="H109" s="66"/>
      <c r="I109" s="66"/>
      <c r="J109" s="32"/>
      <c r="K109" s="34"/>
      <c r="L109" s="35"/>
      <c r="M109" s="1608"/>
    </row>
    <row r="110" spans="1:13" x14ac:dyDescent="0.25">
      <c r="A110" s="1496" t="s">
        <v>1300</v>
      </c>
      <c r="B110" s="66"/>
      <c r="C110" s="66"/>
      <c r="D110" s="66"/>
      <c r="E110" s="66"/>
      <c r="F110" s="66"/>
      <c r="G110" s="66"/>
      <c r="H110" s="66"/>
      <c r="I110" s="66"/>
      <c r="J110" s="32"/>
      <c r="K110" s="34"/>
      <c r="L110" s="35"/>
      <c r="M110" s="1608"/>
    </row>
    <row r="111" spans="1:13" ht="15.75" thickBot="1" x14ac:dyDescent="0.3">
      <c r="B111" s="64"/>
      <c r="C111" s="64"/>
      <c r="D111" s="64"/>
      <c r="E111" s="3"/>
      <c r="F111" s="3"/>
      <c r="G111" s="65"/>
      <c r="H111" s="66"/>
      <c r="I111" s="66"/>
      <c r="J111" s="32"/>
      <c r="K111" s="34"/>
      <c r="L111" s="35"/>
      <c r="M111" s="116"/>
    </row>
    <row r="112" spans="1:13" ht="46.5" thickTop="1" thickBot="1" x14ac:dyDescent="0.3">
      <c r="A112" s="1313" t="s">
        <v>795</v>
      </c>
      <c r="B112" s="1957"/>
      <c r="C112" s="1957"/>
      <c r="D112" s="1957"/>
      <c r="E112" s="1958" t="s">
        <v>799</v>
      </c>
      <c r="F112" s="1333" t="s">
        <v>797</v>
      </c>
      <c r="G112" s="1314"/>
      <c r="H112" s="1361"/>
      <c r="I112" s="1361"/>
      <c r="J112" s="1658" t="s">
        <v>669</v>
      </c>
      <c r="K112" s="1659"/>
      <c r="L112" s="1659"/>
      <c r="M112" s="1660" t="s">
        <v>806</v>
      </c>
    </row>
    <row r="113" spans="1:13" ht="15.75" thickTop="1" x14ac:dyDescent="0.25">
      <c r="A113" s="1748">
        <v>0.1</v>
      </c>
      <c r="B113" s="1721" t="s">
        <v>153</v>
      </c>
      <c r="C113" s="1662"/>
      <c r="D113" s="1722"/>
      <c r="E113" s="1749">
        <v>0</v>
      </c>
      <c r="F113" s="1750">
        <v>0</v>
      </c>
      <c r="G113" s="153" t="s">
        <v>152</v>
      </c>
      <c r="H113" t="s">
        <v>798</v>
      </c>
      <c r="I113" s="6"/>
      <c r="J113" s="1661">
        <f t="shared" ref="J113:J118" si="0">A113</f>
        <v>0.1</v>
      </c>
      <c r="K113" s="1662" t="s">
        <v>388</v>
      </c>
      <c r="L113" s="1662"/>
      <c r="M113" s="1663">
        <f>IF($H$102="MFJ",E113,IF($H$102="SF",E124,IF($H$102="HH",E134,IF($H$102="MFS",E144,"BADFILING STATUS- USE MFJ, SF, HH, or MFS"))))</f>
        <v>0</v>
      </c>
    </row>
    <row r="114" spans="1:13" x14ac:dyDescent="0.25">
      <c r="A114" s="1748">
        <v>0.15</v>
      </c>
      <c r="B114" s="1721" t="s">
        <v>153</v>
      </c>
      <c r="C114" s="1662"/>
      <c r="D114" s="1722"/>
      <c r="E114" s="1749">
        <v>18551</v>
      </c>
      <c r="F114" s="1750">
        <v>1855</v>
      </c>
      <c r="G114" s="153" t="s">
        <v>152</v>
      </c>
      <c r="H114" t="s">
        <v>800</v>
      </c>
      <c r="I114" s="6"/>
      <c r="J114" s="1661">
        <f t="shared" si="0"/>
        <v>0.15</v>
      </c>
      <c r="K114" s="1662" t="s">
        <v>388</v>
      </c>
      <c r="L114" s="1662"/>
      <c r="M114" s="1663">
        <f t="shared" ref="M114:M119" si="1">IF($H$102="MFJ",E114,IF($H$102="SF",E125,IF($H$102="HH",E135,IF($H$102="MFS",E145,"BADFILING STATUS- USE MFJ, SF, HH, or MFS"))))</f>
        <v>18551</v>
      </c>
    </row>
    <row r="115" spans="1:13" x14ac:dyDescent="0.25">
      <c r="A115" s="1748">
        <v>0.25</v>
      </c>
      <c r="B115" s="1721" t="s">
        <v>153</v>
      </c>
      <c r="C115" s="1662"/>
      <c r="D115" s="1722"/>
      <c r="E115" s="1749">
        <v>75301</v>
      </c>
      <c r="F115" s="1750">
        <v>10367.5</v>
      </c>
      <c r="G115" s="153" t="s">
        <v>152</v>
      </c>
      <c r="H115" t="s">
        <v>801</v>
      </c>
      <c r="I115" s="6"/>
      <c r="J115" s="1661">
        <f t="shared" si="0"/>
        <v>0.25</v>
      </c>
      <c r="K115" s="1662" t="s">
        <v>388</v>
      </c>
      <c r="L115" s="1662"/>
      <c r="M115" s="1663">
        <f t="shared" si="1"/>
        <v>75301</v>
      </c>
    </row>
    <row r="116" spans="1:13" x14ac:dyDescent="0.25">
      <c r="A116" s="1748">
        <v>0.28000000000000003</v>
      </c>
      <c r="B116" s="1721" t="s">
        <v>153</v>
      </c>
      <c r="C116" s="1662"/>
      <c r="D116" s="1722"/>
      <c r="E116" s="1749">
        <v>151901</v>
      </c>
      <c r="F116" s="1750">
        <v>29517.5</v>
      </c>
      <c r="G116" s="153" t="s">
        <v>152</v>
      </c>
      <c r="H116" t="s">
        <v>802</v>
      </c>
      <c r="I116" s="6"/>
      <c r="J116" s="1661">
        <f t="shared" si="0"/>
        <v>0.28000000000000003</v>
      </c>
      <c r="K116" s="1662" t="s">
        <v>388</v>
      </c>
      <c r="L116" s="1662"/>
      <c r="M116" s="1663">
        <f t="shared" si="1"/>
        <v>151901</v>
      </c>
    </row>
    <row r="117" spans="1:13" x14ac:dyDescent="0.25">
      <c r="A117" s="1748">
        <v>0.33</v>
      </c>
      <c r="B117" s="1721" t="s">
        <v>153</v>
      </c>
      <c r="C117" s="1662"/>
      <c r="D117" s="1662"/>
      <c r="E117" s="1749">
        <v>231451</v>
      </c>
      <c r="F117" s="1750">
        <v>51791.5</v>
      </c>
      <c r="G117" s="153" t="s">
        <v>152</v>
      </c>
      <c r="H117" t="s">
        <v>803</v>
      </c>
      <c r="I117" s="6"/>
      <c r="J117" s="1661">
        <f t="shared" si="0"/>
        <v>0.33</v>
      </c>
      <c r="K117" s="1662" t="s">
        <v>388</v>
      </c>
      <c r="L117" s="1662"/>
      <c r="M117" s="1663">
        <f t="shared" si="1"/>
        <v>231451</v>
      </c>
    </row>
    <row r="118" spans="1:13" x14ac:dyDescent="0.25">
      <c r="A118" s="1748">
        <v>0.35</v>
      </c>
      <c r="B118" s="1721" t="s">
        <v>153</v>
      </c>
      <c r="C118" s="1662"/>
      <c r="D118" s="1662"/>
      <c r="E118" s="1749">
        <v>413351</v>
      </c>
      <c r="F118" s="1750">
        <v>111818.5</v>
      </c>
      <c r="G118" s="153" t="s">
        <v>152</v>
      </c>
      <c r="H118" t="s">
        <v>804</v>
      </c>
      <c r="I118" s="6"/>
      <c r="J118" s="1661">
        <f t="shared" si="0"/>
        <v>0.35</v>
      </c>
      <c r="K118" s="1662" t="s">
        <v>388</v>
      </c>
      <c r="L118" s="1662"/>
      <c r="M118" s="1663">
        <f t="shared" si="1"/>
        <v>413351</v>
      </c>
    </row>
    <row r="119" spans="1:13" ht="15.75" thickBot="1" x14ac:dyDescent="0.3">
      <c r="A119" s="1748">
        <v>0.39600000000000002</v>
      </c>
      <c r="B119" s="1721" t="s">
        <v>153</v>
      </c>
      <c r="C119" s="1662"/>
      <c r="D119" s="1662"/>
      <c r="E119" s="1749">
        <v>466951</v>
      </c>
      <c r="F119" s="1750">
        <v>130578.5</v>
      </c>
      <c r="G119" s="153" t="s">
        <v>152</v>
      </c>
      <c r="H119" t="s">
        <v>805</v>
      </c>
      <c r="I119" s="6"/>
      <c r="J119" s="1661">
        <f>A119</f>
        <v>0.39600000000000002</v>
      </c>
      <c r="K119" s="1662" t="s">
        <v>388</v>
      </c>
      <c r="L119" s="1662"/>
      <c r="M119" s="1663">
        <f t="shared" si="1"/>
        <v>466951</v>
      </c>
    </row>
    <row r="120" spans="1:13" ht="15.75" thickBot="1" x14ac:dyDescent="0.3">
      <c r="A120" s="1724" t="s">
        <v>793</v>
      </c>
      <c r="B120" s="1721"/>
      <c r="C120" s="1662"/>
      <c r="D120" s="1749">
        <v>12600</v>
      </c>
      <c r="E120" s="1671"/>
      <c r="F120" s="1725"/>
      <c r="G120" s="434"/>
      <c r="H120" s="153"/>
      <c r="I120" s="6"/>
      <c r="J120" s="1664" t="s">
        <v>794</v>
      </c>
      <c r="K120" s="1665"/>
      <c r="L120" s="1665"/>
      <c r="M120" s="1666">
        <f>IF($H$102="MFJ",D120,IF($H$102="SF",D131,IF($H$102="MFS",D151,"BAD TABLE - USE MFS, SF or MFS")))</f>
        <v>12600</v>
      </c>
    </row>
    <row r="121" spans="1:13" ht="15.75" thickTop="1" x14ac:dyDescent="0.25">
      <c r="A121" s="1726"/>
      <c r="B121" s="1727"/>
      <c r="C121" s="1727"/>
      <c r="D121" s="1727"/>
      <c r="E121" s="1723"/>
      <c r="F121" s="1728"/>
      <c r="G121" s="11"/>
      <c r="H121" s="47"/>
      <c r="I121" s="6"/>
      <c r="J121" s="1667"/>
      <c r="K121" s="1668"/>
      <c r="L121" s="1669"/>
      <c r="M121" s="1670"/>
    </row>
    <row r="122" spans="1:13" ht="15.75" thickBot="1" x14ac:dyDescent="0.3">
      <c r="A122" s="1955"/>
      <c r="B122" s="1662"/>
      <c r="C122" s="1662"/>
      <c r="D122" s="1662"/>
      <c r="E122" s="1723"/>
      <c r="G122" s="152"/>
      <c r="H122" s="153"/>
      <c r="I122" s="6"/>
      <c r="J122" s="1671"/>
      <c r="K122" s="1668"/>
      <c r="L122" s="1669"/>
      <c r="M122" s="1670"/>
    </row>
    <row r="123" spans="1:13" ht="46.5" thickTop="1" thickBot="1" x14ac:dyDescent="0.3">
      <c r="A123" s="1959" t="s">
        <v>1540</v>
      </c>
      <c r="B123" s="1960"/>
      <c r="C123" s="1960"/>
      <c r="D123" s="1960"/>
      <c r="E123" s="1961" t="s">
        <v>799</v>
      </c>
      <c r="F123" s="1962" t="s">
        <v>797</v>
      </c>
      <c r="G123" s="1314"/>
      <c r="H123" s="1361"/>
      <c r="I123" s="1361"/>
      <c r="J123" s="1672" t="s">
        <v>1536</v>
      </c>
      <c r="K123" s="1673"/>
      <c r="L123" s="1673"/>
      <c r="M123" s="1674"/>
    </row>
    <row r="124" spans="1:13" ht="15.75" thickTop="1" x14ac:dyDescent="0.25">
      <c r="A124" s="1748">
        <v>0.1</v>
      </c>
      <c r="B124" s="1721" t="s">
        <v>153</v>
      </c>
      <c r="C124" s="1662"/>
      <c r="D124" s="1722"/>
      <c r="E124" s="1749">
        <v>0</v>
      </c>
      <c r="F124" s="1750">
        <v>0</v>
      </c>
      <c r="G124" s="153" t="s">
        <v>152</v>
      </c>
      <c r="H124" t="s">
        <v>798</v>
      </c>
      <c r="I124" s="6"/>
      <c r="J124" s="1661">
        <f t="shared" ref="J124:J130" si="2">A124</f>
        <v>0.1</v>
      </c>
      <c r="K124" s="1662" t="s">
        <v>388</v>
      </c>
      <c r="L124" s="1662"/>
      <c r="M124" s="1675">
        <f>IF($H$102="MFJ",F113,IF($H$102="SF",F124,IF($H$102="HH",F134,IF($H$102="MFS",F144,"BAD FILING STATUS - USE MFJ, SF, HH, or MFS"))))</f>
        <v>0</v>
      </c>
    </row>
    <row r="125" spans="1:13" x14ac:dyDescent="0.25">
      <c r="A125" s="1748">
        <v>0.15</v>
      </c>
      <c r="B125" s="1721" t="s">
        <v>153</v>
      </c>
      <c r="C125" s="1662"/>
      <c r="D125" s="1722"/>
      <c r="E125" s="1749">
        <v>9276</v>
      </c>
      <c r="F125" s="1750">
        <v>927.5</v>
      </c>
      <c r="G125" s="153" t="s">
        <v>152</v>
      </c>
      <c r="H125" t="s">
        <v>800</v>
      </c>
      <c r="I125" s="6"/>
      <c r="J125" s="1661">
        <f t="shared" si="2"/>
        <v>0.15</v>
      </c>
      <c r="K125" s="1662" t="s">
        <v>388</v>
      </c>
      <c r="L125" s="1662"/>
      <c r="M125" s="1675">
        <f t="shared" ref="M125:M130" si="3">IF($H$102="MFJ",F114,IF($H$102="SF",F125,IF($H$102="HH",F135,IF($H$102="MFS",F145,"BAD FILING STATUS - USE MFJ, SF, HH, or MFS"))))</f>
        <v>1855</v>
      </c>
    </row>
    <row r="126" spans="1:13" x14ac:dyDescent="0.25">
      <c r="A126" s="1748">
        <v>0.25</v>
      </c>
      <c r="B126" s="1721" t="s">
        <v>153</v>
      </c>
      <c r="C126" s="1662"/>
      <c r="D126" s="1722"/>
      <c r="E126" s="1749">
        <v>37651</v>
      </c>
      <c r="F126" s="1750">
        <v>5183.75</v>
      </c>
      <c r="G126" s="153" t="s">
        <v>152</v>
      </c>
      <c r="H126" t="s">
        <v>801</v>
      </c>
      <c r="I126" s="6"/>
      <c r="J126" s="1661">
        <f t="shared" si="2"/>
        <v>0.25</v>
      </c>
      <c r="K126" s="1662" t="s">
        <v>388</v>
      </c>
      <c r="L126" s="1662"/>
      <c r="M126" s="1675">
        <f t="shared" si="3"/>
        <v>10367.5</v>
      </c>
    </row>
    <row r="127" spans="1:13" x14ac:dyDescent="0.25">
      <c r="A127" s="1748">
        <v>0.28000000000000003</v>
      </c>
      <c r="B127" s="1721" t="s">
        <v>153</v>
      </c>
      <c r="C127" s="1662"/>
      <c r="D127" s="1722"/>
      <c r="E127" s="1749">
        <v>91151</v>
      </c>
      <c r="F127" s="1750">
        <v>18558.75</v>
      </c>
      <c r="G127" s="153" t="s">
        <v>152</v>
      </c>
      <c r="H127" t="s">
        <v>802</v>
      </c>
      <c r="I127" s="6"/>
      <c r="J127" s="1661">
        <f t="shared" si="2"/>
        <v>0.28000000000000003</v>
      </c>
      <c r="K127" s="1662" t="s">
        <v>388</v>
      </c>
      <c r="L127" s="1662"/>
      <c r="M127" s="1675">
        <f t="shared" si="3"/>
        <v>29517.5</v>
      </c>
    </row>
    <row r="128" spans="1:13" x14ac:dyDescent="0.25">
      <c r="A128" s="1748">
        <v>0.33</v>
      </c>
      <c r="B128" s="1729" t="s">
        <v>153</v>
      </c>
      <c r="C128" s="1730"/>
      <c r="D128" s="1730"/>
      <c r="E128" s="1749">
        <v>190151</v>
      </c>
      <c r="F128" s="1750">
        <v>46278.75</v>
      </c>
      <c r="G128" s="153" t="s">
        <v>152</v>
      </c>
      <c r="H128" t="s">
        <v>803</v>
      </c>
      <c r="I128" s="6"/>
      <c r="J128" s="1661">
        <f t="shared" si="2"/>
        <v>0.33</v>
      </c>
      <c r="K128" s="1662" t="s">
        <v>388</v>
      </c>
      <c r="L128" s="1662"/>
      <c r="M128" s="1675">
        <f t="shared" si="3"/>
        <v>51791.5</v>
      </c>
    </row>
    <row r="129" spans="1:13" x14ac:dyDescent="0.25">
      <c r="A129" s="1748">
        <v>0.35</v>
      </c>
      <c r="B129" s="1730" t="s">
        <v>153</v>
      </c>
      <c r="C129" s="1730"/>
      <c r="D129" s="1730"/>
      <c r="E129" s="1749">
        <v>413351</v>
      </c>
      <c r="F129" s="1750">
        <v>119934.75</v>
      </c>
      <c r="G129" s="153" t="s">
        <v>152</v>
      </c>
      <c r="H129" t="s">
        <v>804</v>
      </c>
      <c r="I129" s="6"/>
      <c r="J129" s="1661">
        <f t="shared" si="2"/>
        <v>0.35</v>
      </c>
      <c r="K129" s="1662" t="s">
        <v>388</v>
      </c>
      <c r="L129" s="1662"/>
      <c r="M129" s="1675">
        <f t="shared" si="3"/>
        <v>111818.5</v>
      </c>
    </row>
    <row r="130" spans="1:13" ht="15.75" thickBot="1" x14ac:dyDescent="0.3">
      <c r="A130" s="1748">
        <v>0.39600000000000002</v>
      </c>
      <c r="B130" s="1730" t="s">
        <v>153</v>
      </c>
      <c r="C130" s="1730"/>
      <c r="D130" s="1730"/>
      <c r="E130" s="1749">
        <v>415050</v>
      </c>
      <c r="F130" s="1750">
        <v>120529.75</v>
      </c>
      <c r="G130" s="153" t="s">
        <v>152</v>
      </c>
      <c r="H130" t="s">
        <v>805</v>
      </c>
      <c r="I130" s="6"/>
      <c r="J130" s="1676">
        <f t="shared" si="2"/>
        <v>0.39600000000000002</v>
      </c>
      <c r="K130" s="1677" t="s">
        <v>388</v>
      </c>
      <c r="L130" s="1677"/>
      <c r="M130" s="1968">
        <f t="shared" si="3"/>
        <v>130578.5</v>
      </c>
    </row>
    <row r="131" spans="1:13" ht="15.75" thickTop="1" x14ac:dyDescent="0.25">
      <c r="A131" s="1724" t="s">
        <v>793</v>
      </c>
      <c r="B131" s="1721"/>
      <c r="C131" s="1662"/>
      <c r="D131" s="1749">
        <v>6300</v>
      </c>
      <c r="E131" s="1723"/>
      <c r="F131" s="1725"/>
      <c r="G131" s="424"/>
      <c r="H131" s="153"/>
      <c r="I131" s="6"/>
      <c r="J131" s="32"/>
      <c r="K131" s="34"/>
      <c r="L131" s="35"/>
      <c r="M131" s="117"/>
    </row>
    <row r="132" spans="1:13" x14ac:dyDescent="0.25">
      <c r="A132" s="1953"/>
      <c r="B132" s="1721"/>
      <c r="C132" s="1662"/>
      <c r="D132" s="1749"/>
      <c r="E132" s="1723"/>
      <c r="F132" s="1725"/>
      <c r="G132" s="424"/>
      <c r="H132" s="153"/>
      <c r="I132" s="6"/>
      <c r="J132" s="32"/>
      <c r="K132" s="34"/>
      <c r="L132" s="35"/>
      <c r="M132" s="1954"/>
    </row>
    <row r="133" spans="1:13" ht="45.75" thickBot="1" x14ac:dyDescent="0.3">
      <c r="A133" s="1959" t="s">
        <v>1541</v>
      </c>
      <c r="B133" s="1960"/>
      <c r="C133" s="1960"/>
      <c r="D133" s="1960"/>
      <c r="E133" s="1961" t="s">
        <v>799</v>
      </c>
      <c r="F133" s="1962" t="s">
        <v>797</v>
      </c>
      <c r="G133" s="1314"/>
      <c r="H133" s="1361"/>
      <c r="I133" s="1361"/>
      <c r="J133" s="32"/>
      <c r="K133" s="34"/>
      <c r="L133" s="35"/>
      <c r="M133" s="1954"/>
    </row>
    <row r="134" spans="1:13" ht="15.75" thickTop="1" x14ac:dyDescent="0.25">
      <c r="A134" s="1748">
        <v>0.1</v>
      </c>
      <c r="B134" s="1721" t="s">
        <v>153</v>
      </c>
      <c r="C134" s="1662"/>
      <c r="D134" s="1722"/>
      <c r="E134" s="1749">
        <v>0</v>
      </c>
      <c r="F134" s="1750">
        <v>0</v>
      </c>
      <c r="G134" s="153" t="s">
        <v>152</v>
      </c>
      <c r="H134" t="s">
        <v>798</v>
      </c>
      <c r="I134" s="6"/>
      <c r="J134" s="32"/>
      <c r="K134" s="34"/>
      <c r="L134" s="35"/>
      <c r="M134" s="1954"/>
    </row>
    <row r="135" spans="1:13" x14ac:dyDescent="0.25">
      <c r="A135" s="1748">
        <v>0.15</v>
      </c>
      <c r="B135" s="1721" t="s">
        <v>153</v>
      </c>
      <c r="C135" s="1662"/>
      <c r="D135" s="1722"/>
      <c r="E135" s="1749">
        <v>13521</v>
      </c>
      <c r="F135" s="1750">
        <v>1325</v>
      </c>
      <c r="G135" s="153" t="s">
        <v>152</v>
      </c>
      <c r="H135" t="s">
        <v>800</v>
      </c>
      <c r="I135" s="6"/>
      <c r="J135" s="32"/>
      <c r="K135" s="34"/>
      <c r="L135" s="35"/>
      <c r="M135" s="1954"/>
    </row>
    <row r="136" spans="1:13" x14ac:dyDescent="0.25">
      <c r="A136" s="1748">
        <v>0.25</v>
      </c>
      <c r="B136" s="1721" t="s">
        <v>153</v>
      </c>
      <c r="C136" s="1662"/>
      <c r="D136" s="1722"/>
      <c r="E136" s="1749">
        <v>50401</v>
      </c>
      <c r="F136" s="1750">
        <v>6897.5</v>
      </c>
      <c r="G136" s="153" t="s">
        <v>152</v>
      </c>
      <c r="H136" t="s">
        <v>801</v>
      </c>
      <c r="I136" s="6"/>
      <c r="J136" s="32"/>
      <c r="K136" s="34"/>
      <c r="L136" s="35"/>
      <c r="M136" s="1954"/>
    </row>
    <row r="137" spans="1:13" x14ac:dyDescent="0.25">
      <c r="A137" s="1748">
        <v>0.28000000000000003</v>
      </c>
      <c r="B137" s="1721" t="s">
        <v>153</v>
      </c>
      <c r="C137" s="1662"/>
      <c r="D137" s="1722"/>
      <c r="E137" s="1749">
        <v>130151</v>
      </c>
      <c r="F137" s="1750">
        <v>26835</v>
      </c>
      <c r="G137" s="153" t="s">
        <v>152</v>
      </c>
      <c r="H137" t="s">
        <v>802</v>
      </c>
      <c r="I137" s="6"/>
      <c r="J137" s="32"/>
      <c r="K137" s="34"/>
      <c r="L137" s="35"/>
      <c r="M137" s="1954"/>
    </row>
    <row r="138" spans="1:13" x14ac:dyDescent="0.25">
      <c r="A138" s="1748">
        <v>0.33</v>
      </c>
      <c r="B138" s="1729" t="s">
        <v>153</v>
      </c>
      <c r="C138" s="1730"/>
      <c r="D138" s="1730"/>
      <c r="E138" s="1749">
        <v>210801</v>
      </c>
      <c r="F138" s="1750">
        <v>49417</v>
      </c>
      <c r="G138" s="153" t="s">
        <v>152</v>
      </c>
      <c r="H138" t="s">
        <v>803</v>
      </c>
      <c r="I138" s="6"/>
      <c r="J138" s="32"/>
      <c r="K138" s="34"/>
      <c r="L138" s="35"/>
      <c r="M138" s="1954"/>
    </row>
    <row r="139" spans="1:13" x14ac:dyDescent="0.25">
      <c r="A139" s="1748">
        <v>0.35</v>
      </c>
      <c r="B139" s="1730" t="s">
        <v>153</v>
      </c>
      <c r="C139" s="1730"/>
      <c r="D139" s="1730"/>
      <c r="E139" s="1749">
        <v>413351</v>
      </c>
      <c r="F139" s="1750">
        <v>116258.5</v>
      </c>
      <c r="G139" s="153" t="s">
        <v>152</v>
      </c>
      <c r="H139" t="s">
        <v>804</v>
      </c>
      <c r="I139" s="6"/>
      <c r="J139" s="32"/>
      <c r="K139" s="34"/>
      <c r="L139" s="35"/>
      <c r="M139" s="1954"/>
    </row>
    <row r="140" spans="1:13" x14ac:dyDescent="0.25">
      <c r="A140" s="1748">
        <v>0.39600000000000002</v>
      </c>
      <c r="B140" s="1730" t="s">
        <v>153</v>
      </c>
      <c r="C140" s="1730"/>
      <c r="D140" s="1730"/>
      <c r="E140" s="1749">
        <v>441101</v>
      </c>
      <c r="F140" s="1750">
        <v>125936</v>
      </c>
      <c r="G140" s="153" t="s">
        <v>152</v>
      </c>
      <c r="H140" t="s">
        <v>805</v>
      </c>
      <c r="I140" s="6"/>
      <c r="J140" s="32"/>
      <c r="K140" s="34"/>
      <c r="L140" s="35"/>
      <c r="M140" s="1954"/>
    </row>
    <row r="141" spans="1:13" x14ac:dyDescent="0.25">
      <c r="A141" s="1724" t="s">
        <v>793</v>
      </c>
      <c r="B141" s="1721"/>
      <c r="C141" s="1662"/>
      <c r="D141" s="1749">
        <v>9300</v>
      </c>
      <c r="E141" s="1723"/>
      <c r="F141" s="1725"/>
      <c r="G141" s="424"/>
      <c r="H141" s="153"/>
      <c r="I141" s="6"/>
      <c r="J141" s="32"/>
      <c r="K141" s="34"/>
      <c r="L141" s="35"/>
      <c r="M141" s="1954"/>
    </row>
    <row r="142" spans="1:13" x14ac:dyDescent="0.25">
      <c r="A142" s="1726"/>
      <c r="B142" s="1662"/>
      <c r="C142" s="1662"/>
      <c r="D142" s="1662"/>
      <c r="E142" s="1731"/>
      <c r="F142" s="1725"/>
      <c r="G142" s="152"/>
      <c r="H142" s="153"/>
      <c r="I142" s="6"/>
      <c r="J142" s="32"/>
      <c r="K142" s="34"/>
      <c r="L142" s="35"/>
      <c r="M142" s="117"/>
    </row>
    <row r="143" spans="1:13" ht="45.75" thickBot="1" x14ac:dyDescent="0.3">
      <c r="A143" s="1963" t="s">
        <v>796</v>
      </c>
      <c r="B143" s="1960"/>
      <c r="C143" s="1960"/>
      <c r="D143" s="1960"/>
      <c r="E143" s="1961" t="s">
        <v>799</v>
      </c>
      <c r="F143" s="1962" t="s">
        <v>797</v>
      </c>
      <c r="G143" s="1314"/>
      <c r="H143" s="1361"/>
      <c r="I143" s="1361"/>
      <c r="J143" s="32"/>
      <c r="K143" s="34"/>
      <c r="L143" s="35"/>
      <c r="M143" s="117"/>
    </row>
    <row r="144" spans="1:13" ht="15.75" thickTop="1" x14ac:dyDescent="0.25">
      <c r="A144" s="1748">
        <v>0.1</v>
      </c>
      <c r="B144" s="1721" t="s">
        <v>153</v>
      </c>
      <c r="C144" s="1662"/>
      <c r="D144" s="1722"/>
      <c r="E144" s="1749">
        <v>0</v>
      </c>
      <c r="F144" s="1750">
        <v>0</v>
      </c>
      <c r="G144" s="153" t="s">
        <v>152</v>
      </c>
      <c r="H144" t="s">
        <v>798</v>
      </c>
      <c r="I144" s="6"/>
      <c r="J144" s="32"/>
      <c r="K144" s="34"/>
      <c r="L144" s="35"/>
      <c r="M144" s="117"/>
    </row>
    <row r="145" spans="1:15" x14ac:dyDescent="0.25">
      <c r="A145" s="1748">
        <v>0.15</v>
      </c>
      <c r="B145" s="1721" t="s">
        <v>153</v>
      </c>
      <c r="C145" s="1662"/>
      <c r="D145" s="1722"/>
      <c r="E145" s="1749">
        <v>9276</v>
      </c>
      <c r="F145" s="1750">
        <v>927.5</v>
      </c>
      <c r="G145" s="153" t="s">
        <v>152</v>
      </c>
      <c r="H145" t="s">
        <v>800</v>
      </c>
      <c r="I145" s="6"/>
      <c r="J145" s="32"/>
      <c r="K145" s="34"/>
      <c r="L145" s="35"/>
      <c r="M145" s="117"/>
    </row>
    <row r="146" spans="1:15" x14ac:dyDescent="0.25">
      <c r="A146" s="1748">
        <v>0.25</v>
      </c>
      <c r="B146" s="1721" t="s">
        <v>153</v>
      </c>
      <c r="C146" s="1662"/>
      <c r="D146" s="1722"/>
      <c r="E146" s="1749">
        <v>37661</v>
      </c>
      <c r="F146" s="1750">
        <v>5183.75</v>
      </c>
      <c r="G146" s="153" t="s">
        <v>152</v>
      </c>
      <c r="H146" t="s">
        <v>801</v>
      </c>
      <c r="I146" s="6"/>
      <c r="J146" s="32"/>
      <c r="K146" s="34"/>
      <c r="L146" s="35"/>
      <c r="M146" s="117"/>
    </row>
    <row r="147" spans="1:15" x14ac:dyDescent="0.25">
      <c r="A147" s="1748">
        <v>0.28000000000000003</v>
      </c>
      <c r="B147" s="1721" t="s">
        <v>153</v>
      </c>
      <c r="C147" s="1662"/>
      <c r="D147" s="1722"/>
      <c r="E147" s="1749">
        <v>75951</v>
      </c>
      <c r="F147" s="1750">
        <v>14758.75</v>
      </c>
      <c r="G147" s="153" t="s">
        <v>152</v>
      </c>
      <c r="H147" t="s">
        <v>802</v>
      </c>
      <c r="I147" s="6"/>
      <c r="J147" s="32"/>
      <c r="K147" s="34"/>
      <c r="L147" s="35"/>
      <c r="M147" s="117"/>
    </row>
    <row r="148" spans="1:15" x14ac:dyDescent="0.25">
      <c r="A148" s="1748">
        <v>0.33</v>
      </c>
      <c r="B148" s="1721" t="s">
        <v>153</v>
      </c>
      <c r="C148" s="1662"/>
      <c r="D148" s="1662"/>
      <c r="E148" s="1749">
        <v>115726</v>
      </c>
      <c r="F148" s="1750">
        <v>25895.75</v>
      </c>
      <c r="G148" s="153" t="s">
        <v>152</v>
      </c>
      <c r="H148" t="s">
        <v>803</v>
      </c>
      <c r="I148" s="6"/>
      <c r="J148" s="32"/>
      <c r="K148" s="34"/>
      <c r="L148" s="35"/>
      <c r="M148" s="117"/>
    </row>
    <row r="149" spans="1:15" x14ac:dyDescent="0.25">
      <c r="A149" s="1748">
        <v>0.35</v>
      </c>
      <c r="B149" s="1721" t="s">
        <v>153</v>
      </c>
      <c r="C149" s="1662"/>
      <c r="D149" s="1662"/>
      <c r="E149" s="1749">
        <v>206676</v>
      </c>
      <c r="F149" s="1750">
        <v>55909.25</v>
      </c>
      <c r="G149" s="153" t="s">
        <v>152</v>
      </c>
      <c r="H149" t="s">
        <v>804</v>
      </c>
      <c r="I149" s="6"/>
      <c r="J149" s="32"/>
      <c r="K149" s="34"/>
      <c r="L149" s="35"/>
      <c r="M149" s="117"/>
      <c r="O149" s="543"/>
    </row>
    <row r="150" spans="1:15" x14ac:dyDescent="0.25">
      <c r="A150" s="1748">
        <v>0.39600000000000002</v>
      </c>
      <c r="B150" s="1721" t="s">
        <v>153</v>
      </c>
      <c r="C150" s="1662"/>
      <c r="D150" s="1662"/>
      <c r="E150" s="1752">
        <v>233476</v>
      </c>
      <c r="F150" s="1750">
        <v>65209.25</v>
      </c>
      <c r="G150" s="153" t="s">
        <v>152</v>
      </c>
      <c r="H150" t="s">
        <v>805</v>
      </c>
      <c r="I150" s="6"/>
      <c r="J150" s="6"/>
      <c r="K150" s="6"/>
      <c r="L150" s="6"/>
      <c r="M150" s="39"/>
      <c r="O150" s="543"/>
    </row>
    <row r="151" spans="1:15" ht="15.75" thickBot="1" x14ac:dyDescent="0.3">
      <c r="A151" s="1732" t="s">
        <v>793</v>
      </c>
      <c r="B151" s="1733"/>
      <c r="C151" s="1677"/>
      <c r="D151" s="1751">
        <v>6300</v>
      </c>
      <c r="E151" s="1734"/>
      <c r="F151" s="1735"/>
      <c r="G151" s="41"/>
      <c r="H151" s="41"/>
      <c r="I151" s="41"/>
      <c r="J151" s="41"/>
      <c r="K151" s="41"/>
      <c r="L151" s="41"/>
      <c r="M151" s="43"/>
      <c r="O151" s="543"/>
    </row>
    <row r="152" spans="1:15" ht="15.75" thickTop="1" x14ac:dyDescent="0.25">
      <c r="A152" s="1483"/>
      <c r="B152" s="531"/>
      <c r="C152" s="66"/>
      <c r="D152" s="20"/>
      <c r="E152" s="388"/>
      <c r="F152" s="6"/>
      <c r="G152" s="6"/>
      <c r="H152" s="6"/>
      <c r="I152" s="6"/>
      <c r="J152" s="6"/>
      <c r="K152" s="6"/>
      <c r="L152" s="6"/>
      <c r="M152" s="6"/>
      <c r="O152" s="543"/>
    </row>
    <row r="153" spans="1:15" ht="15.75" thickBot="1" x14ac:dyDescent="0.3">
      <c r="E153" s="388"/>
      <c r="O153" s="543"/>
    </row>
    <row r="154" spans="1:15" ht="19.5" thickBot="1" x14ac:dyDescent="0.35">
      <c r="A154" s="1571" t="s">
        <v>1263</v>
      </c>
      <c r="B154" s="1572"/>
      <c r="C154" s="1573"/>
      <c r="D154" s="1573"/>
      <c r="E154" s="1572"/>
      <c r="F154" s="1572"/>
      <c r="G154" s="1572"/>
      <c r="H154" s="1572"/>
      <c r="I154" s="1572"/>
      <c r="J154" s="1572"/>
      <c r="K154" s="1575"/>
      <c r="L154" s="1575"/>
      <c r="M154" s="1576"/>
      <c r="N154" s="215"/>
    </row>
    <row r="155" spans="1:15" ht="15.75" thickBot="1" x14ac:dyDescent="0.3">
      <c r="O155" s="543"/>
    </row>
    <row r="156" spans="1:15" ht="19.5" thickTop="1" x14ac:dyDescent="0.3">
      <c r="A156" s="265" t="s">
        <v>1051</v>
      </c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169"/>
      <c r="O156" s="543"/>
    </row>
    <row r="157" spans="1:15" x14ac:dyDescent="0.25">
      <c r="A157" s="1267" t="s">
        <v>3281</v>
      </c>
      <c r="B157" s="66"/>
      <c r="C157" s="66"/>
      <c r="D157" s="66"/>
      <c r="E157" s="66"/>
      <c r="F157" s="66"/>
      <c r="G157" s="6"/>
      <c r="H157" s="6"/>
      <c r="I157" s="6"/>
      <c r="J157" s="6"/>
      <c r="K157" s="6"/>
      <c r="L157" s="6"/>
      <c r="M157" s="6"/>
      <c r="N157" s="39"/>
      <c r="O157" s="543"/>
    </row>
    <row r="158" spans="1:15" x14ac:dyDescent="0.25">
      <c r="A158" s="1267" t="s">
        <v>814</v>
      </c>
      <c r="B158" s="66"/>
      <c r="C158" s="66"/>
      <c r="D158" s="66"/>
      <c r="E158" s="66"/>
      <c r="F158" s="66"/>
      <c r="G158" s="6"/>
      <c r="H158" s="6"/>
      <c r="I158" s="6"/>
      <c r="J158" s="6"/>
      <c r="K158" s="6"/>
      <c r="L158" s="6"/>
      <c r="M158" s="6"/>
      <c r="N158" s="39"/>
      <c r="O158" s="543"/>
    </row>
    <row r="159" spans="1:15" x14ac:dyDescent="0.25">
      <c r="A159" s="1416" t="s">
        <v>1542</v>
      </c>
      <c r="B159" s="66"/>
      <c r="C159" s="66"/>
      <c r="D159" s="66"/>
      <c r="E159" s="66"/>
      <c r="H159" s="1276"/>
      <c r="I159" s="6"/>
      <c r="J159" s="6"/>
      <c r="K159" s="6"/>
      <c r="L159" s="6"/>
      <c r="M159" s="6"/>
      <c r="N159" s="1311"/>
      <c r="O159" s="543"/>
    </row>
    <row r="160" spans="1:15" x14ac:dyDescent="0.25">
      <c r="A160" s="1312" t="s">
        <v>1543</v>
      </c>
      <c r="B160" s="66"/>
      <c r="C160" s="66"/>
      <c r="D160" s="66"/>
      <c r="E160" s="66"/>
      <c r="H160" s="1276"/>
      <c r="I160" s="6"/>
      <c r="J160" s="6"/>
      <c r="K160" s="6"/>
      <c r="L160" s="6"/>
      <c r="M160" s="6"/>
      <c r="N160" s="1311"/>
      <c r="O160" s="543"/>
    </row>
    <row r="161" spans="1:15" x14ac:dyDescent="0.25">
      <c r="A161" s="1416"/>
      <c r="B161" s="66"/>
      <c r="C161" s="66"/>
      <c r="D161" s="66"/>
      <c r="E161" s="66"/>
      <c r="H161" s="1276"/>
      <c r="I161" s="6"/>
      <c r="J161" s="6"/>
      <c r="K161" s="6"/>
      <c r="L161" s="6"/>
      <c r="M161" s="6"/>
      <c r="N161" s="1311"/>
      <c r="O161" s="543"/>
    </row>
    <row r="162" spans="1:15" x14ac:dyDescent="0.25">
      <c r="A162" s="1267" t="s">
        <v>815</v>
      </c>
      <c r="B162" s="66"/>
      <c r="C162" s="66"/>
      <c r="D162" s="66"/>
      <c r="E162" s="66"/>
      <c r="H162" s="1275">
        <f>M120</f>
        <v>12600</v>
      </c>
      <c r="I162" s="6" t="s">
        <v>819</v>
      </c>
      <c r="J162" s="6"/>
      <c r="K162" s="6"/>
      <c r="L162" s="6"/>
      <c r="M162" s="6"/>
      <c r="N162" s="39"/>
      <c r="O162" s="543"/>
    </row>
    <row r="163" spans="1:15" x14ac:dyDescent="0.25">
      <c r="A163" s="1267"/>
      <c r="B163" s="66"/>
      <c r="C163" s="66"/>
      <c r="D163" s="66"/>
      <c r="E163" s="66"/>
      <c r="H163" s="1275"/>
      <c r="I163" s="6"/>
      <c r="J163" s="6"/>
      <c r="K163" s="6"/>
      <c r="L163" s="6"/>
      <c r="M163" s="6"/>
      <c r="N163" s="39"/>
      <c r="O163" s="543"/>
    </row>
    <row r="164" spans="1:15" x14ac:dyDescent="0.25">
      <c r="A164" s="1267" t="s">
        <v>816</v>
      </c>
      <c r="B164" s="66"/>
      <c r="C164" s="66"/>
      <c r="D164" s="66"/>
      <c r="E164" s="66"/>
      <c r="H164" s="1276">
        <f>'10. ExpensesData'!H65</f>
        <v>7000</v>
      </c>
      <c r="I164" s="6" t="s">
        <v>818</v>
      </c>
      <c r="J164" s="6"/>
      <c r="K164" s="6"/>
      <c r="L164" s="6"/>
      <c r="M164" s="6"/>
      <c r="N164" s="39"/>
      <c r="O164" s="543"/>
    </row>
    <row r="165" spans="1:15" ht="15.75" thickBot="1" x14ac:dyDescent="0.3">
      <c r="A165" s="1267" t="s">
        <v>817</v>
      </c>
      <c r="B165" s="66"/>
      <c r="C165" s="66"/>
      <c r="D165" s="66"/>
      <c r="E165" s="66"/>
      <c r="H165" s="1276">
        <f>'10. ExpensesData'!H66</f>
        <v>6500</v>
      </c>
      <c r="I165" s="6" t="s">
        <v>818</v>
      </c>
      <c r="J165" s="6"/>
      <c r="K165" s="6"/>
      <c r="L165" s="6"/>
      <c r="M165" s="6"/>
      <c r="N165" s="39"/>
      <c r="O165" s="543"/>
    </row>
    <row r="166" spans="1:15" ht="15.75" thickTop="1" x14ac:dyDescent="0.25">
      <c r="A166" s="1267" t="s">
        <v>934</v>
      </c>
      <c r="B166" s="66"/>
      <c r="C166" s="66"/>
      <c r="D166" s="66"/>
      <c r="E166" s="66"/>
      <c r="H166" s="1952">
        <f>H164+H165</f>
        <v>13500</v>
      </c>
      <c r="I166" s="6"/>
      <c r="J166" s="6"/>
      <c r="K166" s="6"/>
      <c r="L166" s="6"/>
      <c r="M166" s="6"/>
      <c r="N166" s="39"/>
      <c r="O166" s="543"/>
    </row>
    <row r="167" spans="1:15" x14ac:dyDescent="0.25">
      <c r="A167" s="1416"/>
      <c r="B167" s="66"/>
      <c r="C167" s="66"/>
      <c r="D167" s="66"/>
      <c r="E167" s="66"/>
      <c r="H167" s="1276"/>
      <c r="I167" s="6"/>
      <c r="J167" s="6"/>
      <c r="K167" s="6"/>
      <c r="L167" s="6"/>
      <c r="M167" s="6"/>
      <c r="N167" s="1311"/>
      <c r="O167" s="543"/>
    </row>
    <row r="168" spans="1:15" x14ac:dyDescent="0.25">
      <c r="A168" s="1555" t="s">
        <v>1251</v>
      </c>
      <c r="B168" s="1296"/>
      <c r="C168" s="1296"/>
      <c r="D168" s="134"/>
      <c r="E168" s="147"/>
      <c r="H168" s="1339">
        <f>'10. ExpensesData'!H61</f>
        <v>0.6</v>
      </c>
      <c r="I168" s="6" t="s">
        <v>1254</v>
      </c>
      <c r="J168" s="147"/>
      <c r="K168" s="1352">
        <f>(H164+H165)*H168</f>
        <v>8100</v>
      </c>
      <c r="L168" s="6" t="s">
        <v>818</v>
      </c>
      <c r="M168" s="6"/>
      <c r="N168" s="39"/>
      <c r="O168" s="543"/>
    </row>
    <row r="169" spans="1:15" x14ac:dyDescent="0.25">
      <c r="A169" s="1555"/>
      <c r="B169" s="1296"/>
      <c r="C169" s="1296"/>
      <c r="D169" s="134"/>
      <c r="E169" s="147"/>
      <c r="H169" s="1557"/>
      <c r="I169" s="6"/>
      <c r="J169" s="147"/>
      <c r="K169" s="1352"/>
      <c r="L169" s="6"/>
      <c r="M169" s="6"/>
      <c r="N169" s="39"/>
      <c r="O169" s="543"/>
    </row>
    <row r="170" spans="1:15" x14ac:dyDescent="0.25">
      <c r="A170" s="1267"/>
      <c r="B170" s="66"/>
      <c r="C170" s="66"/>
      <c r="D170" s="66"/>
      <c r="E170" s="66"/>
      <c r="F170" s="66"/>
      <c r="G170" s="6"/>
      <c r="H170" s="6"/>
      <c r="I170" s="6"/>
      <c r="J170" s="6"/>
      <c r="K170" s="6"/>
      <c r="M170" s="6"/>
      <c r="N170" s="39"/>
      <c r="O170" s="1131"/>
    </row>
    <row r="171" spans="1:15" ht="18.75" x14ac:dyDescent="0.3">
      <c r="A171" s="163" t="s">
        <v>381</v>
      </c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1126"/>
      <c r="N171" s="553"/>
      <c r="O171" s="1131"/>
    </row>
    <row r="172" spans="1:15" x14ac:dyDescent="0.25">
      <c r="A172" s="139" t="s">
        <v>535</v>
      </c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1126"/>
      <c r="N172" s="553"/>
      <c r="O172" s="1131"/>
    </row>
    <row r="173" spans="1:15" x14ac:dyDescent="0.25">
      <c r="A173" s="1267" t="s">
        <v>813</v>
      </c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1126"/>
      <c r="N173" s="553"/>
      <c r="O173" s="1131"/>
    </row>
    <row r="174" spans="1:15" x14ac:dyDescent="0.25">
      <c r="A174" s="141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1126"/>
      <c r="N174" s="1454"/>
      <c r="O174" s="1131"/>
    </row>
    <row r="175" spans="1:15" x14ac:dyDescent="0.25">
      <c r="A175" s="1416" t="s">
        <v>2803</v>
      </c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1126"/>
      <c r="N175" s="1454"/>
      <c r="O175" s="1131"/>
    </row>
    <row r="176" spans="1:15" ht="15.75" thickBot="1" x14ac:dyDescent="0.3">
      <c r="A176" s="68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1273"/>
      <c r="N176" s="652"/>
    </row>
    <row r="177" spans="1:14" s="1" customFormat="1" ht="103.5" thickTop="1" thickBot="1" x14ac:dyDescent="0.25">
      <c r="A177" s="532" t="s">
        <v>142</v>
      </c>
      <c r="B177" s="533" t="s">
        <v>143</v>
      </c>
      <c r="C177" s="534" t="s">
        <v>61</v>
      </c>
      <c r="D177" s="534" t="s">
        <v>62</v>
      </c>
      <c r="E177" s="534" t="s">
        <v>459</v>
      </c>
      <c r="F177" s="534" t="s">
        <v>460</v>
      </c>
      <c r="G177" s="1272" t="s">
        <v>811</v>
      </c>
      <c r="H177" s="1274" t="s">
        <v>812</v>
      </c>
      <c r="I177" s="535" t="s">
        <v>457</v>
      </c>
      <c r="J177" s="535" t="s">
        <v>458</v>
      </c>
      <c r="K177" s="1127" t="s">
        <v>533</v>
      </c>
      <c r="L177" s="1127" t="s">
        <v>534</v>
      </c>
      <c r="M177" s="535" t="s">
        <v>536</v>
      </c>
      <c r="N177" s="536" t="s">
        <v>745</v>
      </c>
    </row>
    <row r="178" spans="1:14" s="331" customFormat="1" ht="13.5" thickTop="1" x14ac:dyDescent="0.2">
      <c r="A178" s="52">
        <f>'1. AgeData'!$D$30</f>
        <v>60</v>
      </c>
      <c r="B178" s="334">
        <f>'1. AgeData'!$D$31</f>
        <v>55</v>
      </c>
      <c r="C178" s="1132">
        <f>'R. Results'!$L848</f>
        <v>57865</v>
      </c>
      <c r="D178" s="1132">
        <f>'R. Results'!$M848</f>
        <v>47700</v>
      </c>
      <c r="E178" s="1281">
        <f>C178+D178</f>
        <v>105565</v>
      </c>
      <c r="F178" s="550">
        <f t="shared" ref="F178:F214" si="4">-PV($I$65,(A178-A$178),0,E178)</f>
        <v>105565</v>
      </c>
      <c r="G178" s="1268">
        <f>'10. ExpensesData'!$K509</f>
        <v>13500</v>
      </c>
      <c r="H178" s="1269">
        <f>F178-G178</f>
        <v>92065</v>
      </c>
      <c r="I178" s="541">
        <f>'R. Results'!$C499*'9. SavingsData'!$H$108</f>
        <v>1100</v>
      </c>
      <c r="J178" s="551">
        <f>'R. Results'!$D499*'9. SavingsData'!$H$108</f>
        <v>800</v>
      </c>
      <c r="K178" s="1133">
        <v>0</v>
      </c>
      <c r="L178" s="1134">
        <v>0</v>
      </c>
      <c r="M178" s="1135">
        <f t="shared" ref="M178:M214" si="5">I178+J178+K178+L178</f>
        <v>1900</v>
      </c>
      <c r="N178" s="1136">
        <f t="shared" ref="N178:N214" si="6">-PV($I$65,(A178-A$178),0,M178)</f>
        <v>1900</v>
      </c>
    </row>
    <row r="179" spans="1:14" x14ac:dyDescent="0.25">
      <c r="A179" s="52">
        <f>A178+1</f>
        <v>61</v>
      </c>
      <c r="B179" s="334">
        <f>B178+1</f>
        <v>56</v>
      </c>
      <c r="C179" s="1100">
        <f>'R. Results'!$L849</f>
        <v>59069.175374999999</v>
      </c>
      <c r="D179" s="1100">
        <f>'R. Results'!$M849</f>
        <v>48498.41937499999</v>
      </c>
      <c r="E179" s="1612">
        <f>C179+D179</f>
        <v>107567.59474999999</v>
      </c>
      <c r="F179" s="408">
        <f t="shared" si="4"/>
        <v>105458.42622549018</v>
      </c>
      <c r="G179" s="1270">
        <f>'10. ExpensesData'!$K510</f>
        <v>13770</v>
      </c>
      <c r="H179" s="1163">
        <f>F179-G179</f>
        <v>91688.426225490184</v>
      </c>
      <c r="I179" s="541">
        <f>'R. Results'!$C500*'9. SavingsData'!$H$108</f>
        <v>1143.8025</v>
      </c>
      <c r="J179" s="435">
        <f>'R. Results'!$D500*'9. SavingsData'!$H$108</f>
        <v>832.15250000000003</v>
      </c>
      <c r="K179" s="917">
        <f>IF('11. CashData'!$I52&gt;0,0,-'11. CashData'!$I52)*$I$86</f>
        <v>0</v>
      </c>
      <c r="L179" s="918">
        <f>IF('11. CashData'!$J52&gt;0,0,-'11. CashData'!$J52)*$I$86</f>
        <v>0</v>
      </c>
      <c r="M179" s="541">
        <f t="shared" si="5"/>
        <v>1975.9549999999999</v>
      </c>
      <c r="N179" s="537">
        <f t="shared" si="6"/>
        <v>1937.2107843137253</v>
      </c>
    </row>
    <row r="180" spans="1:14" s="331" customFormat="1" ht="15.75" customHeight="1" x14ac:dyDescent="0.2">
      <c r="A180" s="52">
        <f t="shared" ref="A180:A214" si="7">A179+1</f>
        <v>62</v>
      </c>
      <c r="B180" s="334">
        <f t="shared" ref="B180:B214" si="8">B179+1</f>
        <v>57</v>
      </c>
      <c r="C180" s="1100">
        <f>'R. Results'!$L850</f>
        <v>60281.34284729779</v>
      </c>
      <c r="D180" s="1100">
        <f>'R. Results'!$M850</f>
        <v>49289.432561194837</v>
      </c>
      <c r="E180" s="1612">
        <f t="shared" ref="E180:E214" si="9">C180+D180</f>
        <v>109570.77540849263</v>
      </c>
      <c r="F180" s="408">
        <f t="shared" si="4"/>
        <v>105316.00865868188</v>
      </c>
      <c r="G180" s="1270">
        <f>'10. ExpensesData'!$K511</f>
        <v>14045.400000000001</v>
      </c>
      <c r="H180" s="1163">
        <f t="shared" ref="H180:H214" si="10">F180-G180</f>
        <v>91270.608658681886</v>
      </c>
      <c r="I180" s="541">
        <f>'R. Results'!$C501*'9. SavingsData'!$H$108</f>
        <v>1180.9966731617646</v>
      </c>
      <c r="J180" s="435">
        <f>'R. Results'!$D501*'9. SavingsData'!$H$108</f>
        <v>857.5391131617647</v>
      </c>
      <c r="K180" s="917">
        <f>IF('11. CashData'!$I53&gt;0,0,-'11. CashData'!$I53)*$I$86</f>
        <v>0</v>
      </c>
      <c r="L180" s="918">
        <f>IF('11. CashData'!$J53&gt;0,0,-'11. CashData'!$J53)*$I$86</f>
        <v>0</v>
      </c>
      <c r="M180" s="541">
        <f t="shared" si="5"/>
        <v>2038.5357863235295</v>
      </c>
      <c r="N180" s="537">
        <f t="shared" si="6"/>
        <v>1959.3769572506051</v>
      </c>
    </row>
    <row r="181" spans="1:14" s="331" customFormat="1" ht="12.75" x14ac:dyDescent="0.2">
      <c r="A181" s="52">
        <f t="shared" si="7"/>
        <v>63</v>
      </c>
      <c r="B181" s="334">
        <f t="shared" si="8"/>
        <v>58</v>
      </c>
      <c r="C181" s="1100">
        <f>'R. Results'!$L851</f>
        <v>49035.034482359981</v>
      </c>
      <c r="D181" s="1100">
        <f>'R. Results'!$M851</f>
        <v>23918.96265747635</v>
      </c>
      <c r="E181" s="1612">
        <f t="shared" si="9"/>
        <v>72953.997139836327</v>
      </c>
      <c r="F181" s="408">
        <f t="shared" si="4"/>
        <v>68746.180899348983</v>
      </c>
      <c r="G181" s="1270">
        <f>'10. ExpensesData'!$K512</f>
        <v>14326.307999999999</v>
      </c>
      <c r="H181" s="1163">
        <f t="shared" si="10"/>
        <v>54419.872899348986</v>
      </c>
      <c r="I181" s="541">
        <f>'R. Results'!$C502*'9. SavingsData'!$H$108</f>
        <v>1207.1560383069771</v>
      </c>
      <c r="J181" s="435">
        <f>'R. Results'!$D502*'9. SavingsData'!$H$108</f>
        <v>871.6883754459476</v>
      </c>
      <c r="K181" s="917">
        <f>IF('11. CashData'!$I54&gt;0,0,-'11. CashData'!$I54)*$I$86</f>
        <v>0</v>
      </c>
      <c r="L181" s="918">
        <f>IF('11. CashData'!$J54&gt;0,0,-'11. CashData'!$J54)*$I$86</f>
        <v>0</v>
      </c>
      <c r="M181" s="541">
        <f t="shared" si="5"/>
        <v>2078.8444137529245</v>
      </c>
      <c r="N181" s="537">
        <f t="shared" si="6"/>
        <v>1958.941521127738</v>
      </c>
    </row>
    <row r="182" spans="1:14" s="542" customFormat="1" ht="12.75" x14ac:dyDescent="0.2">
      <c r="A182" s="141">
        <f t="shared" si="7"/>
        <v>64</v>
      </c>
      <c r="B182" s="539">
        <f t="shared" si="8"/>
        <v>59</v>
      </c>
      <c r="C182" s="1100">
        <f>'R. Results'!$L852</f>
        <v>49126.164067113597</v>
      </c>
      <c r="D182" s="1100">
        <f>'R. Results'!$M852</f>
        <v>23977.769445269063</v>
      </c>
      <c r="E182" s="1612">
        <f t="shared" si="9"/>
        <v>73103.93351238266</v>
      </c>
      <c r="F182" s="550">
        <f t="shared" si="4"/>
        <v>67536.734599961128</v>
      </c>
      <c r="G182" s="1270">
        <f>'10. ExpensesData'!$K513</f>
        <v>14612.83416</v>
      </c>
      <c r="H182" s="1163">
        <f t="shared" si="10"/>
        <v>52923.900439961129</v>
      </c>
      <c r="I182" s="541">
        <f>'R. Results'!$C503*'9. SavingsData'!$H$108</f>
        <v>1100.8219358668009</v>
      </c>
      <c r="J182" s="551">
        <f>'R. Results'!$D503*'9. SavingsData'!$H$108</f>
        <v>765.06883850693498</v>
      </c>
      <c r="K182" s="917">
        <f>IF('11. CashData'!$I55&gt;0,0,-'11. CashData'!$I55)*$I$86</f>
        <v>0</v>
      </c>
      <c r="L182" s="918">
        <f>IF('11. CashData'!$J55&gt;0,0,-'11. CashData'!$J55)*$I$86</f>
        <v>3290.3765956046254</v>
      </c>
      <c r="M182" s="541">
        <f t="shared" si="5"/>
        <v>5156.2673699783609</v>
      </c>
      <c r="N182" s="552">
        <f t="shared" si="6"/>
        <v>4763.5940251242728</v>
      </c>
    </row>
    <row r="183" spans="1:14" s="331" customFormat="1" ht="12.75" x14ac:dyDescent="0.2">
      <c r="A183" s="52">
        <f t="shared" si="7"/>
        <v>65</v>
      </c>
      <c r="B183" s="334">
        <f t="shared" si="8"/>
        <v>60</v>
      </c>
      <c r="C183" s="1100">
        <f>'R. Results'!$L853</f>
        <v>49221.366634362443</v>
      </c>
      <c r="D183" s="1100">
        <f>'R. Results'!$M853</f>
        <v>24069.922320918584</v>
      </c>
      <c r="E183" s="1612">
        <f t="shared" si="9"/>
        <v>73291.288955281023</v>
      </c>
      <c r="F183" s="408">
        <f t="shared" si="4"/>
        <v>66382.178498945053</v>
      </c>
      <c r="G183" s="1270">
        <f>'10. ExpensesData'!$K514</f>
        <v>14905.0908432</v>
      </c>
      <c r="H183" s="1163">
        <f t="shared" si="10"/>
        <v>51477.087655745054</v>
      </c>
      <c r="I183" s="541">
        <f>'R. Results'!$C504*'9. SavingsData'!$H$108</f>
        <v>994.82422866859588</v>
      </c>
      <c r="J183" s="435">
        <f>'R. Results'!$D504*'9. SavingsData'!$H$108</f>
        <v>668.44285274653464</v>
      </c>
      <c r="K183" s="917">
        <f>IF('11. CashData'!$I56&gt;0,0,-'11. CashData'!$I56)*$I$86</f>
        <v>0</v>
      </c>
      <c r="L183" s="918">
        <f>IF('11. CashData'!$J56&gt;0,0,-'11. CashData'!$J56)*$I$86</f>
        <v>3229.3590416989573</v>
      </c>
      <c r="M183" s="541">
        <f t="shared" si="5"/>
        <v>4892.6261231140879</v>
      </c>
      <c r="N183" s="537">
        <f t="shared" si="6"/>
        <v>4431.4022206831251</v>
      </c>
    </row>
    <row r="184" spans="1:14" x14ac:dyDescent="0.25">
      <c r="A184" s="52">
        <f t="shared" si="7"/>
        <v>66</v>
      </c>
      <c r="B184" s="334">
        <f t="shared" si="8"/>
        <v>61</v>
      </c>
      <c r="C184" s="1100">
        <f>'R. Results'!$L854</f>
        <v>80196.551718715738</v>
      </c>
      <c r="D184" s="1100">
        <f>'R. Results'!$M854</f>
        <v>52049.304315457899</v>
      </c>
      <c r="E184" s="1612">
        <f t="shared" si="9"/>
        <v>132245.85603417363</v>
      </c>
      <c r="F184" s="408">
        <f t="shared" si="4"/>
        <v>117430.53557106132</v>
      </c>
      <c r="G184" s="1270">
        <f>'10. ExpensesData'!$K515</f>
        <v>15203.192660064</v>
      </c>
      <c r="H184" s="1163">
        <f t="shared" si="10"/>
        <v>102227.34291099732</v>
      </c>
      <c r="I184" s="541">
        <f>'R. Results'!$C505*'9. SavingsData'!$H$108</f>
        <v>929.00494561737003</v>
      </c>
      <c r="J184" s="435">
        <f>'R. Results'!$D505*'9. SavingsData'!$H$108</f>
        <v>604.93259870199824</v>
      </c>
      <c r="K184" s="917">
        <f>IF('11. CashData'!$I57&gt;0,0,-'11. CashData'!$I57)*$I$86</f>
        <v>0</v>
      </c>
      <c r="L184" s="918">
        <f>IF('11. CashData'!$J57&gt;0,0,-'11. CashData'!$J57)*$I$86</f>
        <v>2405.6224265525698</v>
      </c>
      <c r="M184" s="541">
        <f t="shared" si="5"/>
        <v>3939.5599708719383</v>
      </c>
      <c r="N184" s="537">
        <f t="shared" si="6"/>
        <v>3498.2165125405495</v>
      </c>
    </row>
    <row r="185" spans="1:14" x14ac:dyDescent="0.25">
      <c r="A185" s="52">
        <f t="shared" si="7"/>
        <v>67</v>
      </c>
      <c r="B185" s="334">
        <f t="shared" si="8"/>
        <v>62</v>
      </c>
      <c r="C185" s="1100">
        <f>'R. Results'!$L855</f>
        <v>81893.239957183687</v>
      </c>
      <c r="D185" s="1100">
        <f>'R. Results'!$M855</f>
        <v>53179.791627475453</v>
      </c>
      <c r="E185" s="1612">
        <f t="shared" si="9"/>
        <v>135073.03158465913</v>
      </c>
      <c r="F185" s="408">
        <f t="shared" si="4"/>
        <v>117589.20250226368</v>
      </c>
      <c r="G185" s="1270">
        <f>'10. ExpensesData'!$K516</f>
        <v>15507.256513265278</v>
      </c>
      <c r="H185" s="1163">
        <f t="shared" si="10"/>
        <v>102081.9459889984</v>
      </c>
      <c r="I185" s="541">
        <f>'R. Results'!$C506*'9. SavingsData'!$H$108</f>
        <v>1278.2751420785116</v>
      </c>
      <c r="J185" s="435">
        <f>'R. Results'!$D506*'9. SavingsData'!$H$108</f>
        <v>679.39833085934879</v>
      </c>
      <c r="K185" s="917">
        <f>IF('11. CashData'!$I58&gt;0,0,-'11. CashData'!$I58)*$I$86</f>
        <v>0</v>
      </c>
      <c r="L185" s="918">
        <f>IF('11. CashData'!$J58&gt;0,0,-'11. CashData'!$J58)*$I$86</f>
        <v>0</v>
      </c>
      <c r="M185" s="541">
        <f t="shared" si="5"/>
        <v>1957.6734729378604</v>
      </c>
      <c r="N185" s="537">
        <f t="shared" si="6"/>
        <v>1704.272568268505</v>
      </c>
    </row>
    <row r="186" spans="1:14" x14ac:dyDescent="0.25">
      <c r="A186" s="52">
        <f t="shared" si="7"/>
        <v>68</v>
      </c>
      <c r="B186" s="334">
        <f t="shared" si="8"/>
        <v>63</v>
      </c>
      <c r="C186" s="1100">
        <f>'R. Results'!$L856</f>
        <v>83680.805049667324</v>
      </c>
      <c r="D186" s="1100">
        <f>'R. Results'!$M856</f>
        <v>54264.565690411604</v>
      </c>
      <c r="E186" s="1612">
        <f t="shared" si="9"/>
        <v>137945.37074007891</v>
      </c>
      <c r="F186" s="408">
        <f t="shared" si="4"/>
        <v>117735.04567690751</v>
      </c>
      <c r="G186" s="1270">
        <f>'10. ExpensesData'!$K517</f>
        <v>15817.401643530584</v>
      </c>
      <c r="H186" s="1163">
        <f t="shared" si="10"/>
        <v>101917.64403337693</v>
      </c>
      <c r="I186" s="541">
        <f>'R. Results'!$C507*'9. SavingsData'!$H$108</f>
        <v>1662.453636317477</v>
      </c>
      <c r="J186" s="435">
        <f>'R. Results'!$D507*'9. SavingsData'!$H$108</f>
        <v>730.95596978717731</v>
      </c>
      <c r="K186" s="917">
        <f>IF('11. CashData'!$I59&gt;0,0,-'11. CashData'!$I59)*$I$86</f>
        <v>0</v>
      </c>
      <c r="L186" s="918">
        <f>IF('11. CashData'!$J59&gt;0,0,-'11. CashData'!$J59)*$I$86</f>
        <v>0</v>
      </c>
      <c r="M186" s="541">
        <f t="shared" si="5"/>
        <v>2393.4096061046544</v>
      </c>
      <c r="N186" s="537">
        <f t="shared" si="6"/>
        <v>2042.7520531242403</v>
      </c>
    </row>
    <row r="187" spans="1:14" x14ac:dyDescent="0.25">
      <c r="A187" s="52">
        <f t="shared" si="7"/>
        <v>69</v>
      </c>
      <c r="B187" s="334">
        <f t="shared" si="8"/>
        <v>64</v>
      </c>
      <c r="C187" s="1100">
        <f>'R. Results'!$L857</f>
        <v>95474.346634345144</v>
      </c>
      <c r="D187" s="1100">
        <f>'R. Results'!$M857</f>
        <v>66169.401720940747</v>
      </c>
      <c r="E187" s="1612">
        <f t="shared" si="9"/>
        <v>161643.7483552859</v>
      </c>
      <c r="F187" s="408">
        <f t="shared" si="4"/>
        <v>135256.25763168035</v>
      </c>
      <c r="G187" s="1270">
        <f>'10. ExpensesData'!$K518</f>
        <v>16133.749676401196</v>
      </c>
      <c r="H187" s="1163">
        <f t="shared" si="10"/>
        <v>119122.50795527914</v>
      </c>
      <c r="I187" s="541">
        <f>'R. Results'!$C508*'9. SavingsData'!$H$108</f>
        <v>1850.448407742502</v>
      </c>
      <c r="J187" s="435">
        <f>'R. Results'!$D508*'9. SavingsData'!$H$108</f>
        <v>924.62425386582709</v>
      </c>
      <c r="K187" s="917">
        <f>IF('11. CashData'!$I60&gt;0,0,-'11. CashData'!$I60)*$I$86</f>
        <v>0</v>
      </c>
      <c r="L187" s="918">
        <f>IF('11. CashData'!$J60&gt;0,0,-'11. CashData'!$J60)*$I$86</f>
        <v>0</v>
      </c>
      <c r="M187" s="541">
        <f t="shared" si="5"/>
        <v>2775.0726616083293</v>
      </c>
      <c r="N187" s="537">
        <f t="shared" si="6"/>
        <v>2322.0566627800235</v>
      </c>
    </row>
    <row r="188" spans="1:14" x14ac:dyDescent="0.25">
      <c r="A188" s="52">
        <f t="shared" si="7"/>
        <v>70</v>
      </c>
      <c r="B188" s="334">
        <f t="shared" si="8"/>
        <v>65</v>
      </c>
      <c r="C188" s="1100">
        <f>'R. Results'!$L858</f>
        <v>97556.841300841086</v>
      </c>
      <c r="D188" s="1100">
        <f>'R. Results'!$M858</f>
        <v>71086.930959102814</v>
      </c>
      <c r="E188" s="1612">
        <f t="shared" si="9"/>
        <v>168643.77225994389</v>
      </c>
      <c r="F188" s="408">
        <f t="shared" si="4"/>
        <v>138346.63185797783</v>
      </c>
      <c r="G188" s="1270">
        <f>'10. ExpensesData'!$K519</f>
        <v>16456.42466992922</v>
      </c>
      <c r="H188" s="1163">
        <f t="shared" si="10"/>
        <v>121890.2071880486</v>
      </c>
      <c r="I188" s="541">
        <f>'R. Results'!$C509*'9. SavingsData'!$H$108</f>
        <v>2259.8081113839116</v>
      </c>
      <c r="J188" s="435">
        <f>'R. Results'!$D509*'9. SavingsData'!$H$108</f>
        <v>1008.5332669059877</v>
      </c>
      <c r="K188" s="917">
        <f>IF('11. CashData'!$I61&gt;0,0,-'11. CashData'!$I61)*$I$86</f>
        <v>0</v>
      </c>
      <c r="L188" s="918">
        <f>IF('11. CashData'!$J61&gt;0,0,-'11. CashData'!$J61)*$I$86</f>
        <v>0</v>
      </c>
      <c r="M188" s="541">
        <f t="shared" si="5"/>
        <v>3268.3413782898992</v>
      </c>
      <c r="N188" s="537">
        <f t="shared" si="6"/>
        <v>2681.1782930917407</v>
      </c>
    </row>
    <row r="189" spans="1:14" x14ac:dyDescent="0.25">
      <c r="A189" s="52">
        <f t="shared" si="7"/>
        <v>71</v>
      </c>
      <c r="B189" s="334">
        <f t="shared" si="8"/>
        <v>66</v>
      </c>
      <c r="C189" s="1100">
        <f>'R. Results'!$L859</f>
        <v>100024.47994730892</v>
      </c>
      <c r="D189" s="1100">
        <f>'R. Results'!$M859</f>
        <v>72553.275847889308</v>
      </c>
      <c r="E189" s="1612">
        <f t="shared" si="9"/>
        <v>172577.75579519823</v>
      </c>
      <c r="F189" s="408">
        <f t="shared" si="4"/>
        <v>138797.9103557457</v>
      </c>
      <c r="G189" s="1270">
        <f>'10. ExpensesData'!$K520</f>
        <v>16785.553163327801</v>
      </c>
      <c r="H189" s="1163">
        <f t="shared" si="10"/>
        <v>122012.3571924179</v>
      </c>
      <c r="I189" s="541">
        <f>'R. Results'!$C510*'9. SavingsData'!$H$108</f>
        <v>2838.5791106699558</v>
      </c>
      <c r="J189" s="435">
        <f>'R. Results'!$D510*'9. SavingsData'!$H$108</f>
        <v>1102.0300527827753</v>
      </c>
      <c r="K189" s="917">
        <f>IF('11. CashData'!$I62&gt;0,0,-'11. CashData'!$I62)*$I$86</f>
        <v>0</v>
      </c>
      <c r="L189" s="918">
        <f>IF('11. CashData'!$J62&gt;0,0,-'11. CashData'!$J62)*$I$86</f>
        <v>0</v>
      </c>
      <c r="M189" s="541">
        <f t="shared" si="5"/>
        <v>3940.6091634527311</v>
      </c>
      <c r="N189" s="537">
        <f t="shared" si="6"/>
        <v>3169.2863016773595</v>
      </c>
    </row>
    <row r="190" spans="1:14" x14ac:dyDescent="0.25">
      <c r="A190" s="52">
        <f t="shared" si="7"/>
        <v>72</v>
      </c>
      <c r="B190" s="334">
        <f t="shared" si="8"/>
        <v>67</v>
      </c>
      <c r="C190" s="1100">
        <f>'R. Results'!$L860</f>
        <v>102654.63552054686</v>
      </c>
      <c r="D190" s="1100">
        <f>'R. Results'!$M860</f>
        <v>56358.338020335657</v>
      </c>
      <c r="E190" s="1612">
        <f t="shared" si="9"/>
        <v>159012.97354088252</v>
      </c>
      <c r="F190" s="408">
        <f t="shared" si="4"/>
        <v>125380.64446593236</v>
      </c>
      <c r="G190" s="1270">
        <f>'10. ExpensesData'!$K521</f>
        <v>17121.264226594358</v>
      </c>
      <c r="H190" s="1163">
        <f t="shared" si="10"/>
        <v>108259.380239338</v>
      </c>
      <c r="I190" s="541">
        <f>'R. Results'!$C511*'9. SavingsData'!$H$108</f>
        <v>3483.0267272611986</v>
      </c>
      <c r="J190" s="435">
        <f>'R. Results'!$D511*'9. SavingsData'!$H$108</f>
        <v>1286.4762530081027</v>
      </c>
      <c r="K190" s="917">
        <f>IF('11. CashData'!$I63&gt;0,0,-'11. CashData'!$I63)*$I$86</f>
        <v>0</v>
      </c>
      <c r="L190" s="918">
        <f>IF('11. CashData'!$J63&gt;0,0,-'11. CashData'!$J63)*$I$86</f>
        <v>0</v>
      </c>
      <c r="M190" s="541">
        <f t="shared" si="5"/>
        <v>4769.5029802693016</v>
      </c>
      <c r="N190" s="537">
        <f t="shared" si="6"/>
        <v>3760.7205508587158</v>
      </c>
    </row>
    <row r="191" spans="1:14" x14ac:dyDescent="0.25">
      <c r="A191" s="52">
        <f t="shared" si="7"/>
        <v>73</v>
      </c>
      <c r="B191" s="334">
        <f t="shared" si="8"/>
        <v>68</v>
      </c>
      <c r="C191" s="1100">
        <f>'R. Results'!$L861</f>
        <v>104636.55945343868</v>
      </c>
      <c r="D191" s="1100">
        <f>'R. Results'!$M861</f>
        <v>58244.822169694002</v>
      </c>
      <c r="E191" s="1612">
        <f t="shared" si="9"/>
        <v>162881.38162313268</v>
      </c>
      <c r="F191" s="408">
        <f t="shared" si="4"/>
        <v>125912.60572465838</v>
      </c>
      <c r="G191" s="1270">
        <f>'10. ExpensesData'!$K522</f>
        <v>17463.689511126246</v>
      </c>
      <c r="H191" s="1163">
        <f t="shared" si="10"/>
        <v>108448.91621353214</v>
      </c>
      <c r="I191" s="541">
        <f>'R. Results'!$C512*'9. SavingsData'!$H$108</f>
        <v>3815.8676848759997</v>
      </c>
      <c r="J191" s="435">
        <f>'R. Results'!$D512*'9. SavingsData'!$H$108</f>
        <v>1613.7757376870413</v>
      </c>
      <c r="K191" s="917">
        <f>IF('11. CashData'!$I64&gt;0,0,-'11. CashData'!$I64)*$I$86</f>
        <v>0</v>
      </c>
      <c r="L191" s="918">
        <f>IF('11. CashData'!$J64&gt;0,0,-'11. CashData'!$J64)*$I$86</f>
        <v>0</v>
      </c>
      <c r="M191" s="541">
        <f t="shared" si="5"/>
        <v>5429.643422563041</v>
      </c>
      <c r="N191" s="537">
        <f t="shared" si="6"/>
        <v>4197.2909652282215</v>
      </c>
    </row>
    <row r="192" spans="1:14" x14ac:dyDescent="0.25">
      <c r="A192" s="52">
        <f t="shared" si="7"/>
        <v>74</v>
      </c>
      <c r="B192" s="334">
        <f t="shared" si="8"/>
        <v>69</v>
      </c>
      <c r="C192" s="1100">
        <f>'R. Results'!$L862</f>
        <v>106667.8166836192</v>
      </c>
      <c r="D192" s="1100">
        <f>'R. Results'!$M862</f>
        <v>60191.040204853925</v>
      </c>
      <c r="E192" s="1612">
        <f t="shared" si="9"/>
        <v>166858.85688847312</v>
      </c>
      <c r="F192" s="408">
        <f t="shared" si="4"/>
        <v>126458.16026712544</v>
      </c>
      <c r="G192" s="1270">
        <f>'10. ExpensesData'!$K523</f>
        <v>17812.963301348776</v>
      </c>
      <c r="H192" s="1163">
        <f t="shared" si="10"/>
        <v>108645.19696577666</v>
      </c>
      <c r="I192" s="541">
        <f>'R. Results'!$C513*'9. SavingsData'!$H$108</f>
        <v>4161.3560905112163</v>
      </c>
      <c r="J192" s="435">
        <f>'R. Results'!$D513*'9. SavingsData'!$H$108</f>
        <v>1955.622740355707</v>
      </c>
      <c r="K192" s="917">
        <f>IF('11. CashData'!$I65&gt;0,0,-'11. CashData'!$I65)*$I$86</f>
        <v>0</v>
      </c>
      <c r="L192" s="918">
        <f>IF('11. CashData'!$J65&gt;0,0,-'11. CashData'!$J65)*$I$86</f>
        <v>0</v>
      </c>
      <c r="M192" s="541">
        <f t="shared" si="5"/>
        <v>6116.9788308669231</v>
      </c>
      <c r="N192" s="537">
        <f t="shared" si="6"/>
        <v>4635.905481849315</v>
      </c>
    </row>
    <row r="193" spans="1:14" s="215" customFormat="1" x14ac:dyDescent="0.25">
      <c r="A193" s="141">
        <f t="shared" si="7"/>
        <v>75</v>
      </c>
      <c r="B193" s="539">
        <f t="shared" si="8"/>
        <v>70</v>
      </c>
      <c r="C193" s="1100">
        <f>'R. Results'!$L863</f>
        <v>65631.67293589357</v>
      </c>
      <c r="D193" s="1100">
        <f>'R. Results'!$M863</f>
        <v>62152.085837750623</v>
      </c>
      <c r="E193" s="1612">
        <f t="shared" si="9"/>
        <v>127783.75877364419</v>
      </c>
      <c r="F193" s="550">
        <f t="shared" si="4"/>
        <v>94945.215022117321</v>
      </c>
      <c r="G193" s="1270">
        <f>'10. ExpensesData'!$K524</f>
        <v>18169.222567375746</v>
      </c>
      <c r="H193" s="1163">
        <f t="shared" si="10"/>
        <v>76775.992454741572</v>
      </c>
      <c r="I193" s="541">
        <f>'R. Results'!$C514*'9. SavingsData'!$H$108</f>
        <v>4514.9097710573924</v>
      </c>
      <c r="J193" s="551">
        <f>'R. Results'!$D514*'9. SavingsData'!$H$108</f>
        <v>2295.5442238172291</v>
      </c>
      <c r="K193" s="917">
        <f>IF('11. CashData'!$I66&gt;0,0,-'11. CashData'!$I66)*$I$86</f>
        <v>0</v>
      </c>
      <c r="L193" s="918">
        <f>IF('11. CashData'!$J66&gt;0,0,-'11. CashData'!$J66)*$I$86</f>
        <v>0</v>
      </c>
      <c r="M193" s="541">
        <f t="shared" si="5"/>
        <v>6810.4539948746215</v>
      </c>
      <c r="N193" s="552">
        <f t="shared" si="6"/>
        <v>5060.267636100999</v>
      </c>
    </row>
    <row r="194" spans="1:14" x14ac:dyDescent="0.25">
      <c r="A194" s="52">
        <f t="shared" si="7"/>
        <v>76</v>
      </c>
      <c r="B194" s="334">
        <f t="shared" si="8"/>
        <v>71</v>
      </c>
      <c r="C194" s="1100">
        <f>'R. Results'!$L864</f>
        <v>65428.652400343854</v>
      </c>
      <c r="D194" s="1100">
        <f>'R. Results'!$M864</f>
        <v>61476.254501895186</v>
      </c>
      <c r="E194" s="1612">
        <f t="shared" si="9"/>
        <v>126904.90690223905</v>
      </c>
      <c r="F194" s="408">
        <f t="shared" si="4"/>
        <v>92443.348172730693</v>
      </c>
      <c r="G194" s="1270">
        <f>'10. ExpensesData'!$K525</f>
        <v>18532.607018723262</v>
      </c>
      <c r="H194" s="1163">
        <f t="shared" si="10"/>
        <v>73910.741154007439</v>
      </c>
      <c r="I194" s="541">
        <f>'R. Results'!$C515*'9. SavingsData'!$H$108</f>
        <v>3900.2526203075686</v>
      </c>
      <c r="J194" s="435">
        <f>'R. Results'!$D515*'9. SavingsData'!$H$108</f>
        <v>1669.1376346170464</v>
      </c>
      <c r="K194" s="917">
        <f>IF('11. CashData'!$I67&gt;0,0,-'11. CashData'!$I67)*$I$86</f>
        <v>7259.9410170109377</v>
      </c>
      <c r="L194" s="918">
        <f>IF('11. CashData'!$J67&gt;0,0,-'11. CashData'!$J67)*$I$86</f>
        <v>10397.962501150529</v>
      </c>
      <c r="M194" s="541">
        <f t="shared" si="5"/>
        <v>23227.293773086079</v>
      </c>
      <c r="N194" s="537">
        <f t="shared" si="6"/>
        <v>16919.824912915261</v>
      </c>
    </row>
    <row r="195" spans="1:14" x14ac:dyDescent="0.25">
      <c r="A195" s="52">
        <f t="shared" si="7"/>
        <v>77</v>
      </c>
      <c r="B195" s="334">
        <f t="shared" si="8"/>
        <v>72</v>
      </c>
      <c r="C195" s="1100">
        <f>'R. Results'!$L865</f>
        <v>67237.05304836604</v>
      </c>
      <c r="D195" s="1100">
        <f>'R. Results'!$M865</f>
        <v>63085.998497401626</v>
      </c>
      <c r="E195" s="1612">
        <f t="shared" si="9"/>
        <v>130323.05154576767</v>
      </c>
      <c r="F195" s="408">
        <f t="shared" si="4"/>
        <v>93071.844440175337</v>
      </c>
      <c r="G195" s="1270">
        <f>'10. ExpensesData'!$K526</f>
        <v>18903.259159097728</v>
      </c>
      <c r="H195" s="1163">
        <f t="shared" si="10"/>
        <v>74168.585281077612</v>
      </c>
      <c r="I195" s="541">
        <f>'R. Results'!$C516*'9. SavingsData'!$H$108</f>
        <v>4210.7356262092089</v>
      </c>
      <c r="J195" s="435">
        <f>'R. Results'!$D516*'9. SavingsData'!$H$108</f>
        <v>1866.2363529343072</v>
      </c>
      <c r="K195" s="917">
        <f>IF('11. CashData'!$I68&gt;0,0,-'11. CashData'!$I68)*$I$86</f>
        <v>0</v>
      </c>
      <c r="L195" s="918">
        <f>IF('11. CashData'!$J68&gt;0,0,-'11. CashData'!$J68)*$I$86</f>
        <v>0</v>
      </c>
      <c r="M195" s="541">
        <f t="shared" si="5"/>
        <v>6076.9719791435164</v>
      </c>
      <c r="N195" s="537">
        <f t="shared" si="6"/>
        <v>4339.9458806527455</v>
      </c>
    </row>
    <row r="196" spans="1:14" x14ac:dyDescent="0.25">
      <c r="A196" s="52">
        <f t="shared" si="7"/>
        <v>78</v>
      </c>
      <c r="B196" s="334">
        <f t="shared" si="8"/>
        <v>73</v>
      </c>
      <c r="C196" s="1100">
        <f>'R. Results'!$L866</f>
        <v>69135.191597747267</v>
      </c>
      <c r="D196" s="1100">
        <f>'R. Results'!$M866</f>
        <v>64771.010378208441</v>
      </c>
      <c r="E196" s="1612">
        <f t="shared" si="9"/>
        <v>133906.20197595572</v>
      </c>
      <c r="F196" s="408">
        <f t="shared" si="4"/>
        <v>93755.68267950567</v>
      </c>
      <c r="G196" s="1270">
        <f>'10. ExpensesData'!$K527</f>
        <v>19281.32434227968</v>
      </c>
      <c r="H196" s="1163">
        <f t="shared" si="10"/>
        <v>74474.358337225989</v>
      </c>
      <c r="I196" s="541">
        <f>'R. Results'!$C517*'9. SavingsData'!$H$108</f>
        <v>4552.3445193910247</v>
      </c>
      <c r="J196" s="435">
        <f>'R. Results'!$D517*'9. SavingsData'!$H$108</f>
        <v>2082.9399566689144</v>
      </c>
      <c r="K196" s="917">
        <f>IF('11. CashData'!$I69&gt;0,0,-'11. CashData'!$I69)*$I$86</f>
        <v>0</v>
      </c>
      <c r="L196" s="918">
        <f>IF('11. CashData'!$J69&gt;0,0,-'11. CashData'!$J69)*$I$86</f>
        <v>0</v>
      </c>
      <c r="M196" s="541">
        <f t="shared" si="5"/>
        <v>6635.2844760599392</v>
      </c>
      <c r="N196" s="537">
        <f t="shared" si="6"/>
        <v>4645.7566314772303</v>
      </c>
    </row>
    <row r="197" spans="1:14" x14ac:dyDescent="0.25">
      <c r="A197" s="52">
        <f t="shared" si="7"/>
        <v>79</v>
      </c>
      <c r="B197" s="334">
        <f t="shared" si="8"/>
        <v>74</v>
      </c>
      <c r="C197" s="1100">
        <f>'R. Results'!$L867</f>
        <v>64385.131158318851</v>
      </c>
      <c r="D197" s="1100">
        <f>'R. Results'!$M867</f>
        <v>59805.267782263421</v>
      </c>
      <c r="E197" s="1612">
        <f t="shared" si="9"/>
        <v>124190.39894058226</v>
      </c>
      <c r="F197" s="408">
        <f t="shared" si="4"/>
        <v>85248.109900950483</v>
      </c>
      <c r="G197" s="1270">
        <f>'10. ExpensesData'!$K528</f>
        <v>19666.950829125275</v>
      </c>
      <c r="H197" s="1163">
        <f t="shared" si="10"/>
        <v>65581.159071825212</v>
      </c>
      <c r="I197" s="541">
        <f>'R. Results'!$C518*'9. SavingsData'!$H$108</f>
        <v>4905.5841931410878</v>
      </c>
      <c r="J197" s="435">
        <f>'R. Results'!$D518*'9. SavingsData'!$H$108</f>
        <v>2308.3500111124717</v>
      </c>
      <c r="K197" s="917">
        <f>IF('11. CashData'!$I70&gt;0,0,-'11. CashData'!$I70)*$I$86</f>
        <v>0</v>
      </c>
      <c r="L197" s="918">
        <f>IF('11. CashData'!$J70&gt;0,0,-'11. CashData'!$J70)*$I$86</f>
        <v>0</v>
      </c>
      <c r="M197" s="541">
        <f t="shared" si="5"/>
        <v>7213.9342042535591</v>
      </c>
      <c r="N197" s="537">
        <f t="shared" si="6"/>
        <v>4951.8663367581403</v>
      </c>
    </row>
    <row r="198" spans="1:14" x14ac:dyDescent="0.25">
      <c r="A198" s="52">
        <f t="shared" si="7"/>
        <v>80</v>
      </c>
      <c r="B198" s="334">
        <f t="shared" si="8"/>
        <v>75</v>
      </c>
      <c r="C198" s="1100">
        <f>'R. Results'!$L868</f>
        <v>66122.001074513362</v>
      </c>
      <c r="D198" s="1100">
        <f>'R. Results'!$M868</f>
        <v>61238.151970673774</v>
      </c>
      <c r="E198" s="1612">
        <f t="shared" si="9"/>
        <v>127360.15304518714</v>
      </c>
      <c r="F198" s="408">
        <f t="shared" si="4"/>
        <v>85709.731979665841</v>
      </c>
      <c r="G198" s="1270">
        <f>'10. ExpensesData'!$K529</f>
        <v>20060.289845707783</v>
      </c>
      <c r="H198" s="1163">
        <f t="shared" si="10"/>
        <v>65649.442133958059</v>
      </c>
      <c r="I198" s="541">
        <f>'R. Results'!$C519*'9. SavingsData'!$H$108</f>
        <v>5212.6108970169953</v>
      </c>
      <c r="J198" s="435">
        <f>'R. Results'!$D519*'9. SavingsData'!$H$108</f>
        <v>2466.0729505220261</v>
      </c>
      <c r="K198" s="917">
        <f>IF('11. CashData'!$I71&gt;0,0,-'11. CashData'!$I71)*$I$86</f>
        <v>0</v>
      </c>
      <c r="L198" s="918">
        <f>IF('11. CashData'!$J71&gt;0,0,-'11. CashData'!$J71)*$I$86</f>
        <v>0</v>
      </c>
      <c r="M198" s="541">
        <f t="shared" si="5"/>
        <v>7678.6838475390214</v>
      </c>
      <c r="N198" s="537">
        <f t="shared" si="6"/>
        <v>5167.5341053936454</v>
      </c>
    </row>
    <row r="199" spans="1:14" x14ac:dyDescent="0.25">
      <c r="A199" s="52">
        <f t="shared" si="7"/>
        <v>81</v>
      </c>
      <c r="B199" s="334">
        <f t="shared" si="8"/>
        <v>76</v>
      </c>
      <c r="C199" s="1100">
        <f>'R. Results'!$L869</f>
        <v>67901.158124669033</v>
      </c>
      <c r="D199" s="1100">
        <f>'R. Results'!$M869</f>
        <v>62760.229156921814</v>
      </c>
      <c r="E199" s="1612">
        <f t="shared" si="9"/>
        <v>130661.38728159084</v>
      </c>
      <c r="F199" s="408">
        <f t="shared" si="4"/>
        <v>86207.223514353347</v>
      </c>
      <c r="G199" s="1270">
        <f>'10. ExpensesData'!$K530</f>
        <v>20461.495642621936</v>
      </c>
      <c r="H199" s="1163">
        <f t="shared" si="10"/>
        <v>65745.727871731418</v>
      </c>
      <c r="I199" s="541">
        <f>'R. Results'!$C520*'9. SavingsData'!$H$108</f>
        <v>5529.2896399179945</v>
      </c>
      <c r="J199" s="435">
        <f>'R. Results'!$D520*'9. SavingsData'!$H$108</f>
        <v>2648.9631901995831</v>
      </c>
      <c r="K199" s="917">
        <f>IF('11. CashData'!$I72&gt;0,0,-'11. CashData'!$I72)*$I$86</f>
        <v>0</v>
      </c>
      <c r="L199" s="918">
        <f>IF('11. CashData'!$J72&gt;0,0,-'11. CashData'!$J72)*$I$86</f>
        <v>0</v>
      </c>
      <c r="M199" s="541">
        <f t="shared" si="5"/>
        <v>8178.2528301175771</v>
      </c>
      <c r="N199" s="537">
        <f t="shared" si="6"/>
        <v>5395.8134407636981</v>
      </c>
    </row>
    <row r="200" spans="1:14" x14ac:dyDescent="0.25">
      <c r="A200" s="52">
        <f t="shared" si="7"/>
        <v>82</v>
      </c>
      <c r="B200" s="334">
        <f t="shared" si="8"/>
        <v>77</v>
      </c>
      <c r="C200" s="1100">
        <f>'R. Results'!$L870</f>
        <v>69723.543095356072</v>
      </c>
      <c r="D200" s="1100">
        <f>'R. Results'!$M870</f>
        <v>64284.212478915368</v>
      </c>
      <c r="E200" s="1612">
        <f t="shared" si="9"/>
        <v>134007.75557427143</v>
      </c>
      <c r="F200" s="408">
        <f t="shared" si="4"/>
        <v>86681.447439096693</v>
      </c>
      <c r="G200" s="1270">
        <f>'10. ExpensesData'!$K531</f>
        <v>20870.725555474375</v>
      </c>
      <c r="H200" s="1163">
        <f t="shared" si="10"/>
        <v>65810.721883622318</v>
      </c>
      <c r="I200" s="541">
        <f>'R. Results'!$C521*'9. SavingsData'!$H$108</f>
        <v>5855.8576690854934</v>
      </c>
      <c r="J200" s="435">
        <f>'R. Results'!$D521*'9. SavingsData'!$H$108</f>
        <v>2825.1347226781636</v>
      </c>
      <c r="K200" s="917">
        <f>IF('11. CashData'!$I73&gt;0,0,-'11. CashData'!$I73)*$I$86</f>
        <v>0</v>
      </c>
      <c r="L200" s="918">
        <f>IF('11. CashData'!$J73&gt;0,0,-'11. CashData'!$J73)*$I$86</f>
        <v>0</v>
      </c>
      <c r="M200" s="541">
        <f t="shared" si="5"/>
        <v>8680.992391763657</v>
      </c>
      <c r="N200" s="537">
        <f t="shared" si="6"/>
        <v>5615.2047506594527</v>
      </c>
    </row>
    <row r="201" spans="1:14" x14ac:dyDescent="0.25">
      <c r="A201" s="52">
        <f t="shared" si="7"/>
        <v>83</v>
      </c>
      <c r="B201" s="334">
        <f t="shared" si="8"/>
        <v>78</v>
      </c>
      <c r="C201" s="1100">
        <f>'R. Results'!$L871</f>
        <v>71590.302192664094</v>
      </c>
      <c r="D201" s="1100">
        <f>'R. Results'!$M871</f>
        <v>65845.72914550791</v>
      </c>
      <c r="E201" s="1612">
        <f t="shared" si="9"/>
        <v>137436.031338172</v>
      </c>
      <c r="F201" s="408">
        <f t="shared" si="4"/>
        <v>87155.872577977585</v>
      </c>
      <c r="G201" s="1270">
        <f>'10. ExpensesData'!$K532</f>
        <v>21288.140066583859</v>
      </c>
      <c r="H201" s="1163">
        <f t="shared" si="10"/>
        <v>65867.732511393726</v>
      </c>
      <c r="I201" s="541">
        <f>'R. Results'!$C522*'9. SavingsData'!$H$108</f>
        <v>6192.6437691652955</v>
      </c>
      <c r="J201" s="435">
        <f>'R. Results'!$D522*'9. SavingsData'!$H$108</f>
        <v>3007.3946596823585</v>
      </c>
      <c r="K201" s="917">
        <f>IF('11. CashData'!$I74&gt;0,0,-'11. CashData'!$I74)*$I$86</f>
        <v>0</v>
      </c>
      <c r="L201" s="918">
        <f>IF('11. CashData'!$J74&gt;0,0,-'11. CashData'!$J74)*$I$86</f>
        <v>0</v>
      </c>
      <c r="M201" s="541">
        <f t="shared" si="5"/>
        <v>9200.0384288476544</v>
      </c>
      <c r="N201" s="537">
        <f t="shared" si="6"/>
        <v>5834.2588126992714</v>
      </c>
    </row>
    <row r="202" spans="1:14" x14ac:dyDescent="0.25">
      <c r="A202" s="52">
        <f t="shared" si="7"/>
        <v>84</v>
      </c>
      <c r="B202" s="334">
        <f t="shared" si="8"/>
        <v>79</v>
      </c>
      <c r="C202" s="1100">
        <f>'R. Results'!$L872</f>
        <v>73502.542348980831</v>
      </c>
      <c r="D202" s="1100">
        <f>'R. Results'!$M872</f>
        <v>67446.513517949279</v>
      </c>
      <c r="E202" s="1612">
        <f t="shared" si="9"/>
        <v>140949.05586693011</v>
      </c>
      <c r="F202" s="408">
        <f t="shared" si="4"/>
        <v>87631.056737163162</v>
      </c>
      <c r="G202" s="1270">
        <f>'10. ExpensesData'!$K533</f>
        <v>21713.902867915538</v>
      </c>
      <c r="H202" s="1163">
        <f t="shared" si="10"/>
        <v>65917.153869247617</v>
      </c>
      <c r="I202" s="541">
        <f>'R. Results'!$C523*'9. SavingsData'!$H$108</f>
        <v>6539.9543712757923</v>
      </c>
      <c r="J202" s="435">
        <f>'R. Results'!$D523*'9. SavingsData'!$H$108</f>
        <v>3196.2224763419003</v>
      </c>
      <c r="K202" s="917">
        <f>IF('11. CashData'!$I75&gt;0,0,-'11. CashData'!$I75)*$I$86</f>
        <v>0</v>
      </c>
      <c r="L202" s="918">
        <f>IF('11. CashData'!$J75&gt;0,0,-'11. CashData'!$J75)*$I$86</f>
        <v>0</v>
      </c>
      <c r="M202" s="541">
        <f t="shared" si="5"/>
        <v>9736.1768476176931</v>
      </c>
      <c r="N202" s="537">
        <f t="shared" si="6"/>
        <v>6053.1903565366047</v>
      </c>
    </row>
    <row r="203" spans="1:14" x14ac:dyDescent="0.25">
      <c r="A203" s="52">
        <f t="shared" si="7"/>
        <v>85</v>
      </c>
      <c r="B203" s="334">
        <f t="shared" si="8"/>
        <v>80</v>
      </c>
      <c r="C203" s="1100">
        <f>'R. Results'!$L873</f>
        <v>30492.798958485415</v>
      </c>
      <c r="D203" s="1100">
        <f>'R. Results'!$M873</f>
        <v>42164.896064867695</v>
      </c>
      <c r="E203" s="1612">
        <f t="shared" si="9"/>
        <v>72657.69502335311</v>
      </c>
      <c r="F203" s="408">
        <f t="shared" si="4"/>
        <v>44287.108098162651</v>
      </c>
      <c r="G203" s="1270">
        <f>'10. ExpensesData'!$K534</f>
        <v>22148.180925273849</v>
      </c>
      <c r="H203" s="1163">
        <f t="shared" si="10"/>
        <v>22138.927172888802</v>
      </c>
      <c r="I203" s="541">
        <f>'R. Results'!$C524*'9. SavingsData'!$H$108</f>
        <v>6898.1058121480955</v>
      </c>
      <c r="J203" s="435">
        <f>'R. Results'!$D524*'9. SavingsData'!$H$108</f>
        <v>3391.5607930807446</v>
      </c>
      <c r="K203" s="917">
        <f>IF('11. CashData'!$I76&gt;0,0,-'11. CashData'!$I76)*$I$86</f>
        <v>0</v>
      </c>
      <c r="L203" s="918">
        <f>IF('11. CashData'!$J76&gt;0,0,-'11. CashData'!$J76)*$I$86</f>
        <v>0</v>
      </c>
      <c r="M203" s="541">
        <f t="shared" si="5"/>
        <v>10289.66660522884</v>
      </c>
      <c r="N203" s="537">
        <f t="shared" si="6"/>
        <v>6271.8694433308992</v>
      </c>
    </row>
    <row r="204" spans="1:14" x14ac:dyDescent="0.25">
      <c r="A204" s="52">
        <f t="shared" si="7"/>
        <v>86</v>
      </c>
      <c r="B204" s="334">
        <f t="shared" si="8"/>
        <v>81</v>
      </c>
      <c r="C204" s="1100">
        <f>'R. Results'!$L874</f>
        <v>11517.266703679288</v>
      </c>
      <c r="D204" s="1100">
        <f>'R. Results'!$M874</f>
        <v>47674.388377660725</v>
      </c>
      <c r="E204" s="1612">
        <f t="shared" si="9"/>
        <v>59191.65508134001</v>
      </c>
      <c r="F204" s="408">
        <f t="shared" si="4"/>
        <v>35371.706911508649</v>
      </c>
      <c r="G204" s="1270">
        <f>'10. ExpensesData'!$K535</f>
        <v>24139.056299556803</v>
      </c>
      <c r="H204" s="1163">
        <f t="shared" si="10"/>
        <v>11232.650611951845</v>
      </c>
      <c r="I204" s="541">
        <f>'R. Results'!$C525*'9. SavingsData'!$H$108</f>
        <v>0</v>
      </c>
      <c r="J204" s="435">
        <f>'R. Results'!$D525*'9. SavingsData'!$H$108</f>
        <v>5181.6445149407891</v>
      </c>
      <c r="K204" s="917">
        <f>IF('11. CashData'!$I77&gt;0,0,-'11. CashData'!$I77)*$I$86</f>
        <v>1368.1142567938466</v>
      </c>
      <c r="L204" s="918">
        <f>IF('11. CashData'!$J77&gt;0,0,-'11. CashData'!$J77)*$I$86</f>
        <v>861.97998762640304</v>
      </c>
      <c r="M204" s="541">
        <f t="shared" si="5"/>
        <v>7411.7387593610392</v>
      </c>
      <c r="N204" s="537">
        <f t="shared" si="6"/>
        <v>4429.1015471779638</v>
      </c>
    </row>
    <row r="205" spans="1:14" x14ac:dyDescent="0.25">
      <c r="A205" s="52">
        <f t="shared" si="7"/>
        <v>87</v>
      </c>
      <c r="B205" s="334">
        <f t="shared" si="8"/>
        <v>82</v>
      </c>
      <c r="C205" s="1100">
        <f>'R. Results'!$L875</f>
        <v>11747.612037752871</v>
      </c>
      <c r="D205" s="1100">
        <f>'R. Results'!$M875</f>
        <v>48536.62812194974</v>
      </c>
      <c r="E205" s="1612">
        <f t="shared" si="9"/>
        <v>60284.240159702611</v>
      </c>
      <c r="F205" s="408">
        <f t="shared" si="4"/>
        <v>35318.248158092458</v>
      </c>
      <c r="G205" s="1270">
        <f>'10. ExpensesData'!$K536</f>
        <v>24621.837425547936</v>
      </c>
      <c r="H205" s="1163">
        <f t="shared" si="10"/>
        <v>10696.410732544522</v>
      </c>
      <c r="I205" s="541">
        <f>'R. Results'!$C526*'9. SavingsData'!$H$108</f>
        <v>0</v>
      </c>
      <c r="J205" s="435">
        <f>'R. Results'!$D526*'9. SavingsData'!$H$108</f>
        <v>5277.5508513253544</v>
      </c>
      <c r="K205" s="917">
        <f>IF('11. CashData'!$I78&gt;0,0,-'11. CashData'!$I78)*$I$86</f>
        <v>0</v>
      </c>
      <c r="L205" s="918">
        <f>IF('11. CashData'!$J78&gt;0,0,-'11. CashData'!$J78)*$I$86</f>
        <v>2403.3783721936784</v>
      </c>
      <c r="M205" s="541">
        <f t="shared" si="5"/>
        <v>7680.9292235190333</v>
      </c>
      <c r="N205" s="537">
        <f t="shared" si="6"/>
        <v>4499.9648943460761</v>
      </c>
    </row>
    <row r="206" spans="1:14" x14ac:dyDescent="0.25">
      <c r="A206" s="52">
        <f t="shared" si="7"/>
        <v>88</v>
      </c>
      <c r="B206" s="334">
        <f t="shared" si="8"/>
        <v>83</v>
      </c>
      <c r="C206" s="1100">
        <f>'R. Results'!$L876</f>
        <v>11982.564278507933</v>
      </c>
      <c r="D206" s="1100">
        <f>'R. Results'!$M876</f>
        <v>49411.544733312337</v>
      </c>
      <c r="E206" s="1612">
        <f t="shared" si="9"/>
        <v>61394.10901182027</v>
      </c>
      <c r="F206" s="408">
        <f t="shared" si="4"/>
        <v>35263.213914032764</v>
      </c>
      <c r="G206" s="1270">
        <f>'10. ExpensesData'!$K537</f>
        <v>25114.274174058897</v>
      </c>
      <c r="H206" s="1163">
        <f t="shared" si="10"/>
        <v>10148.939739973866</v>
      </c>
      <c r="I206" s="541">
        <f>'R. Results'!$C527*'9. SavingsData'!$H$108</f>
        <v>0</v>
      </c>
      <c r="J206" s="435">
        <f>'R. Results'!$D527*'9. SavingsData'!$H$108</f>
        <v>5373.7142497786217</v>
      </c>
      <c r="K206" s="917">
        <f>IF('11. CashData'!$I79&gt;0,0,-'11. CashData'!$I79)*$I$86</f>
        <v>0</v>
      </c>
      <c r="L206" s="918">
        <f>IF('11. CashData'!$J79&gt;0,0,-'11. CashData'!$J79)*$I$86</f>
        <v>2477.8292534231482</v>
      </c>
      <c r="M206" s="541">
        <f t="shared" si="5"/>
        <v>7851.5435032017704</v>
      </c>
      <c r="N206" s="537">
        <f t="shared" si="6"/>
        <v>4509.7267891848069</v>
      </c>
    </row>
    <row r="207" spans="1:14" x14ac:dyDescent="0.25">
      <c r="A207" s="52">
        <f t="shared" si="7"/>
        <v>89</v>
      </c>
      <c r="B207" s="334">
        <f t="shared" si="8"/>
        <v>84</v>
      </c>
      <c r="C207" s="1100">
        <f>'R. Results'!$L877</f>
        <v>12222.215564078089</v>
      </c>
      <c r="D207" s="1100">
        <f>'R. Results'!$M877</f>
        <v>50299.345629294796</v>
      </c>
      <c r="E207" s="1612">
        <f t="shared" si="9"/>
        <v>62521.561193372887</v>
      </c>
      <c r="F207" s="408">
        <f t="shared" si="4"/>
        <v>35206.660545806088</v>
      </c>
      <c r="G207" s="1270">
        <f>'10. ExpensesData'!$K538</f>
        <v>25616.55965754007</v>
      </c>
      <c r="H207" s="1163">
        <f t="shared" si="10"/>
        <v>9590.1008882660171</v>
      </c>
      <c r="I207" s="541">
        <f>'R. Results'!$C528*'9. SavingsData'!$H$108</f>
        <v>0</v>
      </c>
      <c r="J207" s="435">
        <f>'R. Results'!$D528*'9. SavingsData'!$H$108</f>
        <v>5470.1230807073634</v>
      </c>
      <c r="K207" s="917">
        <f>IF('11. CashData'!$I80&gt;0,0,-'11. CashData'!$I80)*$I$86</f>
        <v>0</v>
      </c>
      <c r="L207" s="918">
        <f>IF('11. CashData'!$J80&gt;0,0,-'11. CashData'!$J80)*$I$86</f>
        <v>2553.8080546035935</v>
      </c>
      <c r="M207" s="541">
        <f t="shared" si="5"/>
        <v>8023.931135310957</v>
      </c>
      <c r="N207" s="537">
        <f t="shared" si="6"/>
        <v>4518.3743708844095</v>
      </c>
    </row>
    <row r="208" spans="1:14" x14ac:dyDescent="0.25">
      <c r="A208" s="52">
        <f t="shared" si="7"/>
        <v>90</v>
      </c>
      <c r="B208" s="334">
        <f t="shared" si="8"/>
        <v>85</v>
      </c>
      <c r="C208" s="1100">
        <f>'R. Results'!$L878</f>
        <v>12466.659875359652</v>
      </c>
      <c r="D208" s="1100">
        <f>'R. Results'!$M878</f>
        <v>51200.250147240818</v>
      </c>
      <c r="E208" s="1612">
        <f t="shared" si="9"/>
        <v>63666.910022600467</v>
      </c>
      <c r="F208" s="408">
        <f t="shared" si="4"/>
        <v>35148.647614781112</v>
      </c>
      <c r="G208" s="1270">
        <f>'10. ExpensesData'!$K539</f>
        <v>26128.890850690877</v>
      </c>
      <c r="H208" s="1163">
        <f t="shared" si="10"/>
        <v>9019.7567640902344</v>
      </c>
      <c r="I208" s="541">
        <f>'R. Results'!$C529*'9. SavingsData'!$H$108</f>
        <v>0</v>
      </c>
      <c r="J208" s="435">
        <f>'R. Results'!$D529*'9. SavingsData'!$H$108</f>
        <v>5566.7683079070084</v>
      </c>
      <c r="K208" s="917">
        <f>IF('11. CashData'!$I81&gt;0,0,-'11. CashData'!$I81)*$I$86</f>
        <v>0</v>
      </c>
      <c r="L208" s="918">
        <f>IF('11. CashData'!$J81&gt;0,0,-'11. CashData'!$J81)*$I$86</f>
        <v>2631.3141151350578</v>
      </c>
      <c r="M208" s="541">
        <f t="shared" si="5"/>
        <v>8198.0824230420658</v>
      </c>
      <c r="N208" s="537">
        <f t="shared" si="6"/>
        <v>4525.9226512194246</v>
      </c>
    </row>
    <row r="209" spans="1:15" x14ac:dyDescent="0.25">
      <c r="A209" s="52">
        <f t="shared" si="7"/>
        <v>91</v>
      </c>
      <c r="B209" s="334">
        <f t="shared" si="8"/>
        <v>86</v>
      </c>
      <c r="C209" s="1100">
        <f>'R. Results'!$L879</f>
        <v>12715.993072866841</v>
      </c>
      <c r="D209" s="1100">
        <f>'R. Results'!$M879</f>
        <v>36539.470046506467</v>
      </c>
      <c r="E209" s="1612">
        <f t="shared" si="9"/>
        <v>49255.463119373308</v>
      </c>
      <c r="F209" s="408">
        <f t="shared" si="4"/>
        <v>26659.320893558528</v>
      </c>
      <c r="G209" s="1270">
        <f>'10. ExpensesData'!$K540</f>
        <v>26651.468667704685</v>
      </c>
      <c r="H209" s="1163">
        <f t="shared" si="10"/>
        <v>7.8522258538432652</v>
      </c>
      <c r="I209" s="541">
        <f>'R. Results'!$C530*'9. SavingsData'!$H$108</f>
        <v>0</v>
      </c>
      <c r="J209" s="435">
        <f>'R. Results'!$D530*'9. SavingsData'!$H$108</f>
        <v>5663.115680074975</v>
      </c>
      <c r="K209" s="917">
        <f>IF('11. CashData'!$I82&gt;0,0,-'11. CashData'!$I82)*$I$86</f>
        <v>0</v>
      </c>
      <c r="L209" s="918">
        <f>IF('11. CashData'!$J82&gt;0,0,-'11. CashData'!$J82)*$I$86</f>
        <v>2716.0960998908363</v>
      </c>
      <c r="M209" s="541">
        <f t="shared" si="5"/>
        <v>8379.2117799658117</v>
      </c>
      <c r="N209" s="537">
        <f t="shared" si="6"/>
        <v>4535.2146042320364</v>
      </c>
    </row>
    <row r="210" spans="1:15" x14ac:dyDescent="0.25">
      <c r="A210" s="141">
        <f t="shared" si="7"/>
        <v>92</v>
      </c>
      <c r="B210" s="539">
        <f t="shared" si="8"/>
        <v>87</v>
      </c>
      <c r="C210" s="1132">
        <f>'R. Results'!$L880</f>
        <v>0</v>
      </c>
      <c r="D210" s="1132">
        <f>'R. Results'!$M880</f>
        <v>3500</v>
      </c>
      <c r="E210" s="1612">
        <f t="shared" si="9"/>
        <v>3500</v>
      </c>
      <c r="F210" s="550">
        <f t="shared" si="4"/>
        <v>1857.2165623122762</v>
      </c>
      <c r="G210" s="1568">
        <f>'10. ExpensesData'!$K541</f>
        <v>27184.498041058789</v>
      </c>
      <c r="H210" s="1569">
        <f t="shared" si="10"/>
        <v>-25327.281478746514</v>
      </c>
      <c r="I210" s="541">
        <f>'R. Results'!$C531*'9. SavingsData'!$H$108</f>
        <v>0</v>
      </c>
      <c r="J210" s="551">
        <f>'R. Results'!$D531*'9. SavingsData'!$H$108</f>
        <v>5765.4697695189789</v>
      </c>
      <c r="K210" s="1570">
        <f>IF('11. CashData'!$I83&gt;0,0,-'11. CashData'!$I83)*$I$86</f>
        <v>0</v>
      </c>
      <c r="L210" s="1130">
        <f>IF('11. CashData'!$J83&gt;0,0,-'11. CashData'!$J83)*$I$86</f>
        <v>2802.6644563607715</v>
      </c>
      <c r="M210" s="541">
        <f t="shared" si="5"/>
        <v>8568.1342258797504</v>
      </c>
      <c r="N210" s="552">
        <f t="shared" si="6"/>
        <v>4546.5373692624416</v>
      </c>
    </row>
    <row r="211" spans="1:15" x14ac:dyDescent="0.25">
      <c r="A211" s="52">
        <f t="shared" si="7"/>
        <v>93</v>
      </c>
      <c r="B211" s="334">
        <f t="shared" si="8"/>
        <v>88</v>
      </c>
      <c r="C211" s="1100">
        <f>'R. Results'!$L881</f>
        <v>0</v>
      </c>
      <c r="D211" s="1100">
        <f>'R. Results'!$M881</f>
        <v>0</v>
      </c>
      <c r="E211" s="1612">
        <f t="shared" si="9"/>
        <v>0</v>
      </c>
      <c r="F211" s="408">
        <f t="shared" si="4"/>
        <v>0</v>
      </c>
      <c r="G211" s="1270">
        <f>'10. ExpensesData'!$K542</f>
        <v>28545.136348555807</v>
      </c>
      <c r="H211" s="1163">
        <f t="shared" si="10"/>
        <v>-28545.136348555807</v>
      </c>
      <c r="I211" s="541">
        <f>'R. Results'!$C532*'9. SavingsData'!$H$108</f>
        <v>0</v>
      </c>
      <c r="J211" s="435">
        <f>'R. Results'!$D532*'9. SavingsData'!$H$108</f>
        <v>0</v>
      </c>
      <c r="K211" s="917">
        <f>IF('11. CashData'!$I84&gt;0,0,-'11. CashData'!$I84)*$I$86</f>
        <v>0</v>
      </c>
      <c r="L211" s="918">
        <f>IF('11. CashData'!$J84&gt;0,0,-'11. CashData'!$J84)*$I$86</f>
        <v>7945.171703387291</v>
      </c>
      <c r="M211" s="541">
        <f t="shared" si="5"/>
        <v>7945.171703387291</v>
      </c>
      <c r="N211" s="537">
        <f t="shared" si="6"/>
        <v>4133.3065764553821</v>
      </c>
      <c r="O211" s="1153"/>
    </row>
    <row r="212" spans="1:15" x14ac:dyDescent="0.25">
      <c r="A212" s="52">
        <f t="shared" si="7"/>
        <v>94</v>
      </c>
      <c r="B212" s="334">
        <f t="shared" si="8"/>
        <v>89</v>
      </c>
      <c r="C212" s="1100">
        <f>'R. Results'!$L882</f>
        <v>0</v>
      </c>
      <c r="D212" s="1100">
        <f>'R. Results'!$M882</f>
        <v>0</v>
      </c>
      <c r="E212" s="1612">
        <f t="shared" si="9"/>
        <v>0</v>
      </c>
      <c r="F212" s="408">
        <f t="shared" si="4"/>
        <v>0</v>
      </c>
      <c r="G212" s="1270">
        <f>'10. ExpensesData'!$K543</f>
        <v>29116.039075526918</v>
      </c>
      <c r="H212" s="1163">
        <f t="shared" si="10"/>
        <v>-29116.039075526918</v>
      </c>
      <c r="I212" s="541">
        <f>'R. Results'!$C533*'9. SavingsData'!$H$108</f>
        <v>0</v>
      </c>
      <c r="J212" s="435">
        <f>'R. Results'!$D533*'9. SavingsData'!$H$108</f>
        <v>0</v>
      </c>
      <c r="K212" s="917">
        <f>IF('11. CashData'!$I85&gt;0,0,-'11. CashData'!$I85)*$I$86</f>
        <v>0</v>
      </c>
      <c r="L212" s="918">
        <f>IF('11. CashData'!$J85&gt;0,0,-'11. CashData'!$J85)*$I$86</f>
        <v>0</v>
      </c>
      <c r="M212" s="541">
        <f t="shared" si="5"/>
        <v>0</v>
      </c>
      <c r="N212" s="537">
        <f t="shared" si="6"/>
        <v>0</v>
      </c>
    </row>
    <row r="213" spans="1:15" x14ac:dyDescent="0.25">
      <c r="A213" s="52">
        <f t="shared" si="7"/>
        <v>95</v>
      </c>
      <c r="B213" s="334">
        <f t="shared" si="8"/>
        <v>90</v>
      </c>
      <c r="C213" s="1100">
        <f>'R. Results'!$L883</f>
        <v>0</v>
      </c>
      <c r="D213" s="1100">
        <f>'R. Results'!$M883</f>
        <v>0</v>
      </c>
      <c r="E213" s="1612">
        <f t="shared" si="9"/>
        <v>0</v>
      </c>
      <c r="F213" s="408">
        <f t="shared" si="4"/>
        <v>0</v>
      </c>
      <c r="G213" s="1270">
        <f>'10. ExpensesData'!$K544</f>
        <v>29698.359857037456</v>
      </c>
      <c r="H213" s="1163">
        <f t="shared" si="10"/>
        <v>-29698.359857037456</v>
      </c>
      <c r="I213" s="541">
        <f>'R. Results'!$C534*'9. SavingsData'!$H$108</f>
        <v>0</v>
      </c>
      <c r="J213" s="435">
        <f>'R. Results'!$D534*'9. SavingsData'!$H$108</f>
        <v>0</v>
      </c>
      <c r="K213" s="917">
        <f>IF('11. CashData'!$I86&gt;0,0,-'11. CashData'!$I86)*$I$86</f>
        <v>0</v>
      </c>
      <c r="L213" s="918">
        <f>IF('11. CashData'!$J86&gt;0,0,-'11. CashData'!$J86)*$I$86</f>
        <v>0</v>
      </c>
      <c r="M213" s="541">
        <f t="shared" si="5"/>
        <v>0</v>
      </c>
      <c r="N213" s="537">
        <f t="shared" si="6"/>
        <v>0</v>
      </c>
      <c r="O213" s="1155"/>
    </row>
    <row r="214" spans="1:15" ht="15.75" thickBot="1" x14ac:dyDescent="0.3">
      <c r="A214" s="142">
        <f t="shared" si="7"/>
        <v>96</v>
      </c>
      <c r="B214" s="335">
        <f t="shared" si="8"/>
        <v>91</v>
      </c>
      <c r="C214" s="1101">
        <f>'R. Results'!$L884</f>
        <v>0</v>
      </c>
      <c r="D214" s="1102">
        <f>'R. Results'!$M884</f>
        <v>0</v>
      </c>
      <c r="E214" s="1613">
        <f t="shared" si="9"/>
        <v>0</v>
      </c>
      <c r="F214" s="409">
        <f t="shared" si="4"/>
        <v>0</v>
      </c>
      <c r="G214" s="1271">
        <f>'10. ExpensesData'!$K545</f>
        <v>30292.327054178204</v>
      </c>
      <c r="H214" s="1165">
        <f t="shared" si="10"/>
        <v>-30292.327054178204</v>
      </c>
      <c r="I214" s="1105">
        <f>'R. Results'!$C535*'9. SavingsData'!$H$108</f>
        <v>0</v>
      </c>
      <c r="J214" s="436">
        <f>'R. Results'!$D535*'9. SavingsData'!$H$108</f>
        <v>0</v>
      </c>
      <c r="K214" s="919">
        <f>IF('11. CashData'!$I87&gt;0,0,-'11. CashData'!$I87)*$I$86</f>
        <v>0</v>
      </c>
      <c r="L214" s="920">
        <f>IF('11. CashData'!$J87&gt;0,0,-'11. CashData'!$J87)*$I$86</f>
        <v>0</v>
      </c>
      <c r="M214" s="1105">
        <f t="shared" si="5"/>
        <v>0</v>
      </c>
      <c r="N214" s="538">
        <f t="shared" si="6"/>
        <v>0</v>
      </c>
      <c r="O214" s="1183"/>
    </row>
    <row r="215" spans="1:15" ht="15.75" thickTop="1" x14ac:dyDescent="0.25">
      <c r="A215" s="38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14"/>
      <c r="N215" s="1228"/>
      <c r="O215" s="1183"/>
    </row>
    <row r="216" spans="1:15" ht="15.75" thickBot="1" x14ac:dyDescent="0.3">
      <c r="A216" s="38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1228"/>
      <c r="O216" s="1183"/>
    </row>
    <row r="217" spans="1:15" ht="19.5" thickTop="1" x14ac:dyDescent="0.3">
      <c r="A217" s="265" t="s">
        <v>111</v>
      </c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277"/>
      <c r="O217" s="1183"/>
    </row>
    <row r="218" spans="1:15" x14ac:dyDescent="0.25">
      <c r="A218" s="139" t="s">
        <v>792</v>
      </c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1278"/>
      <c r="O218" s="1183"/>
    </row>
    <row r="219" spans="1:15" s="1183" customFormat="1" x14ac:dyDescent="0.25">
      <c r="A219" s="1267" t="s">
        <v>821</v>
      </c>
      <c r="B219" s="1227"/>
      <c r="C219" s="1237"/>
      <c r="D219" s="1238"/>
      <c r="E219" s="1238"/>
      <c r="F219" s="1238"/>
      <c r="G219" s="1238"/>
      <c r="H219" s="1238"/>
      <c r="I219" s="1238"/>
      <c r="J219" s="1227"/>
      <c r="K219" s="1227"/>
      <c r="L219" s="1371"/>
      <c r="M219" s="1227"/>
      <c r="N219" s="1278"/>
    </row>
    <row r="220" spans="1:15" s="1183" customFormat="1" x14ac:dyDescent="0.25">
      <c r="A220" s="1267" t="s">
        <v>833</v>
      </c>
      <c r="B220" s="1227"/>
      <c r="C220" s="1237"/>
      <c r="D220" s="1238"/>
      <c r="E220" s="1238"/>
      <c r="F220" s="1238"/>
      <c r="G220" s="1238"/>
      <c r="H220" s="1238"/>
      <c r="I220" s="1238"/>
      <c r="J220" s="1227"/>
      <c r="K220" s="1227"/>
      <c r="L220" s="1227"/>
      <c r="M220" s="1227"/>
      <c r="N220" s="1278"/>
    </row>
    <row r="221" spans="1:15" s="1183" customFormat="1" x14ac:dyDescent="0.25">
      <c r="A221" s="1296"/>
      <c r="B221" s="1227"/>
      <c r="C221" s="1237"/>
      <c r="D221" s="1238"/>
      <c r="E221" s="1238"/>
      <c r="F221" s="1238"/>
      <c r="G221" s="1238"/>
      <c r="H221" s="1238"/>
      <c r="I221" s="1238"/>
      <c r="J221" s="1227"/>
      <c r="K221" s="1227"/>
      <c r="L221" s="1227"/>
      <c r="M221" s="1227"/>
      <c r="N221" s="1278"/>
    </row>
    <row r="222" spans="1:15" s="1183" customFormat="1" ht="15.75" thickBot="1" x14ac:dyDescent="0.3">
      <c r="A222" s="1064" t="s">
        <v>835</v>
      </c>
      <c r="B222" s="1227"/>
      <c r="C222" s="1237"/>
      <c r="D222" s="1238"/>
      <c r="E222" s="1238"/>
      <c r="F222" s="1238"/>
      <c r="G222" s="1238"/>
      <c r="H222" s="1238"/>
      <c r="I222" s="1238"/>
      <c r="J222" s="1227"/>
      <c r="K222" s="1227"/>
      <c r="L222" s="1227"/>
      <c r="M222" s="1227"/>
      <c r="N222" s="1278"/>
    </row>
    <row r="223" spans="1:15" s="1183" customFormat="1" ht="16.5" thickBot="1" x14ac:dyDescent="0.3">
      <c r="A223" s="85" t="s">
        <v>389</v>
      </c>
      <c r="B223" s="1288" t="str">
        <f>IF('S. Setup'!$J$86="Yes","State taxes are ADDED to the calculations.","State taxes are IGNORED.")</f>
        <v>State taxes are ADDED to the calculations.</v>
      </c>
      <c r="C223" s="638"/>
      <c r="D223" s="638"/>
      <c r="E223" s="638"/>
      <c r="F223" s="1289"/>
      <c r="G223" s="1238"/>
      <c r="H223" s="1155" t="s">
        <v>834</v>
      </c>
      <c r="I223" s="1295"/>
      <c r="J223" s="1294">
        <f>I75</f>
        <v>0.05</v>
      </c>
      <c r="K223" s="1227"/>
      <c r="L223" s="1227"/>
      <c r="M223" s="1227"/>
      <c r="N223" s="1278"/>
    </row>
    <row r="224" spans="1:15" s="67" customFormat="1" ht="15.75" thickBot="1" x14ac:dyDescent="0.3">
      <c r="A224" s="1267"/>
      <c r="B224" s="66"/>
      <c r="C224" s="66"/>
      <c r="D224" s="66"/>
      <c r="E224" s="66"/>
      <c r="F224" s="66"/>
      <c r="G224" s="66"/>
      <c r="H224" s="66"/>
      <c r="I224" s="66"/>
      <c r="J224" s="66"/>
      <c r="K224" s="66"/>
      <c r="L224" s="66"/>
      <c r="M224" s="154"/>
      <c r="N224" s="1278"/>
      <c r="O224" s="1183"/>
    </row>
    <row r="225" spans="1:15" ht="98.25" thickTop="1" thickBot="1" x14ac:dyDescent="0.3">
      <c r="A225" s="1190" t="s">
        <v>142</v>
      </c>
      <c r="B225" s="1191" t="s">
        <v>143</v>
      </c>
      <c r="C225" s="1192" t="s">
        <v>825</v>
      </c>
      <c r="D225" s="1192" t="s">
        <v>826</v>
      </c>
      <c r="E225" s="1192" t="s">
        <v>827</v>
      </c>
      <c r="F225" s="1192" t="s">
        <v>828</v>
      </c>
      <c r="G225" s="1192" t="s">
        <v>829</v>
      </c>
      <c r="H225" s="1192" t="s">
        <v>830</v>
      </c>
      <c r="I225" s="1192" t="s">
        <v>831</v>
      </c>
      <c r="J225" s="1291" t="s">
        <v>820</v>
      </c>
      <c r="K225" s="1293" t="str">
        <f>CONCATENATE("PV Total Estim. (Fed",(IF('S. Setup'!$J$86="yes","+State","")),") tax (includes LTCG)")</f>
        <v>PV Total Estim. (Fed+State) tax (includes LTCG)</v>
      </c>
      <c r="L225" s="1291" t="str">
        <f>CONCATENATE("Estimated (Fed",(IF('S. Setup'!$J$86="yes","+State","")),") Marginal tax rate")</f>
        <v>Estimated (Fed+State) Marginal tax rate</v>
      </c>
      <c r="M225" s="1291" t="str">
        <f>CONCATENATE("Average Est. (Fed",(IF('S. Setup'!$J$86="yes","+State","")),")  tax rate")</f>
        <v>Average Est. (Fed+State)  tax rate</v>
      </c>
      <c r="N225" s="1292" t="str">
        <f>CONCATENATE("PV Estimated (Fed",(IF('S. Setup'!$J$86="yes","+State","")),")  tax rate (includes LTCG+Fed surtaxes)")</f>
        <v>PV Estimated (Fed+State)  tax rate (includes LTCG+Fed surtaxes)</v>
      </c>
      <c r="O225" s="215"/>
    </row>
    <row r="226" spans="1:15" ht="15.75" thickTop="1" x14ac:dyDescent="0.25">
      <c r="A226" s="1193">
        <f>'1. AgeData'!$D$30</f>
        <v>60</v>
      </c>
      <c r="B226" s="1194">
        <f>'1. AgeData'!$D$31</f>
        <v>55</v>
      </c>
      <c r="C226" s="1231">
        <f t="shared" ref="C226:C262" si="11">IF(AND($H178&gt;=$M$113,$H178&lt;$M$114), ($M$124+($H178*$J$113)), 0)</f>
        <v>0</v>
      </c>
      <c r="D226" s="1229">
        <f t="shared" ref="D226:D262" si="12">IF(AND($H178&gt;=$M$114,$H178&lt;$M$115), ($M$125+($H178-$M$114-1)*$J$114), 0)</f>
        <v>0</v>
      </c>
      <c r="E226" s="1229">
        <f t="shared" ref="E226:E262" si="13">IF(AND($H178&gt;=$M$115,$H178&lt;$M$116), ($M$126+($H178-$M$115-1)*$J$115), 0)</f>
        <v>14558.25</v>
      </c>
      <c r="F226" s="1229">
        <f t="shared" ref="F226:F262" si="14">IF(AND($H178&gt;=$M$116,$H178&lt;$M$117), ($M$127+($H178-$M$116-1)*$J$116), 0)</f>
        <v>0</v>
      </c>
      <c r="G226" s="1229">
        <f t="shared" ref="G226:G262" si="15">IF(AND($H178&gt;=$M$117,$H178&lt;$M$118), ($M$128+($H178-$M$117-1)*$J$117), 0)</f>
        <v>0</v>
      </c>
      <c r="H226" s="1229">
        <f t="shared" ref="H226:H262" si="16">IF(AND($H178&gt;=$M$118,$H178&lt;$M$119), ($M$129+($H178-$M$118-1)*$J$118), 0)</f>
        <v>0</v>
      </c>
      <c r="I226" s="1230">
        <f t="shared" ref="I226:I262" si="17">IF($H178&gt;=M$119, ($M$130+($H178-$M$119-1)*$J$119), 0)</f>
        <v>0</v>
      </c>
      <c r="J226" s="1563">
        <f>IF(SUM(C226:I226)=0,0,(IF(AND($H$102="MFJ",$H178&gt;=$L$87),($I$87+$H$94),  IF(AND($H$102="SF",$H178&gt;=$K$87),($I$87+$H$94),$I$86))) + (IF(AND($H$178&gt;=$K$93,$H178&lt;$L$87),$H$93,0)))</f>
        <v>0.15</v>
      </c>
      <c r="K226" s="1564">
        <f>IF(SUM(C226:I226)=0,0,SUM(C226:I226)+$I$86*(I178+J178)+(IF('S. Setup'!$J$86="yes",$I$75,0)*H178))</f>
        <v>19446.5</v>
      </c>
      <c r="L226" s="1565">
        <f>IF(SUM(C226:I226)=0,0,IF(I226&lt;&gt;0,$J$119,IF(H226&lt;&gt;0,$J$118,IF(G226&lt;&gt;0,$J$117,IF(F226&lt;&gt;0,$J$116,IF(E226&lt;&gt;0,$J$115,IF(D226&lt;&gt;0,$J$114,$J$114))))))+IF('S. Setup'!$J$86="yes",$I$75,0))</f>
        <v>0.3</v>
      </c>
      <c r="M226" s="1195">
        <f>IF(E178=0,0,(K226/E178))</f>
        <v>0.18421351773788661</v>
      </c>
      <c r="N226" s="1282">
        <f t="shared" ref="N226:N262" si="18">-FV($I$65,(A178-A$178),0,K226)</f>
        <v>19446.5</v>
      </c>
      <c r="O226" s="215"/>
    </row>
    <row r="227" spans="1:15" x14ac:dyDescent="0.25">
      <c r="A227" s="52">
        <f>A226+1</f>
        <v>61</v>
      </c>
      <c r="B227" s="334">
        <f>B226+1</f>
        <v>56</v>
      </c>
      <c r="C227" s="1232">
        <f t="shared" si="11"/>
        <v>0</v>
      </c>
      <c r="D227" s="540">
        <f t="shared" si="12"/>
        <v>0</v>
      </c>
      <c r="E227" s="540">
        <f t="shared" si="13"/>
        <v>14464.106556372546</v>
      </c>
      <c r="F227" s="540">
        <f t="shared" si="14"/>
        <v>0</v>
      </c>
      <c r="G227" s="540">
        <f t="shared" si="15"/>
        <v>0</v>
      </c>
      <c r="H227" s="540">
        <f t="shared" si="16"/>
        <v>0</v>
      </c>
      <c r="I227" s="1233">
        <f t="shared" si="17"/>
        <v>0</v>
      </c>
      <c r="J227" s="1286">
        <f t="shared" ref="J227:J262" si="19">IF(SUM(C227:I227)=0,0,(IF(AND($H$102="MFJ",$H179&gt;=$L$87),($I$87+$H$94),  IF(AND($H$102="SF",$H179&gt;=$K$87),($I$87+$H$94),$I$86))) + (IF(AND($H$178&gt;=$K$93,$H179&lt;$L$87),$H$93,0)))</f>
        <v>0.15</v>
      </c>
      <c r="K227" s="1270">
        <f>IF(SUM(C227:I227)=0,0,SUM(C227:I227)+$I$86*(I179+J179)+(IF('S. Setup'!$J$86="yes",$I$75,0)*H179))</f>
        <v>19344.921117647056</v>
      </c>
      <c r="L227" s="333">
        <f>IF(SUM(C227:I227)=0,0,IF(I227&lt;&gt;0,$J$119,IF(H227&lt;&gt;0,$J$118,IF(G227&lt;&gt;0,$J$117,IF(F227&lt;&gt;0,$J$116,IF(E227&lt;&gt;0,$J$115,IF(D227&lt;&gt;0,$J$114,$J$114))))))+IF('S. Setup'!$J$86="yes",$I$75,0))</f>
        <v>0.3</v>
      </c>
      <c r="M227" s="1558">
        <f>IF(E179=0,0,(K227/E179))</f>
        <v>0.17983967348723356</v>
      </c>
      <c r="N227" s="1283">
        <f t="shared" si="18"/>
        <v>19731.819539999997</v>
      </c>
      <c r="O227" s="215"/>
    </row>
    <row r="228" spans="1:15" x14ac:dyDescent="0.25">
      <c r="A228" s="52">
        <f t="shared" ref="A228:B243" si="20">A227+1</f>
        <v>62</v>
      </c>
      <c r="B228" s="334">
        <f t="shared" si="20"/>
        <v>57</v>
      </c>
      <c r="C228" s="1232">
        <f t="shared" si="11"/>
        <v>0</v>
      </c>
      <c r="D228" s="540">
        <f t="shared" si="12"/>
        <v>0</v>
      </c>
      <c r="E228" s="540">
        <f t="shared" si="13"/>
        <v>14359.652164670471</v>
      </c>
      <c r="F228" s="540">
        <f t="shared" si="14"/>
        <v>0</v>
      </c>
      <c r="G228" s="540">
        <f t="shared" si="15"/>
        <v>0</v>
      </c>
      <c r="H228" s="540">
        <f t="shared" si="16"/>
        <v>0</v>
      </c>
      <c r="I228" s="1233">
        <f t="shared" si="17"/>
        <v>0</v>
      </c>
      <c r="J228" s="1286">
        <f t="shared" si="19"/>
        <v>0.15</v>
      </c>
      <c r="K228" s="1270">
        <f>IF(SUM(C228:I228)=0,0,SUM(C228:I228)+$I$86*(I180+J180)+(IF('S. Setup'!$J$86="yes",$I$75,0)*H180))</f>
        <v>19228.962965553095</v>
      </c>
      <c r="L228" s="333">
        <f>IF(SUM(C228:I228)=0,0,IF(I228&lt;&gt;0,$J$119,IF(H228&lt;&gt;0,$J$118,IF(G228&lt;&gt;0,$J$117,IF(F228&lt;&gt;0,$J$116,IF(E228&lt;&gt;0,$J$115,IF(D228&lt;&gt;0,$J$114,$J$114))))))+IF('S. Setup'!$J$86="yes",$I$75,0))</f>
        <v>0.3</v>
      </c>
      <c r="M228" s="1558">
        <f t="shared" ref="M228:M262" si="21">IF(E180=0,0,(K228/E180))</f>
        <v>0.17549353734027417</v>
      </c>
      <c r="N228" s="1283">
        <f t="shared" si="18"/>
        <v>20005.81306936144</v>
      </c>
      <c r="O228" s="1211"/>
    </row>
    <row r="229" spans="1:15" x14ac:dyDescent="0.25">
      <c r="A229" s="52">
        <f t="shared" si="20"/>
        <v>63</v>
      </c>
      <c r="B229" s="334">
        <f t="shared" si="20"/>
        <v>58</v>
      </c>
      <c r="C229" s="1232">
        <f t="shared" si="11"/>
        <v>0</v>
      </c>
      <c r="D229" s="540">
        <f t="shared" si="12"/>
        <v>7235.1809349023479</v>
      </c>
      <c r="E229" s="540">
        <f t="shared" si="13"/>
        <v>0</v>
      </c>
      <c r="F229" s="540">
        <f t="shared" si="14"/>
        <v>0</v>
      </c>
      <c r="G229" s="540">
        <f t="shared" si="15"/>
        <v>0</v>
      </c>
      <c r="H229" s="540">
        <f t="shared" si="16"/>
        <v>0</v>
      </c>
      <c r="I229" s="1233">
        <f t="shared" si="17"/>
        <v>0</v>
      </c>
      <c r="J229" s="1286">
        <f t="shared" si="19"/>
        <v>0.15</v>
      </c>
      <c r="K229" s="1270">
        <f>IF(SUM(C229:I229)=0,0,SUM(C229:I229)+$I$86*(I181+J181)+(IF('S. Setup'!$J$86="yes",$I$75,0)*H181))</f>
        <v>10268.001241932736</v>
      </c>
      <c r="L229" s="333">
        <f>IF(SUM(C229:I229)=0,0,IF(I229&lt;&gt;0,$J$119,IF(H229&lt;&gt;0,$J$118,IF(G229&lt;&gt;0,$J$117,IF(F229&lt;&gt;0,$J$116,IF(E229&lt;&gt;0,$J$115,IF(D229&lt;&gt;0,$J$114,$J$114))))))+IF('S. Setup'!$J$86="yes",$I$75,0))</f>
        <v>0.2</v>
      </c>
      <c r="M229" s="1558">
        <f t="shared" si="21"/>
        <v>0.14074624618924303</v>
      </c>
      <c r="N229" s="1283">
        <f t="shared" si="18"/>
        <v>10896.485061948953</v>
      </c>
      <c r="O229" s="215"/>
    </row>
    <row r="230" spans="1:15" s="215" customFormat="1" x14ac:dyDescent="0.25">
      <c r="A230" s="141">
        <f t="shared" si="20"/>
        <v>64</v>
      </c>
      <c r="B230" s="539">
        <f t="shared" si="20"/>
        <v>59</v>
      </c>
      <c r="C230" s="1232">
        <f t="shared" si="11"/>
        <v>0</v>
      </c>
      <c r="D230" s="540">
        <f t="shared" si="12"/>
        <v>7010.7850659941696</v>
      </c>
      <c r="E230" s="540">
        <f t="shared" si="13"/>
        <v>0</v>
      </c>
      <c r="F230" s="540">
        <f t="shared" si="14"/>
        <v>0</v>
      </c>
      <c r="G230" s="540">
        <f t="shared" si="15"/>
        <v>0</v>
      </c>
      <c r="H230" s="540">
        <f t="shared" si="16"/>
        <v>0</v>
      </c>
      <c r="I230" s="1233">
        <f t="shared" si="17"/>
        <v>0</v>
      </c>
      <c r="J230" s="1286">
        <f t="shared" si="19"/>
        <v>0.15</v>
      </c>
      <c r="K230" s="1270">
        <f>IF(SUM(C230:I230)=0,0,SUM(C230:I230)+$I$86*(I182+J182)+(IF('S. Setup'!$J$86="yes",$I$75,0)*H182))</f>
        <v>9936.8637041482871</v>
      </c>
      <c r="L230" s="333">
        <f>IF(SUM(C230:I230)=0,0,IF(I230&lt;&gt;0,$J$119,IF(H230&lt;&gt;0,$J$118,IF(G230&lt;&gt;0,$J$117,IF(F230&lt;&gt;0,$J$116,IF(E230&lt;&gt;0,$J$115,IF(D230&lt;&gt;0,$J$114,$J$114))))))+IF('S. Setup'!$J$86="yes",$I$75,0))</f>
        <v>0.2</v>
      </c>
      <c r="M230" s="1558">
        <f t="shared" si="21"/>
        <v>0.13592789370855315</v>
      </c>
      <c r="N230" s="1283">
        <f t="shared" si="18"/>
        <v>10755.980842906831</v>
      </c>
    </row>
    <row r="231" spans="1:15" x14ac:dyDescent="0.25">
      <c r="A231" s="52">
        <f t="shared" si="20"/>
        <v>65</v>
      </c>
      <c r="B231" s="334">
        <f t="shared" si="20"/>
        <v>60</v>
      </c>
      <c r="C231" s="1232">
        <f t="shared" si="11"/>
        <v>0</v>
      </c>
      <c r="D231" s="540">
        <f t="shared" si="12"/>
        <v>6793.7631483617579</v>
      </c>
      <c r="E231" s="540">
        <f t="shared" si="13"/>
        <v>0</v>
      </c>
      <c r="F231" s="540">
        <f t="shared" si="14"/>
        <v>0</v>
      </c>
      <c r="G231" s="540">
        <f t="shared" si="15"/>
        <v>0</v>
      </c>
      <c r="H231" s="540">
        <f t="shared" si="16"/>
        <v>0</v>
      </c>
      <c r="I231" s="1233">
        <f t="shared" si="17"/>
        <v>0</v>
      </c>
      <c r="J231" s="1286">
        <f t="shared" si="19"/>
        <v>0.15</v>
      </c>
      <c r="K231" s="1270">
        <f>IF(SUM(C231:I231)=0,0,SUM(C231:I231)+$I$86*(I183+J183)+(IF('S. Setup'!$J$86="yes",$I$75,0)*H183))</f>
        <v>9617.107593361281</v>
      </c>
      <c r="L231" s="333">
        <f>IF(SUM(C231:I231)=0,0,IF(I231&lt;&gt;0,$J$119,IF(H231&lt;&gt;0,$J$118,IF(G231&lt;&gt;0,$J$117,IF(F231&lt;&gt;0,$J$116,IF(E231&lt;&gt;0,$J$115,IF(D231&lt;&gt;0,$J$114,$J$114))))))+IF('S. Setup'!$J$86="yes",$I$75,0))</f>
        <v>0.2</v>
      </c>
      <c r="M231" s="1558">
        <f t="shared" si="21"/>
        <v>0.13121760758265827</v>
      </c>
      <c r="N231" s="1283">
        <f t="shared" si="18"/>
        <v>10618.063876139142</v>
      </c>
      <c r="O231" s="215"/>
    </row>
    <row r="232" spans="1:15" x14ac:dyDescent="0.25">
      <c r="A232" s="52">
        <f t="shared" si="20"/>
        <v>66</v>
      </c>
      <c r="B232" s="334">
        <f t="shared" si="20"/>
        <v>61</v>
      </c>
      <c r="C232" s="1232">
        <f t="shared" si="11"/>
        <v>0</v>
      </c>
      <c r="D232" s="540">
        <f t="shared" si="12"/>
        <v>0</v>
      </c>
      <c r="E232" s="540">
        <f t="shared" si="13"/>
        <v>17098.835727749331</v>
      </c>
      <c r="F232" s="540">
        <f t="shared" si="14"/>
        <v>0</v>
      </c>
      <c r="G232" s="540">
        <f t="shared" si="15"/>
        <v>0</v>
      </c>
      <c r="H232" s="540">
        <f t="shared" si="16"/>
        <v>0</v>
      </c>
      <c r="I232" s="1233">
        <f t="shared" si="17"/>
        <v>0</v>
      </c>
      <c r="J232" s="1286">
        <f t="shared" si="19"/>
        <v>0.15</v>
      </c>
      <c r="K232" s="1270">
        <f>IF(SUM(C232:I232)=0,0,SUM(C232:I232)+$I$86*(I184+J184)+(IF('S. Setup'!$J$86="yes",$I$75,0)*H184))</f>
        <v>22440.293504947102</v>
      </c>
      <c r="L232" s="333">
        <f>IF(SUM(C232:I232)=0,0,IF(I232&lt;&gt;0,$J$119,IF(H232&lt;&gt;0,$J$118,IF(G232&lt;&gt;0,$J$117,IF(F232&lt;&gt;0,$J$116,IF(E232&lt;&gt;0,$J$115,IF(D232&lt;&gt;0,$J$114,$J$114))))))+IF('S. Setup'!$J$86="yes",$I$75,0))</f>
        <v>0.3</v>
      </c>
      <c r="M232" s="1558">
        <f t="shared" si="21"/>
        <v>0.16968617526395918</v>
      </c>
      <c r="N232" s="1283">
        <f t="shared" si="18"/>
        <v>25271.415222525455</v>
      </c>
    </row>
    <row r="233" spans="1:15" x14ac:dyDescent="0.25">
      <c r="A233" s="52">
        <f t="shared" si="20"/>
        <v>67</v>
      </c>
      <c r="B233" s="334">
        <f t="shared" si="20"/>
        <v>62</v>
      </c>
      <c r="C233" s="1232">
        <f t="shared" si="11"/>
        <v>0</v>
      </c>
      <c r="D233" s="540">
        <f t="shared" si="12"/>
        <v>0</v>
      </c>
      <c r="E233" s="540">
        <f t="shared" si="13"/>
        <v>17062.4864972496</v>
      </c>
      <c r="F233" s="540">
        <f t="shared" si="14"/>
        <v>0</v>
      </c>
      <c r="G233" s="540">
        <f t="shared" si="15"/>
        <v>0</v>
      </c>
      <c r="H233" s="540">
        <f t="shared" si="16"/>
        <v>0</v>
      </c>
      <c r="I233" s="1233">
        <f t="shared" si="17"/>
        <v>0</v>
      </c>
      <c r="J233" s="1286">
        <f t="shared" si="19"/>
        <v>0.15</v>
      </c>
      <c r="K233" s="1270">
        <f>IF(SUM(C233:I233)=0,0,SUM(C233:I233)+$I$86*(I185+J185)+(IF('S. Setup'!$J$86="yes",$I$75,0)*H185))</f>
        <v>22460.234817640201</v>
      </c>
      <c r="L233" s="333">
        <f>IF(SUM(C233:I233)=0,0,IF(I233&lt;&gt;0,$J$119,IF(H233&lt;&gt;0,$J$118,IF(G233&lt;&gt;0,$J$117,IF(F233&lt;&gt;0,$J$116,IF(E233&lt;&gt;0,$J$115,IF(D233&lt;&gt;0,$J$114,$J$114))))))+IF('S. Setup'!$J$86="yes",$I$75,0))</f>
        <v>0.3</v>
      </c>
      <c r="M233" s="1558">
        <f t="shared" si="21"/>
        <v>0.16628215532101165</v>
      </c>
      <c r="N233" s="1283">
        <f t="shared" si="18"/>
        <v>25799.749827060634</v>
      </c>
    </row>
    <row r="234" spans="1:15" x14ac:dyDescent="0.25">
      <c r="A234" s="52">
        <f t="shared" si="20"/>
        <v>68</v>
      </c>
      <c r="B234" s="334">
        <f t="shared" si="20"/>
        <v>63</v>
      </c>
      <c r="C234" s="1232">
        <f t="shared" si="11"/>
        <v>0</v>
      </c>
      <c r="D234" s="540">
        <f t="shared" si="12"/>
        <v>0</v>
      </c>
      <c r="E234" s="540">
        <f t="shared" si="13"/>
        <v>17021.411008344232</v>
      </c>
      <c r="F234" s="540">
        <f t="shared" si="14"/>
        <v>0</v>
      </c>
      <c r="G234" s="540">
        <f t="shared" si="15"/>
        <v>0</v>
      </c>
      <c r="H234" s="540">
        <f t="shared" si="16"/>
        <v>0</v>
      </c>
      <c r="I234" s="1233">
        <f t="shared" si="17"/>
        <v>0</v>
      </c>
      <c r="J234" s="1286">
        <f t="shared" si="19"/>
        <v>0.15</v>
      </c>
      <c r="K234" s="1270">
        <f>IF(SUM(C234:I234)=0,0,SUM(C234:I234)+$I$86*(I186+J186)+(IF('S. Setup'!$J$86="yes",$I$75,0)*H186))</f>
        <v>22476.304650928778</v>
      </c>
      <c r="L234" s="333">
        <f>IF(SUM(C234:I234)=0,0,IF(I234&lt;&gt;0,$J$119,IF(H234&lt;&gt;0,$J$118,IF(G234&lt;&gt;0,$J$117,IF(F234&lt;&gt;0,$J$116,IF(E234&lt;&gt;0,$J$115,IF(D234&lt;&gt;0,$J$114,$J$114))))))+IF('S. Setup'!$J$86="yes",$I$75,0))</f>
        <v>0.3</v>
      </c>
      <c r="M234" s="1558">
        <f t="shared" si="21"/>
        <v>0.16293627347074482</v>
      </c>
      <c r="N234" s="1283">
        <f t="shared" si="18"/>
        <v>26334.573194525554</v>
      </c>
    </row>
    <row r="235" spans="1:15" x14ac:dyDescent="0.25">
      <c r="A235" s="52">
        <f t="shared" si="20"/>
        <v>69</v>
      </c>
      <c r="B235" s="539">
        <f t="shared" si="20"/>
        <v>64</v>
      </c>
      <c r="C235" s="1232">
        <f t="shared" si="11"/>
        <v>0</v>
      </c>
      <c r="D235" s="540">
        <f t="shared" si="12"/>
        <v>0</v>
      </c>
      <c r="E235" s="540">
        <f t="shared" si="13"/>
        <v>21322.626988819786</v>
      </c>
      <c r="F235" s="540">
        <f t="shared" si="14"/>
        <v>0</v>
      </c>
      <c r="G235" s="540">
        <f t="shared" si="15"/>
        <v>0</v>
      </c>
      <c r="H235" s="540">
        <f t="shared" si="16"/>
        <v>0</v>
      </c>
      <c r="I235" s="1233">
        <f t="shared" si="17"/>
        <v>0</v>
      </c>
      <c r="J235" s="1286">
        <f t="shared" si="19"/>
        <v>0.15</v>
      </c>
      <c r="K235" s="1270">
        <f>IF(SUM(C235:I235)=0,0,SUM(C235:I235)+$I$86*(I187+J187)+(IF('S. Setup'!$J$86="yes",$I$75,0)*H187))</f>
        <v>27695.013285824993</v>
      </c>
      <c r="L235" s="333">
        <f>IF(SUM(C235:I235)=0,0,IF(I235&lt;&gt;0,$J$119,IF(H235&lt;&gt;0,$J$118,IF(G235&lt;&gt;0,$J$117,IF(F235&lt;&gt;0,$J$116,IF(E235&lt;&gt;0,$J$115,IF(D235&lt;&gt;0,$J$114,$J$114))))))+IF('S. Setup'!$J$86="yes",$I$75,0))</f>
        <v>0.3</v>
      </c>
      <c r="M235" s="1558">
        <f t="shared" si="21"/>
        <v>0.17133364926030151</v>
      </c>
      <c r="N235" s="1283">
        <f t="shared" si="18"/>
        <v>33098.104565785616</v>
      </c>
    </row>
    <row r="236" spans="1:15" x14ac:dyDescent="0.25">
      <c r="A236" s="52">
        <f t="shared" si="20"/>
        <v>70</v>
      </c>
      <c r="B236" s="539">
        <f t="shared" si="20"/>
        <v>65</v>
      </c>
      <c r="C236" s="1232">
        <f t="shared" si="11"/>
        <v>0</v>
      </c>
      <c r="D236" s="540">
        <f t="shared" si="12"/>
        <v>0</v>
      </c>
      <c r="E236" s="540">
        <f t="shared" si="13"/>
        <v>22014.551797012151</v>
      </c>
      <c r="F236" s="540">
        <f t="shared" si="14"/>
        <v>0</v>
      </c>
      <c r="G236" s="540">
        <f t="shared" si="15"/>
        <v>0</v>
      </c>
      <c r="H236" s="540">
        <f t="shared" si="16"/>
        <v>0</v>
      </c>
      <c r="I236" s="1233">
        <f t="shared" si="17"/>
        <v>0</v>
      </c>
      <c r="J236" s="1286">
        <f t="shared" si="19"/>
        <v>0.15</v>
      </c>
      <c r="K236" s="1270">
        <f>IF(SUM(C236:I236)=0,0,SUM(C236:I236)+$I$86*(I188+J188)+(IF('S. Setup'!$J$86="yes",$I$75,0)*H188))</f>
        <v>28599.313363158064</v>
      </c>
      <c r="L236" s="333">
        <f>IF(SUM(C236:I236)=0,0,IF(I236&lt;&gt;0,$J$119,IF(H236&lt;&gt;0,$J$118,IF(G236&lt;&gt;0,$J$117,IF(F236&lt;&gt;0,$J$116,IF(E236&lt;&gt;0,$J$115,IF(D236&lt;&gt;0,$J$114,$J$114))))))+IF('S. Setup'!$J$86="yes",$I$75,0))</f>
        <v>0.3</v>
      </c>
      <c r="M236" s="1558">
        <f t="shared" si="21"/>
        <v>0.16958416536767038</v>
      </c>
      <c r="N236" s="1283">
        <f t="shared" si="18"/>
        <v>34862.403405371173</v>
      </c>
    </row>
    <row r="237" spans="1:15" x14ac:dyDescent="0.25">
      <c r="A237" s="52">
        <f t="shared" si="20"/>
        <v>71</v>
      </c>
      <c r="B237" s="334">
        <f t="shared" si="20"/>
        <v>66</v>
      </c>
      <c r="C237" s="1232">
        <f t="shared" si="11"/>
        <v>0</v>
      </c>
      <c r="D237" s="540">
        <f t="shared" si="12"/>
        <v>0</v>
      </c>
      <c r="E237" s="540">
        <f t="shared" si="13"/>
        <v>22045.089298104474</v>
      </c>
      <c r="F237" s="540">
        <f t="shared" si="14"/>
        <v>0</v>
      </c>
      <c r="G237" s="540">
        <f t="shared" si="15"/>
        <v>0</v>
      </c>
      <c r="H237" s="540">
        <f t="shared" si="16"/>
        <v>0</v>
      </c>
      <c r="I237" s="1233">
        <f t="shared" si="17"/>
        <v>0</v>
      </c>
      <c r="J237" s="1286">
        <f t="shared" si="19"/>
        <v>0.15</v>
      </c>
      <c r="K237" s="1270">
        <f>IF(SUM(C237:I237)=0,0,SUM(C237:I237)+$I$86*(I189+J189)+(IF('S. Setup'!$J$86="yes",$I$75,0)*H189))</f>
        <v>28736.79853224328</v>
      </c>
      <c r="L237" s="333">
        <f>IF(SUM(C237:I237)=0,0,IF(I237&lt;&gt;0,$J$119,IF(H237&lt;&gt;0,$J$118,IF(G237&lt;&gt;0,$J$117,IF(F237&lt;&gt;0,$J$116,IF(E237&lt;&gt;0,$J$115,IF(D237&lt;&gt;0,$J$114,$J$114))))))+IF('S. Setup'!$J$86="yes",$I$75,0))</f>
        <v>0.3</v>
      </c>
      <c r="M237" s="1558">
        <f t="shared" si="21"/>
        <v>0.16651507837629934</v>
      </c>
      <c r="N237" s="1283">
        <f t="shared" si="18"/>
        <v>35730.597000504436</v>
      </c>
    </row>
    <row r="238" spans="1:15" x14ac:dyDescent="0.25">
      <c r="A238" s="52">
        <f t="shared" si="20"/>
        <v>72</v>
      </c>
      <c r="B238" s="334">
        <f t="shared" si="20"/>
        <v>67</v>
      </c>
      <c r="C238" s="1232">
        <f t="shared" si="11"/>
        <v>0</v>
      </c>
      <c r="D238" s="540">
        <f t="shared" si="12"/>
        <v>0</v>
      </c>
      <c r="E238" s="540">
        <f t="shared" si="13"/>
        <v>18606.845059834501</v>
      </c>
      <c r="F238" s="540">
        <f t="shared" si="14"/>
        <v>0</v>
      </c>
      <c r="G238" s="540">
        <f t="shared" si="15"/>
        <v>0</v>
      </c>
      <c r="H238" s="540">
        <f t="shared" si="16"/>
        <v>0</v>
      </c>
      <c r="I238" s="1233">
        <f t="shared" si="17"/>
        <v>0</v>
      </c>
      <c r="J238" s="1286">
        <f t="shared" si="19"/>
        <v>0.15</v>
      </c>
      <c r="K238" s="1270">
        <f>IF(SUM(C238:I238)=0,0,SUM(C238:I238)+$I$86*(I190+J190)+(IF('S. Setup'!$J$86="yes",$I$75,0)*H190))</f>
        <v>24735.239518841794</v>
      </c>
      <c r="L238" s="333">
        <f>IF(SUM(C238:I238)=0,0,IF(I238&lt;&gt;0,$J$119,IF(H238&lt;&gt;0,$J$118,IF(G238&lt;&gt;0,$J$117,IF(F238&lt;&gt;0,$J$116,IF(E238&lt;&gt;0,$J$115,IF(D238&lt;&gt;0,$J$114,$J$114))))))+IF('S. Setup'!$J$86="yes",$I$75,0))</f>
        <v>0.3</v>
      </c>
      <c r="M238" s="1558">
        <f t="shared" si="21"/>
        <v>0.15555485170826217</v>
      </c>
      <c r="N238" s="1283">
        <f t="shared" si="18"/>
        <v>31370.264556310307</v>
      </c>
    </row>
    <row r="239" spans="1:15" x14ac:dyDescent="0.25">
      <c r="A239" s="52">
        <f t="shared" si="20"/>
        <v>73</v>
      </c>
      <c r="B239" s="334">
        <f t="shared" si="20"/>
        <v>68</v>
      </c>
      <c r="C239" s="1232">
        <f t="shared" si="11"/>
        <v>0</v>
      </c>
      <c r="D239" s="540">
        <f t="shared" si="12"/>
        <v>0</v>
      </c>
      <c r="E239" s="540">
        <f t="shared" si="13"/>
        <v>18654.229053383035</v>
      </c>
      <c r="F239" s="540">
        <f t="shared" si="14"/>
        <v>0</v>
      </c>
      <c r="G239" s="540">
        <f t="shared" si="15"/>
        <v>0</v>
      </c>
      <c r="H239" s="540">
        <f t="shared" si="16"/>
        <v>0</v>
      </c>
      <c r="I239" s="1233">
        <f t="shared" si="17"/>
        <v>0</v>
      </c>
      <c r="J239" s="1286">
        <f t="shared" si="19"/>
        <v>0.15</v>
      </c>
      <c r="K239" s="1270">
        <f>IF(SUM(C239:I239)=0,0,SUM(C239:I239)+$I$86*(I191+J191)+(IF('S. Setup'!$J$86="yes",$I$75,0)*H191))</f>
        <v>24891.121377444098</v>
      </c>
      <c r="L239" s="333">
        <f>IF(SUM(C239:I239)=0,0,IF(I239&lt;&gt;0,$J$119,IF(H239&lt;&gt;0,$J$118,IF(G239&lt;&gt;0,$J$117,IF(F239&lt;&gt;0,$J$116,IF(E239&lt;&gt;0,$J$115,IF(D239&lt;&gt;0,$J$114,$J$114))))))+IF('S. Setup'!$J$86="yes",$I$75,0))</f>
        <v>0.3</v>
      </c>
      <c r="M239" s="1558">
        <f t="shared" si="21"/>
        <v>0.15281747446762214</v>
      </c>
      <c r="N239" s="1283">
        <f t="shared" si="18"/>
        <v>32199.31965329191</v>
      </c>
    </row>
    <row r="240" spans="1:15" x14ac:dyDescent="0.25">
      <c r="A240" s="52">
        <f t="shared" si="20"/>
        <v>74</v>
      </c>
      <c r="B240" s="334">
        <f t="shared" si="20"/>
        <v>69</v>
      </c>
      <c r="C240" s="1232">
        <f t="shared" si="11"/>
        <v>0</v>
      </c>
      <c r="D240" s="540">
        <f t="shared" si="12"/>
        <v>0</v>
      </c>
      <c r="E240" s="540">
        <f t="shared" si="13"/>
        <v>18703.299241444165</v>
      </c>
      <c r="F240" s="540">
        <f t="shared" si="14"/>
        <v>0</v>
      </c>
      <c r="G240" s="540">
        <f t="shared" si="15"/>
        <v>0</v>
      </c>
      <c r="H240" s="540">
        <f t="shared" si="16"/>
        <v>0</v>
      </c>
      <c r="I240" s="1233">
        <f t="shared" si="17"/>
        <v>0</v>
      </c>
      <c r="J240" s="1286">
        <f t="shared" si="19"/>
        <v>0.15</v>
      </c>
      <c r="K240" s="1270">
        <f>IF(SUM(C240:I240)=0,0,SUM(C240:I240)+$I$86*(I192+J192)+(IF('S. Setup'!$J$86="yes",$I$75,0)*H192))</f>
        <v>25053.105914363034</v>
      </c>
      <c r="L240" s="333">
        <f>IF(SUM(C240:I240)=0,0,IF(I240&lt;&gt;0,$J$119,IF(H240&lt;&gt;0,$J$118,IF(G240&lt;&gt;0,$J$117,IF(F240&lt;&gt;0,$J$116,IF(E240&lt;&gt;0,$J$115,IF(D240&lt;&gt;0,$J$114,$J$114))))))+IF('S. Setup'!$J$86="yes",$I$75,0))</f>
        <v>0.3</v>
      </c>
      <c r="M240" s="1558">
        <f t="shared" si="21"/>
        <v>0.15014549650851494</v>
      </c>
      <c r="N240" s="1283">
        <f t="shared" si="18"/>
        <v>33057.041202766864</v>
      </c>
    </row>
    <row r="241" spans="1:14" s="215" customFormat="1" x14ac:dyDescent="0.25">
      <c r="A241" s="141">
        <f t="shared" si="20"/>
        <v>75</v>
      </c>
      <c r="B241" s="539">
        <f t="shared" si="20"/>
        <v>70</v>
      </c>
      <c r="C241" s="1232">
        <f t="shared" si="11"/>
        <v>0</v>
      </c>
      <c r="D241" s="540">
        <f t="shared" si="12"/>
        <v>0</v>
      </c>
      <c r="E241" s="540">
        <f t="shared" si="13"/>
        <v>10735.998113685393</v>
      </c>
      <c r="F241" s="540">
        <f t="shared" si="14"/>
        <v>0</v>
      </c>
      <c r="G241" s="540">
        <f t="shared" si="15"/>
        <v>0</v>
      </c>
      <c r="H241" s="540">
        <f t="shared" si="16"/>
        <v>0</v>
      </c>
      <c r="I241" s="1233">
        <f t="shared" si="17"/>
        <v>0</v>
      </c>
      <c r="J241" s="1286">
        <f t="shared" si="19"/>
        <v>0.15</v>
      </c>
      <c r="K241" s="1270">
        <f>IF(SUM(C241:I241)=0,0,SUM(C241:I241)+$I$86*(I193+J193)+(IF('S. Setup'!$J$86="yes",$I$75,0)*H193))</f>
        <v>15596.365835653665</v>
      </c>
      <c r="L241" s="333">
        <f>IF(SUM(C241:I241)=0,0,IF(I241&lt;&gt;0,$J$119,IF(H241&lt;&gt;0,$J$118,IF(G241&lt;&gt;0,$J$117,IF(F241&lt;&gt;0,$J$116,IF(E241&lt;&gt;0,$J$115,IF(D241&lt;&gt;0,$J$114,$J$114))))))+IF('S. Setup'!$J$86="yes",$I$75,0))</f>
        <v>0.3</v>
      </c>
      <c r="M241" s="1558">
        <f t="shared" si="21"/>
        <v>0.12205280221315938</v>
      </c>
      <c r="N241" s="1284">
        <f t="shared" si="18"/>
        <v>20990.654971126416</v>
      </c>
    </row>
    <row r="242" spans="1:14" x14ac:dyDescent="0.25">
      <c r="A242" s="52">
        <f t="shared" si="20"/>
        <v>76</v>
      </c>
      <c r="B242" s="334">
        <f t="shared" si="20"/>
        <v>71</v>
      </c>
      <c r="C242" s="1232">
        <f t="shared" si="11"/>
        <v>0</v>
      </c>
      <c r="D242" s="540">
        <f t="shared" si="12"/>
        <v>10158.811173101116</v>
      </c>
      <c r="E242" s="540">
        <f t="shared" si="13"/>
        <v>0</v>
      </c>
      <c r="F242" s="540">
        <f t="shared" si="14"/>
        <v>0</v>
      </c>
      <c r="G242" s="540">
        <f t="shared" si="15"/>
        <v>0</v>
      </c>
      <c r="H242" s="540">
        <f t="shared" si="16"/>
        <v>0</v>
      </c>
      <c r="I242" s="1233">
        <f t="shared" si="17"/>
        <v>0</v>
      </c>
      <c r="J242" s="1286">
        <f t="shared" si="19"/>
        <v>0.15</v>
      </c>
      <c r="K242" s="1270">
        <f>IF(SUM(C242:I242)=0,0,SUM(C242:I242)+$I$86*(I194+J194)+(IF('S. Setup'!$J$86="yes",$I$75,0)*H194))</f>
        <v>14689.756769040181</v>
      </c>
      <c r="L242" s="333">
        <f>IF(SUM(C242:I242)=0,0,IF(I242&lt;&gt;0,$J$119,IF(H242&lt;&gt;0,$J$118,IF(G242&lt;&gt;0,$J$117,IF(F242&lt;&gt;0,$J$116,IF(E242&lt;&gt;0,$J$115,IF(D242&lt;&gt;0,$J$114,$J$114))))))+IF('S. Setup'!$J$86="yes",$I$75,0))</f>
        <v>0.2</v>
      </c>
      <c r="M242" s="1558">
        <f t="shared" si="21"/>
        <v>0.11575404866225077</v>
      </c>
      <c r="N242" s="1283">
        <f t="shared" si="18"/>
        <v>20165.888103796417</v>
      </c>
    </row>
    <row r="243" spans="1:14" x14ac:dyDescent="0.25">
      <c r="A243" s="52">
        <f t="shared" si="20"/>
        <v>77</v>
      </c>
      <c r="B243" s="334">
        <f t="shared" si="20"/>
        <v>72</v>
      </c>
      <c r="C243" s="1232">
        <f t="shared" si="11"/>
        <v>0</v>
      </c>
      <c r="D243" s="540">
        <f t="shared" si="12"/>
        <v>10197.487792161641</v>
      </c>
      <c r="E243" s="540">
        <f t="shared" si="13"/>
        <v>0</v>
      </c>
      <c r="F243" s="540">
        <f t="shared" si="14"/>
        <v>0</v>
      </c>
      <c r="G243" s="540">
        <f t="shared" si="15"/>
        <v>0</v>
      </c>
      <c r="H243" s="540">
        <f t="shared" si="16"/>
        <v>0</v>
      </c>
      <c r="I243" s="1233">
        <f t="shared" si="17"/>
        <v>0</v>
      </c>
      <c r="J243" s="1286">
        <f t="shared" si="19"/>
        <v>0.15</v>
      </c>
      <c r="K243" s="1270">
        <f>IF(SUM(C243:I243)=0,0,SUM(C243:I243)+$I$86*(I195+J195)+(IF('S. Setup'!$J$86="yes",$I$75,0)*H195))</f>
        <v>14817.462853087049</v>
      </c>
      <c r="L243" s="333">
        <f>IF(SUM(C243:I243)=0,0,IF(I243&lt;&gt;0,$J$119,IF(H243&lt;&gt;0,$J$118,IF(G243&lt;&gt;0,$J$117,IF(F243&lt;&gt;0,$J$116,IF(E243&lt;&gt;0,$J$115,IF(D243&lt;&gt;0,$J$114,$J$114))))))+IF('S. Setup'!$J$86="yes",$I$75,0))</f>
        <v>0.2</v>
      </c>
      <c r="M243" s="1558">
        <f t="shared" si="21"/>
        <v>0.11369794274563437</v>
      </c>
      <c r="N243" s="1283">
        <f t="shared" si="18"/>
        <v>20748.025214237638</v>
      </c>
    </row>
    <row r="244" spans="1:14" x14ac:dyDescent="0.25">
      <c r="A244" s="52">
        <f t="shared" ref="A244:B259" si="22">A243+1</f>
        <v>78</v>
      </c>
      <c r="B244" s="334">
        <f t="shared" si="22"/>
        <v>73</v>
      </c>
      <c r="C244" s="1232">
        <f t="shared" si="11"/>
        <v>0</v>
      </c>
      <c r="D244" s="540">
        <f t="shared" si="12"/>
        <v>10243.353750583898</v>
      </c>
      <c r="E244" s="540">
        <f t="shared" si="13"/>
        <v>0</v>
      </c>
      <c r="F244" s="540">
        <f t="shared" si="14"/>
        <v>0</v>
      </c>
      <c r="G244" s="540">
        <f t="shared" si="15"/>
        <v>0</v>
      </c>
      <c r="H244" s="540">
        <f t="shared" si="16"/>
        <v>0</v>
      </c>
      <c r="I244" s="1233">
        <f t="shared" si="17"/>
        <v>0</v>
      </c>
      <c r="J244" s="1286">
        <f t="shared" si="19"/>
        <v>0.15</v>
      </c>
      <c r="K244" s="1270">
        <f>IF(SUM(C244:I244)=0,0,SUM(C244:I244)+$I$86*(I196+J196)+(IF('S. Setup'!$J$86="yes",$I$75,0)*H196))</f>
        <v>14962.36433885419</v>
      </c>
      <c r="L244" s="333">
        <f>IF(SUM(C244:I244)=0,0,IF(I244&lt;&gt;0,$J$119,IF(H244&lt;&gt;0,$J$118,IF(G244&lt;&gt;0,$J$117,IF(F244&lt;&gt;0,$J$116,IF(E244&lt;&gt;0,$J$115,IF(D244&lt;&gt;0,$J$114,$J$114))))))+IF('S. Setup'!$J$86="yes",$I$75,0))</f>
        <v>0.2</v>
      </c>
      <c r="M244" s="1558">
        <f t="shared" si="21"/>
        <v>0.11173765007195739</v>
      </c>
      <c r="N244" s="1283">
        <f t="shared" si="18"/>
        <v>21369.940721837535</v>
      </c>
    </row>
    <row r="245" spans="1:14" x14ac:dyDescent="0.25">
      <c r="A245" s="52">
        <f t="shared" si="22"/>
        <v>79</v>
      </c>
      <c r="B245" s="334">
        <f t="shared" si="22"/>
        <v>74</v>
      </c>
      <c r="C245" s="1232">
        <f t="shared" si="11"/>
        <v>0</v>
      </c>
      <c r="D245" s="540">
        <f t="shared" si="12"/>
        <v>8909.3738607737814</v>
      </c>
      <c r="E245" s="540">
        <f t="shared" si="13"/>
        <v>0</v>
      </c>
      <c r="F245" s="540">
        <f t="shared" si="14"/>
        <v>0</v>
      </c>
      <c r="G245" s="540">
        <f t="shared" si="15"/>
        <v>0</v>
      </c>
      <c r="H245" s="540">
        <f t="shared" si="16"/>
        <v>0</v>
      </c>
      <c r="I245" s="1233">
        <f t="shared" si="17"/>
        <v>0</v>
      </c>
      <c r="J245" s="1286">
        <f t="shared" si="19"/>
        <v>0.15</v>
      </c>
      <c r="K245" s="1270">
        <f>IF(SUM(C245:I245)=0,0,SUM(C245:I245)+$I$86*(I197+J197)+(IF('S. Setup'!$J$86="yes",$I$75,0)*H197))</f>
        <v>13270.521945003076</v>
      </c>
      <c r="L245" s="333">
        <f>IF(SUM(C245:I245)=0,0,IF(I245&lt;&gt;0,$J$119,IF(H245&lt;&gt;0,$J$118,IF(G245&lt;&gt;0,$J$117,IF(F245&lt;&gt;0,$J$116,IF(E245&lt;&gt;0,$J$115,IF(D245&lt;&gt;0,$J$114,$J$114))))))+IF('S. Setup'!$J$86="yes",$I$75,0))</f>
        <v>0.2</v>
      </c>
      <c r="M245" s="1558">
        <f t="shared" si="21"/>
        <v>0.10685626311058259</v>
      </c>
      <c r="N245" s="1283">
        <f t="shared" si="18"/>
        <v>19332.644634755809</v>
      </c>
    </row>
    <row r="246" spans="1:14" x14ac:dyDescent="0.25">
      <c r="A246" s="52">
        <f t="shared" si="22"/>
        <v>80</v>
      </c>
      <c r="B246" s="334">
        <f t="shared" si="22"/>
        <v>75</v>
      </c>
      <c r="C246" s="1232">
        <f t="shared" si="11"/>
        <v>0</v>
      </c>
      <c r="D246" s="540">
        <f t="shared" si="12"/>
        <v>8919.6163200937081</v>
      </c>
      <c r="E246" s="540">
        <f t="shared" si="13"/>
        <v>0</v>
      </c>
      <c r="F246" s="540">
        <f t="shared" si="14"/>
        <v>0</v>
      </c>
      <c r="G246" s="540">
        <f t="shared" si="15"/>
        <v>0</v>
      </c>
      <c r="H246" s="540">
        <f t="shared" si="16"/>
        <v>0</v>
      </c>
      <c r="I246" s="1233">
        <f t="shared" si="17"/>
        <v>0</v>
      </c>
      <c r="J246" s="1286">
        <f t="shared" si="19"/>
        <v>0.15</v>
      </c>
      <c r="K246" s="1270">
        <f>IF(SUM(C246:I246)=0,0,SUM(C246:I246)+$I$86*(I198+J198)+(IF('S. Setup'!$J$86="yes",$I$75,0)*H198))</f>
        <v>13353.891003922465</v>
      </c>
      <c r="L246" s="333">
        <f>IF(SUM(C246:I246)=0,0,IF(I246&lt;&gt;0,$J$119,IF(H246&lt;&gt;0,$J$118,IF(G246&lt;&gt;0,$J$117,IF(F246&lt;&gt;0,$J$116,IF(E246&lt;&gt;0,$J$115,IF(D246&lt;&gt;0,$J$114,$J$114))))))+IF('S. Setup'!$J$86="yes",$I$75,0))</f>
        <v>0.2</v>
      </c>
      <c r="M246" s="1558">
        <f t="shared" si="21"/>
        <v>0.10485140512656678</v>
      </c>
      <c r="N246" s="1283">
        <f t="shared" si="18"/>
        <v>19843.179563457357</v>
      </c>
    </row>
    <row r="247" spans="1:14" x14ac:dyDescent="0.25">
      <c r="A247" s="52">
        <f t="shared" si="22"/>
        <v>81</v>
      </c>
      <c r="B247" s="334">
        <f t="shared" si="22"/>
        <v>76</v>
      </c>
      <c r="C247" s="1232">
        <f t="shared" si="11"/>
        <v>0</v>
      </c>
      <c r="D247" s="540">
        <f t="shared" si="12"/>
        <v>8934.059180759712</v>
      </c>
      <c r="E247" s="540">
        <f t="shared" si="13"/>
        <v>0</v>
      </c>
      <c r="F247" s="540">
        <f t="shared" si="14"/>
        <v>0</v>
      </c>
      <c r="G247" s="540">
        <f t="shared" si="15"/>
        <v>0</v>
      </c>
      <c r="H247" s="540">
        <f t="shared" si="16"/>
        <v>0</v>
      </c>
      <c r="I247" s="1233">
        <f t="shared" si="17"/>
        <v>0</v>
      </c>
      <c r="J247" s="1286">
        <f t="shared" si="19"/>
        <v>0.15</v>
      </c>
      <c r="K247" s="1270">
        <f>IF(SUM(C247:I247)=0,0,SUM(C247:I247)+$I$86*(I199+J199)+(IF('S. Setup'!$J$86="yes",$I$75,0)*H199))</f>
        <v>13448.08349886392</v>
      </c>
      <c r="L247" s="333">
        <f>IF(SUM(C247:I247)=0,0,IF(I247&lt;&gt;0,$J$119,IF(H247&lt;&gt;0,$J$118,IF(G247&lt;&gt;0,$J$117,IF(F247&lt;&gt;0,$J$116,IF(E247&lt;&gt;0,$J$115,IF(D247&lt;&gt;0,$J$114,$J$114))))))+IF('S. Setup'!$J$86="yes",$I$75,0))</f>
        <v>0.2</v>
      </c>
      <c r="M247" s="1558">
        <f t="shared" si="21"/>
        <v>0.10292316482054258</v>
      </c>
      <c r="N247" s="1283">
        <f t="shared" si="18"/>
        <v>20382.807549157042</v>
      </c>
    </row>
    <row r="248" spans="1:14" x14ac:dyDescent="0.25">
      <c r="A248" s="52">
        <f t="shared" si="22"/>
        <v>82</v>
      </c>
      <c r="B248" s="334">
        <f t="shared" si="22"/>
        <v>77</v>
      </c>
      <c r="C248" s="1232">
        <f t="shared" si="11"/>
        <v>0</v>
      </c>
      <c r="D248" s="540">
        <f t="shared" si="12"/>
        <v>8943.8082825433485</v>
      </c>
      <c r="E248" s="540">
        <f t="shared" si="13"/>
        <v>0</v>
      </c>
      <c r="F248" s="540">
        <f t="shared" si="14"/>
        <v>0</v>
      </c>
      <c r="G248" s="540">
        <f t="shared" si="15"/>
        <v>0</v>
      </c>
      <c r="H248" s="540">
        <f t="shared" si="16"/>
        <v>0</v>
      </c>
      <c r="I248" s="1233">
        <f t="shared" si="17"/>
        <v>0</v>
      </c>
      <c r="J248" s="1286">
        <f t="shared" si="19"/>
        <v>0.15</v>
      </c>
      <c r="K248" s="1270">
        <f>IF(SUM(C248:I248)=0,0,SUM(C248:I248)+$I$86*(I200+J200)+(IF('S. Setup'!$J$86="yes",$I$75,0)*H200))</f>
        <v>13536.493235489013</v>
      </c>
      <c r="L248" s="333">
        <f>IF(SUM(C248:I248)=0,0,IF(I248&lt;&gt;0,$J$119,IF(H248&lt;&gt;0,$J$118,IF(G248&lt;&gt;0,$J$117,IF(F248&lt;&gt;0,$J$116,IF(E248&lt;&gt;0,$J$115,IF(D248&lt;&gt;0,$J$114,$J$114))))))+IF('S. Setup'!$J$86="yes",$I$75,0))</f>
        <v>0.2</v>
      </c>
      <c r="M248" s="1558">
        <f t="shared" si="21"/>
        <v>0.10101275987707033</v>
      </c>
      <c r="N248" s="1283">
        <f t="shared" si="18"/>
        <v>20927.143355661228</v>
      </c>
    </row>
    <row r="249" spans="1:14" x14ac:dyDescent="0.25">
      <c r="A249" s="52">
        <f t="shared" si="22"/>
        <v>83</v>
      </c>
      <c r="B249" s="334">
        <f t="shared" si="22"/>
        <v>78</v>
      </c>
      <c r="C249" s="1232">
        <f t="shared" si="11"/>
        <v>0</v>
      </c>
      <c r="D249" s="540">
        <f t="shared" si="12"/>
        <v>8952.3598767090589</v>
      </c>
      <c r="E249" s="540">
        <f t="shared" si="13"/>
        <v>0</v>
      </c>
      <c r="F249" s="540">
        <f t="shared" si="14"/>
        <v>0</v>
      </c>
      <c r="G249" s="540">
        <f t="shared" si="15"/>
        <v>0</v>
      </c>
      <c r="H249" s="540">
        <f t="shared" si="16"/>
        <v>0</v>
      </c>
      <c r="I249" s="1233">
        <f t="shared" si="17"/>
        <v>0</v>
      </c>
      <c r="J249" s="1286">
        <f t="shared" si="19"/>
        <v>0.15</v>
      </c>
      <c r="K249" s="1270">
        <f>IF(SUM(C249:I249)=0,0,SUM(C249:I249)+$I$86*(I201+J201)+(IF('S. Setup'!$J$86="yes",$I$75,0)*H201))</f>
        <v>13625.752266605894</v>
      </c>
      <c r="L249" s="333">
        <f>IF(SUM(C249:I249)=0,0,IF(I249&lt;&gt;0,$J$119,IF(H249&lt;&gt;0,$J$118,IF(G249&lt;&gt;0,$J$117,IF(F249&lt;&gt;0,$J$116,IF(E249&lt;&gt;0,$J$115,IF(D249&lt;&gt;0,$J$114,$J$114))))))+IF('S. Setup'!$J$86="yes",$I$75,0))</f>
        <v>0.2</v>
      </c>
      <c r="M249" s="1558">
        <f t="shared" si="21"/>
        <v>9.91425038538742E-2</v>
      </c>
      <c r="N249" s="1283">
        <f t="shared" si="18"/>
        <v>21486.438723265095</v>
      </c>
    </row>
    <row r="250" spans="1:14" x14ac:dyDescent="0.25">
      <c r="A250" s="52">
        <f t="shared" si="22"/>
        <v>84</v>
      </c>
      <c r="B250" s="334">
        <f t="shared" si="22"/>
        <v>79</v>
      </c>
      <c r="C250" s="1232">
        <f t="shared" si="11"/>
        <v>0</v>
      </c>
      <c r="D250" s="540">
        <f t="shared" si="12"/>
        <v>8959.7730803871418</v>
      </c>
      <c r="E250" s="540">
        <f t="shared" si="13"/>
        <v>0</v>
      </c>
      <c r="F250" s="540">
        <f t="shared" si="14"/>
        <v>0</v>
      </c>
      <c r="G250" s="540">
        <f t="shared" si="15"/>
        <v>0</v>
      </c>
      <c r="H250" s="540">
        <f t="shared" si="16"/>
        <v>0</v>
      </c>
      <c r="I250" s="1233">
        <f t="shared" si="17"/>
        <v>0</v>
      </c>
      <c r="J250" s="1286">
        <f t="shared" si="19"/>
        <v>0.15</v>
      </c>
      <c r="K250" s="1270">
        <f>IF(SUM(C250:I250)=0,0,SUM(C250:I250)+$I$86*(I202+J202)+(IF('S. Setup'!$J$86="yes",$I$75,0)*H202))</f>
        <v>13716.057300992177</v>
      </c>
      <c r="L250" s="333">
        <f>IF(SUM(C250:I250)=0,0,IF(I250&lt;&gt;0,$J$119,IF(H250&lt;&gt;0,$J$118,IF(G250&lt;&gt;0,$J$117,IF(F250&lt;&gt;0,$J$116,IF(E250&lt;&gt;0,$J$115,IF(D250&lt;&gt;0,$J$114,$J$114))))))+IF('S. Setup'!$J$86="yes",$I$75,0))</f>
        <v>0.2</v>
      </c>
      <c r="M250" s="1558">
        <f t="shared" si="21"/>
        <v>9.7312161593629237E-2</v>
      </c>
      <c r="N250" s="1283">
        <f t="shared" si="18"/>
        <v>22061.417478852436</v>
      </c>
    </row>
    <row r="251" spans="1:14" x14ac:dyDescent="0.25">
      <c r="A251" s="52">
        <f t="shared" si="22"/>
        <v>85</v>
      </c>
      <c r="B251" s="334">
        <f t="shared" si="22"/>
        <v>80</v>
      </c>
      <c r="C251" s="1232">
        <f t="shared" si="11"/>
        <v>0</v>
      </c>
      <c r="D251" s="540">
        <f t="shared" si="12"/>
        <v>2393.0390759333204</v>
      </c>
      <c r="E251" s="540">
        <f t="shared" si="13"/>
        <v>0</v>
      </c>
      <c r="F251" s="540">
        <f t="shared" si="14"/>
        <v>0</v>
      </c>
      <c r="G251" s="540">
        <f t="shared" si="15"/>
        <v>0</v>
      </c>
      <c r="H251" s="540">
        <f t="shared" si="16"/>
        <v>0</v>
      </c>
      <c r="I251" s="1233">
        <f t="shared" si="17"/>
        <v>0</v>
      </c>
      <c r="J251" s="1286">
        <f t="shared" si="19"/>
        <v>0.15</v>
      </c>
      <c r="K251" s="1270">
        <f>IF(SUM(C251:I251)=0,0,SUM(C251:I251)+$I$86*(I203+J203)+(IF('S. Setup'!$J$86="yes",$I$75,0)*H203))</f>
        <v>5043.4354253620868</v>
      </c>
      <c r="L251" s="333">
        <f>IF(SUM(C251:I251)=0,0,IF(I251&lt;&gt;0,$J$119,IF(H251&lt;&gt;0,$J$118,IF(G251&lt;&gt;0,$J$117,IF(F251&lt;&gt;0,$J$116,IF(E251&lt;&gt;0,$J$115,IF(D251&lt;&gt;0,$J$114,$J$114))))))+IF('S. Setup'!$J$86="yes",$I$75,0))</f>
        <v>0.2</v>
      </c>
      <c r="M251" s="1558">
        <f t="shared" si="21"/>
        <v>6.9413644676466296E-2</v>
      </c>
      <c r="N251" s="1283">
        <f t="shared" si="18"/>
        <v>8274.2903915448132</v>
      </c>
    </row>
    <row r="252" spans="1:14" x14ac:dyDescent="0.25">
      <c r="A252" s="52">
        <f t="shared" si="22"/>
        <v>86</v>
      </c>
      <c r="B252" s="334">
        <f t="shared" si="22"/>
        <v>81</v>
      </c>
      <c r="C252" s="1232">
        <f t="shared" si="11"/>
        <v>1123.2650611951847</v>
      </c>
      <c r="D252" s="540">
        <f t="shared" si="12"/>
        <v>0</v>
      </c>
      <c r="E252" s="540">
        <f t="shared" si="13"/>
        <v>0</v>
      </c>
      <c r="F252" s="540">
        <f t="shared" si="14"/>
        <v>0</v>
      </c>
      <c r="G252" s="540">
        <f t="shared" si="15"/>
        <v>0</v>
      </c>
      <c r="H252" s="540">
        <f t="shared" si="16"/>
        <v>0</v>
      </c>
      <c r="I252" s="1233">
        <f t="shared" si="17"/>
        <v>0</v>
      </c>
      <c r="J252" s="1286">
        <f t="shared" si="19"/>
        <v>0.15</v>
      </c>
      <c r="K252" s="1270">
        <f>IF(SUM(C252:I252)=0,0,SUM(C252:I252)+$I$86*(I204+J204)+(IF('S. Setup'!$J$86="yes",$I$75,0)*H204))</f>
        <v>2462.1442690338954</v>
      </c>
      <c r="L252" s="333">
        <f>IF(SUM(C252:I252)=0,0,IF(I252&lt;&gt;0,$J$119,IF(H252&lt;&gt;0,$J$118,IF(G252&lt;&gt;0,$J$117,IF(F252&lt;&gt;0,$J$116,IF(E252&lt;&gt;0,$J$115,IF(D252&lt;&gt;0,$J$114,$J$114))))))+IF('S. Setup'!$J$86="yes",$I$75,0))</f>
        <v>0.2</v>
      </c>
      <c r="M252" s="1558">
        <f t="shared" si="21"/>
        <v>4.1596138267302463E-2</v>
      </c>
      <c r="N252" s="1283">
        <f t="shared" si="18"/>
        <v>4120.1968199542689</v>
      </c>
    </row>
    <row r="253" spans="1:14" x14ac:dyDescent="0.25">
      <c r="A253" s="52">
        <f t="shared" si="22"/>
        <v>87</v>
      </c>
      <c r="B253" s="334">
        <f t="shared" si="22"/>
        <v>82</v>
      </c>
      <c r="C253" s="1232">
        <f t="shared" si="11"/>
        <v>1069.6410732544523</v>
      </c>
      <c r="D253" s="540">
        <f t="shared" si="12"/>
        <v>0</v>
      </c>
      <c r="E253" s="540">
        <f t="shared" si="13"/>
        <v>0</v>
      </c>
      <c r="F253" s="540">
        <f t="shared" si="14"/>
        <v>0</v>
      </c>
      <c r="G253" s="540">
        <f t="shared" si="15"/>
        <v>0</v>
      </c>
      <c r="H253" s="540">
        <f t="shared" si="16"/>
        <v>0</v>
      </c>
      <c r="I253" s="1233">
        <f t="shared" si="17"/>
        <v>0</v>
      </c>
      <c r="J253" s="1286">
        <f t="shared" si="19"/>
        <v>0.15</v>
      </c>
      <c r="K253" s="1270">
        <f>IF(SUM(C253:I253)=0,0,SUM(C253:I253)+$I$86*(I205+J205)+(IF('S. Setup'!$J$86="yes",$I$75,0)*H205))</f>
        <v>2396.0942375804816</v>
      </c>
      <c r="L253" s="333">
        <f>IF(SUM(C253:I253)=0,0,IF(I253&lt;&gt;0,$J$119,IF(H253&lt;&gt;0,$J$118,IF(G253&lt;&gt;0,$J$117,IF(F253&lt;&gt;0,$J$116,IF(E253&lt;&gt;0,$J$115,IF(D253&lt;&gt;0,$J$114,$J$114))))))+IF('S. Setup'!$J$86="yes",$I$75,0))</f>
        <v>0.2</v>
      </c>
      <c r="M253" s="1558">
        <f t="shared" si="21"/>
        <v>3.9746610909133867E-2</v>
      </c>
      <c r="N253" s="1283">
        <f t="shared" si="18"/>
        <v>4089.860850883802</v>
      </c>
    </row>
    <row r="254" spans="1:14" x14ac:dyDescent="0.25">
      <c r="A254" s="52">
        <f t="shared" si="22"/>
        <v>88</v>
      </c>
      <c r="B254" s="334">
        <f t="shared" si="22"/>
        <v>83</v>
      </c>
      <c r="C254" s="1232">
        <f t="shared" si="11"/>
        <v>1014.8939739973866</v>
      </c>
      <c r="D254" s="540">
        <f t="shared" si="12"/>
        <v>0</v>
      </c>
      <c r="E254" s="540">
        <f t="shared" si="13"/>
        <v>0</v>
      </c>
      <c r="F254" s="540">
        <f t="shared" si="14"/>
        <v>0</v>
      </c>
      <c r="G254" s="540">
        <f t="shared" si="15"/>
        <v>0</v>
      </c>
      <c r="H254" s="540">
        <f t="shared" si="16"/>
        <v>0</v>
      </c>
      <c r="I254" s="1233">
        <f t="shared" si="17"/>
        <v>0</v>
      </c>
      <c r="J254" s="1286">
        <f t="shared" si="19"/>
        <v>0.15</v>
      </c>
      <c r="K254" s="1270">
        <f>IF(SUM(C254:I254)=0,0,SUM(C254:I254)+$I$86*(I206+J206)+(IF('S. Setup'!$J$86="yes",$I$75,0)*H206))</f>
        <v>2328.3980984628733</v>
      </c>
      <c r="L254" s="333">
        <f>IF(SUM(C254:I254)=0,0,IF(I254&lt;&gt;0,$J$119,IF(H254&lt;&gt;0,$J$118,IF(G254&lt;&gt;0,$J$117,IF(F254&lt;&gt;0,$J$116,IF(E254&lt;&gt;0,$J$115,IF(D254&lt;&gt;0,$J$114,$J$114))))))+IF('S. Setup'!$J$86="yes",$I$75,0))</f>
        <v>0.2</v>
      </c>
      <c r="M254" s="1558">
        <f t="shared" si="21"/>
        <v>3.7925431868627402E-2</v>
      </c>
      <c r="N254" s="1283">
        <f t="shared" si="18"/>
        <v>4053.7974510332051</v>
      </c>
    </row>
    <row r="255" spans="1:14" x14ac:dyDescent="0.25">
      <c r="A255" s="52">
        <f t="shared" si="22"/>
        <v>89</v>
      </c>
      <c r="B255" s="334">
        <f t="shared" si="22"/>
        <v>84</v>
      </c>
      <c r="C255" s="1232">
        <f t="shared" si="11"/>
        <v>959.01008882660176</v>
      </c>
      <c r="D255" s="540">
        <f t="shared" si="12"/>
        <v>0</v>
      </c>
      <c r="E255" s="540">
        <f t="shared" si="13"/>
        <v>0</v>
      </c>
      <c r="F255" s="540">
        <f t="shared" si="14"/>
        <v>0</v>
      </c>
      <c r="G255" s="540">
        <f t="shared" si="15"/>
        <v>0</v>
      </c>
      <c r="H255" s="540">
        <f t="shared" si="16"/>
        <v>0</v>
      </c>
      <c r="I255" s="1233">
        <f t="shared" si="17"/>
        <v>0</v>
      </c>
      <c r="J255" s="1286">
        <f t="shared" si="19"/>
        <v>0.15</v>
      </c>
      <c r="K255" s="1270">
        <f>IF(SUM(C255:I255)=0,0,SUM(C255:I255)+$I$86*(I207+J207)+(IF('S. Setup'!$J$86="yes",$I$75,0)*H207))</f>
        <v>2259.0335953460071</v>
      </c>
      <c r="L255" s="333">
        <f>IF(SUM(C255:I255)=0,0,IF(I255&lt;&gt;0,$J$119,IF(H255&lt;&gt;0,$J$118,IF(G255&lt;&gt;0,$J$117,IF(F255&lt;&gt;0,$J$116,IF(E255&lt;&gt;0,$J$115,IF(D255&lt;&gt;0,$J$114,$J$114))))))+IF('S. Setup'!$J$86="yes",$I$75,0))</f>
        <v>0.2</v>
      </c>
      <c r="M255" s="1558">
        <f t="shared" si="21"/>
        <v>3.6132072715827489E-2</v>
      </c>
      <c r="N255" s="1283">
        <f t="shared" si="18"/>
        <v>4011.692815498664</v>
      </c>
    </row>
    <row r="256" spans="1:14" x14ac:dyDescent="0.25">
      <c r="A256" s="52">
        <f t="shared" si="22"/>
        <v>90</v>
      </c>
      <c r="B256" s="334">
        <f t="shared" si="22"/>
        <v>85</v>
      </c>
      <c r="C256" s="1232">
        <f t="shared" si="11"/>
        <v>901.97567640902344</v>
      </c>
      <c r="D256" s="540">
        <f t="shared" si="12"/>
        <v>0</v>
      </c>
      <c r="E256" s="540">
        <f t="shared" si="13"/>
        <v>0</v>
      </c>
      <c r="F256" s="540">
        <f t="shared" si="14"/>
        <v>0</v>
      </c>
      <c r="G256" s="540">
        <f t="shared" si="15"/>
        <v>0</v>
      </c>
      <c r="H256" s="540">
        <f t="shared" si="16"/>
        <v>0</v>
      </c>
      <c r="I256" s="1233">
        <f t="shared" si="17"/>
        <v>0</v>
      </c>
      <c r="J256" s="1286">
        <f t="shared" si="19"/>
        <v>0.15</v>
      </c>
      <c r="K256" s="1270">
        <f>IF(SUM(C256:I256)=0,0,SUM(C256:I256)+$I$86*(I208+J208)+(IF('S. Setup'!$J$86="yes",$I$75,0)*H208))</f>
        <v>2187.9787607995863</v>
      </c>
      <c r="L256" s="333">
        <f>IF(SUM(C256:I256)=0,0,IF(I256&lt;&gt;0,$J$119,IF(H256&lt;&gt;0,$J$118,IF(G256&lt;&gt;0,$J$117,IF(F256&lt;&gt;0,$J$116,IF(E256&lt;&gt;0,$J$115,IF(D256&lt;&gt;0,$J$114,$J$114))))))+IF('S. Setup'!$J$86="yes",$I$75,0))</f>
        <v>0.2</v>
      </c>
      <c r="M256" s="1558">
        <f t="shared" si="21"/>
        <v>3.4366027187795009E-2</v>
      </c>
      <c r="N256" s="1283">
        <f t="shared" si="18"/>
        <v>3963.2206741464311</v>
      </c>
    </row>
    <row r="257" spans="1:14" x14ac:dyDescent="0.25">
      <c r="A257" s="52">
        <f t="shared" si="22"/>
        <v>91</v>
      </c>
      <c r="B257" s="334">
        <f t="shared" si="22"/>
        <v>86</v>
      </c>
      <c r="C257" s="1232">
        <f t="shared" si="11"/>
        <v>0.78522258538432654</v>
      </c>
      <c r="D257" s="540">
        <f t="shared" si="12"/>
        <v>0</v>
      </c>
      <c r="E257" s="540">
        <f t="shared" si="13"/>
        <v>0</v>
      </c>
      <c r="F257" s="540">
        <f t="shared" si="14"/>
        <v>0</v>
      </c>
      <c r="G257" s="540">
        <f t="shared" si="15"/>
        <v>0</v>
      </c>
      <c r="H257" s="540">
        <f t="shared" si="16"/>
        <v>0</v>
      </c>
      <c r="I257" s="1233">
        <f t="shared" si="17"/>
        <v>0</v>
      </c>
      <c r="J257" s="1286">
        <f t="shared" si="19"/>
        <v>0.15</v>
      </c>
      <c r="K257" s="1270">
        <f>IF(SUM(C257:I257)=0,0,SUM(C257:I257)+$I$86*(I209+J209)+(IF('S. Setup'!$J$86="yes",$I$75,0)*H209))</f>
        <v>850.64518588932276</v>
      </c>
      <c r="L257" s="333">
        <f>IF(SUM(C257:I257)=0,0,IF(I257&lt;&gt;0,$J$119,IF(H257&lt;&gt;0,$J$118,IF(G257&lt;&gt;0,$J$117,IF(F257&lt;&gt;0,$J$116,IF(E257&lt;&gt;0,$J$115,IF(D257&lt;&gt;0,$J$114,$J$114))))))+IF('S. Setup'!$J$86="yes",$I$75,0))</f>
        <v>0.2</v>
      </c>
      <c r="M257" s="1558">
        <f t="shared" si="21"/>
        <v>1.7270067765432183E-2</v>
      </c>
      <c r="N257" s="1283">
        <f t="shared" si="18"/>
        <v>1571.6425316508223</v>
      </c>
    </row>
    <row r="258" spans="1:14" x14ac:dyDescent="0.25">
      <c r="A258" s="52">
        <f t="shared" si="22"/>
        <v>92</v>
      </c>
      <c r="B258" s="334">
        <f t="shared" si="22"/>
        <v>87</v>
      </c>
      <c r="C258" s="1232">
        <f t="shared" si="11"/>
        <v>0</v>
      </c>
      <c r="D258" s="540">
        <f t="shared" si="12"/>
        <v>0</v>
      </c>
      <c r="E258" s="540">
        <f t="shared" si="13"/>
        <v>0</v>
      </c>
      <c r="F258" s="540">
        <f t="shared" si="14"/>
        <v>0</v>
      </c>
      <c r="G258" s="540">
        <f t="shared" si="15"/>
        <v>0</v>
      </c>
      <c r="H258" s="540">
        <f t="shared" si="16"/>
        <v>0</v>
      </c>
      <c r="I258" s="1233">
        <f t="shared" si="17"/>
        <v>0</v>
      </c>
      <c r="J258" s="1286">
        <f t="shared" si="19"/>
        <v>0</v>
      </c>
      <c r="K258" s="1270">
        <f>IF(SUM(C258:I258)=0,0,SUM(C258:I258)+$I$86*(I210+J210)+(IF('S. Setup'!$J$86="yes",$I$75,0)*H210))</f>
        <v>0</v>
      </c>
      <c r="L258" s="333">
        <f>IF(SUM(C258:I258)=0,0,IF(I258&lt;&gt;0,$J$119,IF(H258&lt;&gt;0,$J$118,IF(G258&lt;&gt;0,$J$117,IF(F258&lt;&gt;0,$J$116,IF(E258&lt;&gt;0,$J$115,IF(D258&lt;&gt;0,$J$114,$J$114))))))+IF('S. Setup'!$J$86="yes",$I$75,0))</f>
        <v>0</v>
      </c>
      <c r="M258" s="1558">
        <f t="shared" si="21"/>
        <v>0</v>
      </c>
      <c r="N258" s="1283">
        <f t="shared" si="18"/>
        <v>0</v>
      </c>
    </row>
    <row r="259" spans="1:14" x14ac:dyDescent="0.25">
      <c r="A259" s="52">
        <f t="shared" si="22"/>
        <v>93</v>
      </c>
      <c r="B259" s="334">
        <f t="shared" si="22"/>
        <v>88</v>
      </c>
      <c r="C259" s="1232">
        <f t="shared" si="11"/>
        <v>0</v>
      </c>
      <c r="D259" s="540">
        <f t="shared" si="12"/>
        <v>0</v>
      </c>
      <c r="E259" s="540">
        <f t="shared" si="13"/>
        <v>0</v>
      </c>
      <c r="F259" s="540">
        <f t="shared" si="14"/>
        <v>0</v>
      </c>
      <c r="G259" s="540">
        <f t="shared" si="15"/>
        <v>0</v>
      </c>
      <c r="H259" s="540">
        <f t="shared" si="16"/>
        <v>0</v>
      </c>
      <c r="I259" s="1233">
        <f t="shared" si="17"/>
        <v>0</v>
      </c>
      <c r="J259" s="1286">
        <f t="shared" si="19"/>
        <v>0</v>
      </c>
      <c r="K259" s="1270">
        <f>IF(SUM(C259:I259)=0,0,SUM(C259:I259)+$I$86*(I211+J211)+(IF('S. Setup'!$J$86="yes",$I$75,0)*H211))</f>
        <v>0</v>
      </c>
      <c r="L259" s="333">
        <f>IF(SUM(C259:I259)=0,0,IF(I259&lt;&gt;0,$J$119,IF(H259&lt;&gt;0,$J$118,IF(G259&lt;&gt;0,$J$117,IF(F259&lt;&gt;0,$J$116,IF(E259&lt;&gt;0,$J$115,IF(D259&lt;&gt;0,$J$114,$J$114))))))+IF('S. Setup'!$J$86="yes",$I$75,0))</f>
        <v>0</v>
      </c>
      <c r="M259" s="1558">
        <f t="shared" si="21"/>
        <v>0</v>
      </c>
      <c r="N259" s="1283">
        <f t="shared" si="18"/>
        <v>0</v>
      </c>
    </row>
    <row r="260" spans="1:14" x14ac:dyDescent="0.25">
      <c r="A260" s="52">
        <f t="shared" ref="A260:B262" si="23">A259+1</f>
        <v>94</v>
      </c>
      <c r="B260" s="334">
        <f t="shared" si="23"/>
        <v>89</v>
      </c>
      <c r="C260" s="1232">
        <f t="shared" si="11"/>
        <v>0</v>
      </c>
      <c r="D260" s="540">
        <f t="shared" si="12"/>
        <v>0</v>
      </c>
      <c r="E260" s="540">
        <f t="shared" si="13"/>
        <v>0</v>
      </c>
      <c r="F260" s="540">
        <f t="shared" si="14"/>
        <v>0</v>
      </c>
      <c r="G260" s="540">
        <f t="shared" si="15"/>
        <v>0</v>
      </c>
      <c r="H260" s="540">
        <f t="shared" si="16"/>
        <v>0</v>
      </c>
      <c r="I260" s="1233">
        <f t="shared" si="17"/>
        <v>0</v>
      </c>
      <c r="J260" s="1286">
        <f t="shared" si="19"/>
        <v>0</v>
      </c>
      <c r="K260" s="1270">
        <f>IF(SUM(C260:I260)=0,0,SUM(C260:I260)+$I$86*(I212+J212)+(IF('S. Setup'!$J$86="yes",$I$75,0)*H212))</f>
        <v>0</v>
      </c>
      <c r="L260" s="333">
        <f>IF(SUM(C260:I260)=0,0,IF(I260&lt;&gt;0,$J$119,IF(H260&lt;&gt;0,$J$118,IF(G260&lt;&gt;0,$J$117,IF(F260&lt;&gt;0,$J$116,IF(E260&lt;&gt;0,$J$115,IF(D260&lt;&gt;0,$J$114,$J$114))))))+IF('S. Setup'!$J$86="yes",$I$75,0))</f>
        <v>0</v>
      </c>
      <c r="M260" s="1558">
        <f t="shared" si="21"/>
        <v>0</v>
      </c>
      <c r="N260" s="1283">
        <f t="shared" si="18"/>
        <v>0</v>
      </c>
    </row>
    <row r="261" spans="1:14" x14ac:dyDescent="0.25">
      <c r="A261" s="52">
        <f t="shared" si="23"/>
        <v>95</v>
      </c>
      <c r="B261" s="334">
        <f t="shared" si="23"/>
        <v>90</v>
      </c>
      <c r="C261" s="1232">
        <f t="shared" si="11"/>
        <v>0</v>
      </c>
      <c r="D261" s="540">
        <f t="shared" si="12"/>
        <v>0</v>
      </c>
      <c r="E261" s="540">
        <f t="shared" si="13"/>
        <v>0</v>
      </c>
      <c r="F261" s="540">
        <f t="shared" si="14"/>
        <v>0</v>
      </c>
      <c r="G261" s="540">
        <f t="shared" si="15"/>
        <v>0</v>
      </c>
      <c r="H261" s="540">
        <f t="shared" si="16"/>
        <v>0</v>
      </c>
      <c r="I261" s="1233">
        <f t="shared" si="17"/>
        <v>0</v>
      </c>
      <c r="J261" s="1286">
        <f t="shared" si="19"/>
        <v>0</v>
      </c>
      <c r="K261" s="1270">
        <f>IF(SUM(C261:I261)=0,0,SUM(C261:I261)+$I$86*(I213+J213)+(IF('S. Setup'!$J$86="yes",$I$75,0)*H213))</f>
        <v>0</v>
      </c>
      <c r="L261" s="333">
        <f>IF(SUM(C261:I261)=0,0,IF(I261&lt;&gt;0,$J$119,IF(H261&lt;&gt;0,$J$118,IF(G261&lt;&gt;0,$J$117,IF(F261&lt;&gt;0,$J$116,IF(E261&lt;&gt;0,$J$115,IF(D261&lt;&gt;0,$J$114,$J$114))))))+IF('S. Setup'!$J$86="yes",$I$75,0))</f>
        <v>0</v>
      </c>
      <c r="M261" s="1558">
        <f t="shared" si="21"/>
        <v>0</v>
      </c>
      <c r="N261" s="1283">
        <f t="shared" si="18"/>
        <v>0</v>
      </c>
    </row>
    <row r="262" spans="1:14" ht="15.75" thickBot="1" x14ac:dyDescent="0.3">
      <c r="A262" s="142">
        <f t="shared" si="23"/>
        <v>96</v>
      </c>
      <c r="B262" s="335">
        <f t="shared" si="23"/>
        <v>91</v>
      </c>
      <c r="C262" s="1234">
        <f t="shared" si="11"/>
        <v>0</v>
      </c>
      <c r="D262" s="1235">
        <f t="shared" si="12"/>
        <v>0</v>
      </c>
      <c r="E262" s="1235">
        <f t="shared" si="13"/>
        <v>0</v>
      </c>
      <c r="F262" s="1235">
        <f t="shared" si="14"/>
        <v>0</v>
      </c>
      <c r="G262" s="1235">
        <f t="shared" si="15"/>
        <v>0</v>
      </c>
      <c r="H262" s="1235">
        <f t="shared" si="16"/>
        <v>0</v>
      </c>
      <c r="I262" s="1236">
        <f t="shared" si="17"/>
        <v>0</v>
      </c>
      <c r="J262" s="1287">
        <f t="shared" si="19"/>
        <v>0</v>
      </c>
      <c r="K262" s="1566">
        <f>IF(SUM(C262:I262)=0,0,SUM(C262:I262)+$I$86*(I214+J214)+(IF('S. Setup'!$J$86="yes",$I$75,0)*H214))</f>
        <v>0</v>
      </c>
      <c r="L262" s="1567">
        <f>IF(SUM(C262:I262)=0,0,IF(I262&lt;&gt;0,$J$119,IF(H262&lt;&gt;0,$J$118,IF(G262&lt;&gt;0,$J$117,IF(F262&lt;&gt;0,$J$116,IF(E262&lt;&gt;0,$J$115,IF(D262&lt;&gt;0,$J$114,$J$114))))))+IF('S. Setup'!$J$86="yes",$I$75,0))</f>
        <v>0</v>
      </c>
      <c r="M262" s="1559">
        <f t="shared" si="21"/>
        <v>0</v>
      </c>
      <c r="N262" s="1285">
        <f t="shared" si="18"/>
        <v>0</v>
      </c>
    </row>
    <row r="263" spans="1:14" ht="15.75" thickTop="1" x14ac:dyDescent="0.25"/>
    <row r="264" spans="1:14" s="1382" customFormat="1" ht="15.75" x14ac:dyDescent="0.25">
      <c r="B264" s="1383" t="s">
        <v>1124</v>
      </c>
      <c r="G264" s="180" t="s">
        <v>1432</v>
      </c>
    </row>
    <row r="265" spans="1:14" s="1382" customFormat="1" ht="16.5" thickBot="1" x14ac:dyDescent="0.3">
      <c r="B265" s="1379"/>
      <c r="G265" s="1379"/>
    </row>
    <row r="266" spans="1:14" ht="19.5" thickTop="1" x14ac:dyDescent="0.3">
      <c r="A266" s="960" t="s">
        <v>486</v>
      </c>
      <c r="B266" s="946"/>
      <c r="C266" s="946"/>
      <c r="D266" s="947"/>
      <c r="E266" s="947"/>
      <c r="F266" s="946"/>
      <c r="G266" s="946"/>
      <c r="H266" s="949"/>
    </row>
    <row r="267" spans="1:14" ht="15.75" x14ac:dyDescent="0.25">
      <c r="A267" s="964" t="s">
        <v>736</v>
      </c>
      <c r="B267" s="944"/>
      <c r="C267" s="944"/>
      <c r="D267" s="945"/>
      <c r="E267" s="945"/>
      <c r="F267" s="944"/>
      <c r="G267" s="944"/>
      <c r="H267" s="950"/>
    </row>
    <row r="268" spans="1:14" x14ac:dyDescent="0.25">
      <c r="A268" s="1054"/>
      <c r="B268" s="943" t="s">
        <v>326</v>
      </c>
      <c r="C268" s="945"/>
      <c r="D268" s="945"/>
      <c r="E268" s="945"/>
      <c r="F268" s="944"/>
      <c r="G268" s="944"/>
      <c r="H268" s="950"/>
    </row>
    <row r="269" spans="1:14" x14ac:dyDescent="0.25">
      <c r="A269" s="1054"/>
      <c r="B269" s="1356" t="s">
        <v>870</v>
      </c>
      <c r="C269" s="1357"/>
      <c r="D269" s="1357"/>
      <c r="E269" s="945"/>
      <c r="F269" s="944"/>
      <c r="G269" s="944"/>
      <c r="H269" s="950"/>
    </row>
    <row r="270" spans="1:14" x14ac:dyDescent="0.25">
      <c r="A270" s="1054"/>
      <c r="B270" s="942" t="s">
        <v>1103</v>
      </c>
      <c r="C270" s="945"/>
      <c r="D270" s="945"/>
      <c r="E270" s="945"/>
      <c r="F270" s="944"/>
      <c r="G270" s="944"/>
      <c r="H270" s="950"/>
    </row>
    <row r="271" spans="1:14" x14ac:dyDescent="0.25">
      <c r="A271" s="1054" t="s">
        <v>154</v>
      </c>
      <c r="B271" s="942" t="s">
        <v>1104</v>
      </c>
      <c r="C271" s="945"/>
      <c r="D271" s="945"/>
      <c r="E271" s="945"/>
      <c r="F271" s="944"/>
      <c r="G271" s="944"/>
      <c r="H271" s="950"/>
    </row>
    <row r="272" spans="1:14" x14ac:dyDescent="0.25">
      <c r="A272" s="1054"/>
      <c r="B272" s="942" t="s">
        <v>1105</v>
      </c>
      <c r="C272" s="945"/>
      <c r="D272" s="945"/>
      <c r="E272" s="945"/>
      <c r="F272" s="944"/>
      <c r="G272" s="944"/>
      <c r="H272" s="950"/>
    </row>
    <row r="273" spans="1:8" x14ac:dyDescent="0.25">
      <c r="A273" s="1890"/>
      <c r="B273" s="942" t="s">
        <v>1106</v>
      </c>
      <c r="C273" s="1019"/>
      <c r="D273" s="945"/>
      <c r="E273" s="945"/>
      <c r="F273" s="944"/>
      <c r="G273" s="944"/>
      <c r="H273" s="950"/>
    </row>
    <row r="274" spans="1:8" x14ac:dyDescent="0.25">
      <c r="A274" s="1890"/>
      <c r="B274" s="942" t="s">
        <v>1449</v>
      </c>
      <c r="C274" s="1019"/>
      <c r="D274" s="945"/>
      <c r="E274" s="945"/>
      <c r="F274" s="944"/>
      <c r="G274" s="944"/>
      <c r="H274" s="950"/>
    </row>
    <row r="275" spans="1:8" x14ac:dyDescent="0.25">
      <c r="A275" s="1890"/>
      <c r="B275" s="942" t="s">
        <v>1462</v>
      </c>
      <c r="C275" s="1019"/>
      <c r="D275" s="945"/>
      <c r="E275" s="945"/>
      <c r="F275" s="944"/>
      <c r="G275" s="944"/>
      <c r="H275" s="950"/>
    </row>
    <row r="276" spans="1:8" x14ac:dyDescent="0.25">
      <c r="A276" s="1890"/>
      <c r="B276" s="942" t="s">
        <v>1450</v>
      </c>
      <c r="C276" s="1019"/>
      <c r="D276" s="945"/>
      <c r="E276" s="945"/>
      <c r="F276" s="944"/>
      <c r="G276" s="944"/>
      <c r="H276" s="950"/>
    </row>
    <row r="277" spans="1:8" x14ac:dyDescent="0.25">
      <c r="A277" s="1890"/>
      <c r="B277" s="942" t="s">
        <v>1107</v>
      </c>
      <c r="C277" s="1019"/>
      <c r="D277" s="945"/>
      <c r="E277" s="945"/>
      <c r="F277" s="944"/>
      <c r="G277" s="944"/>
      <c r="H277" s="950"/>
    </row>
    <row r="278" spans="1:8" x14ac:dyDescent="0.25">
      <c r="A278" s="1890"/>
      <c r="B278" s="943" t="s">
        <v>1108</v>
      </c>
      <c r="C278" s="1019"/>
      <c r="D278" s="945"/>
      <c r="E278" s="945"/>
      <c r="F278" s="944"/>
      <c r="G278" s="944"/>
      <c r="H278" s="950"/>
    </row>
    <row r="279" spans="1:8" x14ac:dyDescent="0.25">
      <c r="A279" s="1890"/>
      <c r="B279" s="943" t="s">
        <v>1100</v>
      </c>
      <c r="C279" s="1019"/>
      <c r="D279" s="945"/>
      <c r="E279" s="945"/>
      <c r="F279" s="944"/>
      <c r="G279" s="944"/>
      <c r="H279" s="950"/>
    </row>
    <row r="280" spans="1:8" x14ac:dyDescent="0.25">
      <c r="A280" s="1054"/>
      <c r="B280" s="943" t="s">
        <v>1099</v>
      </c>
      <c r="C280" s="945"/>
      <c r="D280" s="945"/>
      <c r="E280" s="945"/>
      <c r="F280" s="944"/>
      <c r="G280" s="944"/>
      <c r="H280" s="950"/>
    </row>
    <row r="281" spans="1:8" x14ac:dyDescent="0.25">
      <c r="A281" s="1054"/>
      <c r="B281" s="943" t="s">
        <v>1098</v>
      </c>
      <c r="C281" s="945"/>
      <c r="D281" s="945"/>
      <c r="E281" s="945"/>
      <c r="F281" s="944"/>
      <c r="G281" s="944"/>
      <c r="H281" s="950"/>
    </row>
    <row r="282" spans="1:8" x14ac:dyDescent="0.25">
      <c r="A282" s="1054"/>
      <c r="B282" s="942" t="s">
        <v>1097</v>
      </c>
      <c r="C282" s="945"/>
      <c r="D282" s="945"/>
      <c r="E282" s="945"/>
      <c r="F282" s="944"/>
      <c r="G282" s="944"/>
      <c r="H282" s="950"/>
    </row>
    <row r="283" spans="1:8" x14ac:dyDescent="0.25">
      <c r="A283" s="1054"/>
      <c r="B283" s="943" t="s">
        <v>1101</v>
      </c>
      <c r="C283" s="945"/>
      <c r="D283" s="945"/>
      <c r="E283" s="945"/>
      <c r="F283" s="944"/>
      <c r="G283" s="944"/>
      <c r="H283" s="950"/>
    </row>
    <row r="284" spans="1:8" x14ac:dyDescent="0.25">
      <c r="A284" s="1054"/>
      <c r="B284" s="943" t="s">
        <v>1102</v>
      </c>
      <c r="C284" s="945"/>
      <c r="D284" s="1019" t="s">
        <v>1762</v>
      </c>
      <c r="E284" s="945"/>
      <c r="F284" s="944"/>
      <c r="G284" s="944"/>
      <c r="H284" s="950"/>
    </row>
    <row r="285" spans="1:8" x14ac:dyDescent="0.25">
      <c r="A285" s="1083"/>
      <c r="B285" s="1081" t="s">
        <v>719</v>
      </c>
      <c r="C285" s="945"/>
      <c r="D285" s="1019" t="s">
        <v>1764</v>
      </c>
      <c r="E285" s="945"/>
      <c r="F285" s="944"/>
      <c r="G285" s="944"/>
      <c r="H285" s="950"/>
    </row>
    <row r="286" spans="1:8" x14ac:dyDescent="0.25">
      <c r="A286" s="1083"/>
      <c r="B286" s="1081" t="s">
        <v>720</v>
      </c>
      <c r="C286" s="945"/>
      <c r="D286" s="1019" t="s">
        <v>1289</v>
      </c>
      <c r="E286" s="945"/>
      <c r="F286" s="945"/>
      <c r="G286" s="945"/>
      <c r="H286" s="950"/>
    </row>
    <row r="287" spans="1:8" x14ac:dyDescent="0.25">
      <c r="A287" s="1083"/>
      <c r="B287" s="1081" t="s">
        <v>721</v>
      </c>
      <c r="C287" s="945"/>
      <c r="D287" s="945" t="s">
        <v>722</v>
      </c>
      <c r="E287" s="945"/>
      <c r="F287" s="945"/>
      <c r="G287" s="945"/>
      <c r="H287" s="950"/>
    </row>
    <row r="288" spans="1:8" x14ac:dyDescent="0.25">
      <c r="A288" s="1083"/>
      <c r="B288" s="1081" t="s">
        <v>725</v>
      </c>
      <c r="C288" s="945"/>
      <c r="D288" s="1019" t="s">
        <v>1763</v>
      </c>
      <c r="E288" s="945"/>
      <c r="F288" s="945"/>
      <c r="G288" s="945"/>
      <c r="H288" s="950"/>
    </row>
    <row r="289" spans="1:8" ht="15.75" thickBot="1" x14ac:dyDescent="0.3">
      <c r="A289" s="1088"/>
      <c r="B289" s="1089" t="s">
        <v>577</v>
      </c>
      <c r="C289" s="948"/>
      <c r="D289" s="1087" t="s">
        <v>578</v>
      </c>
      <c r="E289" s="948"/>
      <c r="F289" s="948"/>
      <c r="G289" s="948"/>
      <c r="H289" s="951"/>
    </row>
    <row r="290" spans="1:8" ht="15.75" thickTop="1" x14ac:dyDescent="0.25"/>
  </sheetData>
  <sheetProtection sheet="1" objects="1" scenarios="1"/>
  <phoneticPr fontId="0" type="noConversion"/>
  <dataValidations count="1">
    <dataValidation type="list" allowBlank="1" showInputMessage="1" showErrorMessage="1" sqref="H102">
      <formula1>"MFJ,SF,HH,MFS"</formula1>
    </dataValidation>
  </dataValidations>
  <hyperlinks>
    <hyperlink ref="B1" location="'1. AgeData'!A1" display="Previous worksheet (1. AgeData)"/>
    <hyperlink ref="G1" location="'3. WorkData'!A1" display="Next worksheet (3. WorkData)"/>
    <hyperlink ref="B264" location="'1. AgeData'!A1" display="Previous worksheet (1. AgeData)"/>
    <hyperlink ref="A110" r:id="rId1"/>
    <hyperlink ref="G264" location="'3. WorkData'!A1" display="Next worksheet (3. WorkData)"/>
    <hyperlink ref="B271" location="'S. Setup'!A1" display="Setup"/>
    <hyperlink ref="B272" location="'1. AgeData'!A1" display="AgeData"/>
    <hyperlink ref="B273" location="'2. TaxData'!A1" display="TaxData"/>
    <hyperlink ref="B275" location="'4. PensionData'!A1" display="4. PensionData"/>
    <hyperlink ref="B276" location="'5. SocSecData'!A1" display="5. SocSecData"/>
    <hyperlink ref="B274" location="'3. WorkData'!A1" display="3. WorkData"/>
    <hyperlink ref="B277" location="'6. AnnuityData'!A1" display="AnnuityData"/>
    <hyperlink ref="B278" location="'7. IRAdata'!A1" display="IRAdata"/>
    <hyperlink ref="B279" location="'8. RothData'!A1" display="RothData"/>
    <hyperlink ref="B280" location="'9. SavingsData'!A1" display="SavingsData"/>
    <hyperlink ref="B270" location="'R. Results'!A1" display="Results"/>
    <hyperlink ref="B282" location="'11. CashData'!A1" display="CashData"/>
    <hyperlink ref="B281" location="'10. ExpensesData'!A1" display="ExpensesData"/>
    <hyperlink ref="B283" location="'12. RMDtable'!A1" display="RMDtable"/>
    <hyperlink ref="B268" location="Introduction!A1" display="Introduction"/>
    <hyperlink ref="B288" location="'Appendix D'!A1" display="Appendix D"/>
    <hyperlink ref="B285" location="'Appendix A'!A1" display="Appendix A"/>
    <hyperlink ref="B286" location="'Appendix B'!A1" display="Appendix B"/>
    <hyperlink ref="B287" location="'Appendix C'!A1" display="Appendix C"/>
    <hyperlink ref="B289" location="FAQ!A1" display="FAQ"/>
    <hyperlink ref="B269" location="Assumptions!A1" display="Assumptions"/>
    <hyperlink ref="B284" location="'RS. Resources'!A1" display="Resources"/>
    <hyperlink ref="H12" location="'S. Setup'!A1" display="S. Setup"/>
  </hyperlinks>
  <printOptions headings="1" gridLines="1"/>
  <pageMargins left="0.7" right="0.7" top="0.75" bottom="0.75" header="0.3" footer="0.3"/>
  <pageSetup orientation="landscape" horizontalDpi="0" verticalDpi="0" r:id="rId2"/>
  <headerFooter>
    <oddHeader>&amp;L&amp;F&amp;C   &amp;D &amp;T&amp;R&amp;A &amp;P</oddHeader>
  </headerFooter>
  <drawing r:id="rId3"/>
  <legacyDrawing r:id="rId4"/>
  <oleObjects>
    <mc:AlternateContent xmlns:mc="http://schemas.openxmlformats.org/markup-compatibility/2006">
      <mc:Choice Requires="x14">
        <oleObject shapeId="24584" r:id="rId5">
          <objectPr defaultSize="0" autoPict="0" r:id="rId6">
            <anchor moveWithCells="1">
              <from>
                <xdr:col>7</xdr:col>
                <xdr:colOff>142875</xdr:colOff>
                <xdr:row>97</xdr:row>
                <xdr:rowOff>9525</xdr:rowOff>
              </from>
              <to>
                <xdr:col>8</xdr:col>
                <xdr:colOff>123825</xdr:colOff>
                <xdr:row>100</xdr:row>
                <xdr:rowOff>9525</xdr:rowOff>
              </to>
            </anchor>
          </objectPr>
        </oleObject>
      </mc:Choice>
      <mc:Fallback>
        <oleObject shapeId="24584" r:id="rId5"/>
      </mc:Fallback>
    </mc:AlternateContent>
  </oleObjec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M134"/>
  <sheetViews>
    <sheetView workbookViewId="0">
      <selection activeCell="H42" sqref="H42"/>
    </sheetView>
  </sheetViews>
  <sheetFormatPr defaultRowHeight="15" x14ac:dyDescent="0.25"/>
  <cols>
    <col min="1" max="1" width="7.42578125" customWidth="1"/>
    <col min="2" max="2" width="7.28515625" customWidth="1"/>
    <col min="5" max="5" width="11.42578125" customWidth="1"/>
    <col min="6" max="6" width="11.7109375" customWidth="1"/>
    <col min="7" max="7" width="9.7109375" customWidth="1"/>
    <col min="8" max="8" width="9.85546875" customWidth="1"/>
    <col min="10" max="10" width="9.85546875" customWidth="1"/>
    <col min="11" max="11" width="11.85546875" customWidth="1"/>
  </cols>
  <sheetData>
    <row r="1" spans="1:13" s="1382" customFormat="1" ht="15.75" x14ac:dyDescent="0.25">
      <c r="B1" s="1471" t="s">
        <v>1123</v>
      </c>
      <c r="G1" s="1471" t="s">
        <v>1435</v>
      </c>
    </row>
    <row r="2" spans="1:13" s="1367" customFormat="1" ht="15.75" x14ac:dyDescent="0.25">
      <c r="A2" s="1412"/>
      <c r="B2" s="1413"/>
      <c r="C2" s="1412"/>
      <c r="D2" s="1412"/>
      <c r="E2" s="1412"/>
      <c r="F2" s="1412"/>
      <c r="G2" s="1413"/>
      <c r="H2" s="1412"/>
      <c r="I2" s="1412"/>
      <c r="J2" s="1414"/>
      <c r="K2" s="1414"/>
      <c r="L2" s="1414"/>
    </row>
    <row r="4" spans="1:13" ht="18.75" x14ac:dyDescent="0.3">
      <c r="A4" s="230" t="s">
        <v>1433</v>
      </c>
      <c r="B4" s="6"/>
      <c r="C4" s="6"/>
      <c r="D4" s="6"/>
      <c r="E4" s="6"/>
      <c r="F4" s="6"/>
      <c r="G4" s="6"/>
      <c r="H4" s="6"/>
      <c r="I4" s="6"/>
      <c r="J4" s="6"/>
      <c r="K4" s="6"/>
    </row>
    <row r="5" spans="1:13" ht="18.75" x14ac:dyDescent="0.3">
      <c r="A5" s="230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3" ht="15.75" x14ac:dyDescent="0.25">
      <c r="A6" s="1582" t="s">
        <v>2989</v>
      </c>
      <c r="B6" s="6"/>
      <c r="C6" s="6"/>
      <c r="D6" s="6"/>
      <c r="E6" s="6"/>
      <c r="F6" s="6"/>
      <c r="G6" s="6"/>
      <c r="H6" s="6"/>
      <c r="I6" s="6"/>
      <c r="J6" s="6"/>
      <c r="K6" s="6"/>
    </row>
    <row r="7" spans="1:13" s="290" customFormat="1" ht="18.75" x14ac:dyDescent="0.3">
      <c r="A7" s="1296" t="s">
        <v>3297</v>
      </c>
      <c r="B7" s="712"/>
      <c r="C7" s="33"/>
      <c r="D7" s="33"/>
      <c r="E7" s="33"/>
      <c r="F7" s="33"/>
      <c r="G7" s="33"/>
      <c r="H7" s="33"/>
      <c r="I7" s="714"/>
      <c r="J7" s="713"/>
      <c r="K7" s="33"/>
      <c r="L7" s="636"/>
      <c r="M7" s="33"/>
    </row>
    <row r="8" spans="1:13" s="290" customFormat="1" ht="18.75" x14ac:dyDescent="0.3">
      <c r="A8" s="1296" t="s">
        <v>3298</v>
      </c>
      <c r="B8" s="712"/>
      <c r="C8" s="33"/>
      <c r="D8" s="33"/>
      <c r="E8" s="33"/>
      <c r="F8" s="33"/>
      <c r="G8" s="33"/>
      <c r="H8" s="33"/>
      <c r="I8" s="714"/>
      <c r="J8" s="713"/>
      <c r="K8" s="33"/>
      <c r="L8" s="636"/>
      <c r="M8" s="33"/>
    </row>
    <row r="9" spans="1:13" s="290" customFormat="1" ht="18.75" x14ac:dyDescent="0.3">
      <c r="A9" s="1296" t="s">
        <v>3299</v>
      </c>
      <c r="B9" s="712"/>
      <c r="C9" s="33"/>
      <c r="D9" s="33"/>
      <c r="E9" s="33"/>
      <c r="F9" s="33"/>
      <c r="G9" s="33"/>
      <c r="H9" s="33"/>
      <c r="I9" s="714"/>
      <c r="J9" s="713"/>
      <c r="K9" s="33"/>
      <c r="L9" s="636"/>
      <c r="M9" s="33"/>
    </row>
    <row r="10" spans="1:13" s="3630" customFormat="1" ht="19.5" thickBot="1" x14ac:dyDescent="0.35">
      <c r="A10" s="268"/>
      <c r="B10" s="268"/>
      <c r="C10" s="268"/>
      <c r="D10" s="268"/>
      <c r="E10" s="268"/>
      <c r="F10" s="268"/>
      <c r="G10" s="268"/>
      <c r="H10" s="268"/>
      <c r="I10" s="268"/>
      <c r="J10" s="268"/>
      <c r="K10" s="268"/>
      <c r="M10" s="268"/>
    </row>
    <row r="11" spans="1:13" s="290" customFormat="1" ht="18.75" x14ac:dyDescent="0.3">
      <c r="A11" s="289"/>
      <c r="B11" s="627" t="str">
        <f>IF('S. Setup'!$K$35="used","You MUST edit this worksheet","You DO NOT HAVE TO edit this worksheet")</f>
        <v>You MUST edit this worksheet</v>
      </c>
      <c r="C11" s="628"/>
      <c r="D11" s="628"/>
      <c r="E11" s="628"/>
      <c r="F11" s="628"/>
      <c r="G11" s="629"/>
      <c r="H11" s="628"/>
      <c r="I11" s="628"/>
      <c r="J11" s="630"/>
      <c r="K11" s="33"/>
      <c r="L11" s="33"/>
      <c r="M11" s="33"/>
    </row>
    <row r="12" spans="1:13" s="290" customFormat="1" ht="19.5" thickBot="1" x14ac:dyDescent="0.35">
      <c r="A12" s="289"/>
      <c r="B12" s="631" t="s">
        <v>584</v>
      </c>
      <c r="C12" s="632"/>
      <c r="D12" s="632"/>
      <c r="E12" s="632"/>
      <c r="F12" s="632"/>
      <c r="G12" s="632"/>
      <c r="H12" s="632"/>
      <c r="I12" s="634" t="str">
        <f>'S. Setup'!$K$35</f>
        <v>used</v>
      </c>
      <c r="J12" s="633"/>
      <c r="K12" s="33"/>
      <c r="L12" s="636"/>
      <c r="M12" s="33"/>
    </row>
    <row r="13" spans="1:13" s="1099" customFormat="1" ht="18.75" x14ac:dyDescent="0.3">
      <c r="A13" s="636"/>
      <c r="B13" s="1097" t="s">
        <v>60</v>
      </c>
      <c r="C13" s="1097"/>
      <c r="D13" s="1097"/>
      <c r="E13" s="1097"/>
      <c r="F13" s="1097"/>
      <c r="G13" s="1097"/>
      <c r="H13" s="1097"/>
      <c r="I13" s="1388" t="s">
        <v>1104</v>
      </c>
      <c r="J13" s="713"/>
      <c r="K13" s="33"/>
      <c r="L13" s="636"/>
      <c r="M13" s="33"/>
    </row>
    <row r="14" spans="1:13" s="290" customFormat="1" ht="19.5" thickBot="1" x14ac:dyDescent="0.35">
      <c r="A14" s="289"/>
      <c r="B14" s="712"/>
      <c r="C14" s="33"/>
      <c r="D14" s="33"/>
      <c r="E14" s="33"/>
      <c r="F14" s="33"/>
      <c r="G14" s="33"/>
      <c r="H14" s="33"/>
      <c r="I14" s="714"/>
      <c r="J14" s="713"/>
      <c r="K14" s="33"/>
      <c r="L14" s="636"/>
      <c r="M14" s="33"/>
    </row>
    <row r="15" spans="1:13" s="290" customFormat="1" ht="18.75" x14ac:dyDescent="0.3">
      <c r="A15" s="699" t="s">
        <v>253</v>
      </c>
      <c r="B15" s="736"/>
      <c r="C15" s="737"/>
      <c r="D15" s="737"/>
      <c r="E15" s="737"/>
      <c r="F15" s="737"/>
      <c r="G15" s="737"/>
      <c r="H15" s="737"/>
      <c r="I15" s="757"/>
      <c r="J15" s="887"/>
      <c r="K15" s="33"/>
      <c r="L15" s="636"/>
      <c r="M15" s="33"/>
    </row>
    <row r="16" spans="1:13" s="290" customFormat="1" ht="18.75" x14ac:dyDescent="0.3">
      <c r="A16" s="1888" t="s">
        <v>1433</v>
      </c>
      <c r="B16" s="712"/>
      <c r="C16" s="33"/>
      <c r="D16" s="33"/>
      <c r="E16" s="33"/>
      <c r="F16" s="33"/>
      <c r="G16" s="33"/>
      <c r="H16" s="33"/>
      <c r="I16" s="714"/>
      <c r="J16" s="888"/>
      <c r="K16" s="33"/>
      <c r="L16" s="636"/>
      <c r="M16" s="33"/>
    </row>
    <row r="17" spans="1:13" s="290" customFormat="1" ht="18.75" x14ac:dyDescent="0.3">
      <c r="A17" s="1888" t="s">
        <v>1444</v>
      </c>
      <c r="B17" s="712"/>
      <c r="C17" s="33"/>
      <c r="D17" s="33"/>
      <c r="E17" s="33"/>
      <c r="F17" s="33"/>
      <c r="G17" s="33"/>
      <c r="H17" s="33"/>
      <c r="I17" s="714"/>
      <c r="J17" s="888"/>
      <c r="K17" s="33"/>
      <c r="L17" s="636"/>
      <c r="M17" s="33"/>
    </row>
    <row r="18" spans="1:13" s="290" customFormat="1" ht="19.5" thickBot="1" x14ac:dyDescent="0.35">
      <c r="A18" s="1889" t="s">
        <v>1445</v>
      </c>
      <c r="B18" s="742"/>
      <c r="C18" s="743"/>
      <c r="D18" s="743"/>
      <c r="E18" s="743"/>
      <c r="F18" s="743"/>
      <c r="G18" s="743"/>
      <c r="H18" s="743"/>
      <c r="I18" s="759"/>
      <c r="J18" s="1137"/>
      <c r="K18" s="33"/>
      <c r="L18" s="636"/>
      <c r="M18" s="33"/>
    </row>
    <row r="19" spans="1:13" s="290" customFormat="1" ht="18.75" x14ac:dyDescent="0.3">
      <c r="A19" s="289"/>
      <c r="B19" s="712"/>
      <c r="C19" s="33"/>
      <c r="D19" s="33"/>
      <c r="E19" s="33"/>
      <c r="F19" s="33"/>
      <c r="G19" s="33"/>
      <c r="H19" s="33"/>
      <c r="I19" s="714"/>
      <c r="J19" s="713"/>
      <c r="K19" s="33"/>
      <c r="L19" s="636"/>
      <c r="M19" s="33"/>
    </row>
    <row r="20" spans="1:13" x14ac:dyDescent="0.25">
      <c r="A20" s="6" t="s">
        <v>3284</v>
      </c>
      <c r="B20" s="66"/>
      <c r="C20" s="66"/>
      <c r="D20" s="66"/>
      <c r="E20" s="66"/>
      <c r="F20" s="66"/>
      <c r="G20" s="6"/>
      <c r="H20" s="6"/>
      <c r="I20" s="6"/>
      <c r="J20" s="6"/>
      <c r="K20" s="6"/>
      <c r="M20" s="6"/>
    </row>
    <row r="21" spans="1:13" x14ac:dyDescent="0.25">
      <c r="A21" s="66" t="s">
        <v>202</v>
      </c>
      <c r="B21" s="66"/>
      <c r="C21" s="66"/>
      <c r="D21" s="66"/>
      <c r="E21" s="66"/>
      <c r="F21" s="66"/>
      <c r="G21" s="6"/>
      <c r="H21" s="6"/>
      <c r="I21" s="6"/>
      <c r="J21" s="6"/>
      <c r="K21" s="6"/>
      <c r="M21" s="6"/>
    </row>
    <row r="22" spans="1:13" x14ac:dyDescent="0.25">
      <c r="A22" s="66" t="s">
        <v>1196</v>
      </c>
      <c r="B22" s="66"/>
      <c r="C22" s="66"/>
      <c r="D22" s="66"/>
      <c r="E22" s="66"/>
      <c r="F22" s="66"/>
      <c r="G22" s="6"/>
      <c r="H22" s="6"/>
      <c r="I22" s="6"/>
      <c r="J22" s="6"/>
      <c r="K22" s="6"/>
      <c r="M22" s="6"/>
    </row>
    <row r="23" spans="1:13" x14ac:dyDescent="0.25">
      <c r="A23" s="33" t="s">
        <v>2836</v>
      </c>
      <c r="B23" s="66"/>
      <c r="C23" s="66"/>
      <c r="D23" s="66"/>
      <c r="E23" s="66"/>
      <c r="F23" s="66"/>
      <c r="G23" s="6"/>
      <c r="H23" s="6"/>
      <c r="I23" s="6"/>
      <c r="J23" s="6"/>
      <c r="K23" s="6"/>
      <c r="M23" s="6"/>
    </row>
    <row r="24" spans="1:13" x14ac:dyDescent="0.25">
      <c r="A24" s="1541" t="s">
        <v>3285</v>
      </c>
      <c r="B24" s="66"/>
      <c r="C24" s="66"/>
      <c r="D24" s="66"/>
      <c r="E24" s="66"/>
      <c r="F24" s="66"/>
      <c r="G24" s="6"/>
      <c r="H24" s="6"/>
      <c r="I24" s="6"/>
      <c r="J24" s="6"/>
      <c r="K24" s="6"/>
      <c r="M24" s="6"/>
    </row>
    <row r="25" spans="1:13" s="67" customFormat="1" x14ac:dyDescent="0.25">
      <c r="A25" t="s">
        <v>3286</v>
      </c>
      <c r="B25" s="66"/>
      <c r="C25" s="66"/>
      <c r="D25" s="66"/>
      <c r="E25" s="66"/>
      <c r="F25" s="66"/>
      <c r="G25" s="66"/>
      <c r="H25" s="66"/>
      <c r="I25" s="66"/>
      <c r="J25" s="66"/>
      <c r="K25" s="66"/>
      <c r="M25" s="66"/>
    </row>
    <row r="26" spans="1:13" x14ac:dyDescent="0.25">
      <c r="A26" s="64"/>
      <c r="B26" s="6"/>
      <c r="C26" s="6"/>
      <c r="D26" s="6"/>
      <c r="E26" s="6"/>
      <c r="F26" s="6"/>
      <c r="G26" s="6"/>
      <c r="H26" s="6"/>
      <c r="I26" s="6"/>
      <c r="J26" s="6"/>
      <c r="K26" s="6"/>
      <c r="M26" s="6"/>
    </row>
    <row r="27" spans="1:13" ht="15.75" x14ac:dyDescent="0.25">
      <c r="A27" s="1296" t="s">
        <v>3287</v>
      </c>
      <c r="B27" s="6"/>
      <c r="C27" s="6"/>
      <c r="D27" s="6"/>
      <c r="E27" s="6"/>
      <c r="F27" s="6"/>
      <c r="G27" s="6"/>
      <c r="H27" s="6"/>
      <c r="I27" s="6"/>
      <c r="J27" s="6"/>
      <c r="K27" s="6"/>
      <c r="M27" s="6"/>
    </row>
    <row r="28" spans="1:13" x14ac:dyDescent="0.25">
      <c r="A28" s="1296" t="s">
        <v>3288</v>
      </c>
      <c r="B28" s="6"/>
      <c r="C28" s="6"/>
      <c r="D28" s="6"/>
      <c r="E28" s="6"/>
      <c r="F28" s="6"/>
      <c r="G28" s="6"/>
      <c r="H28" s="6"/>
      <c r="I28" s="6"/>
      <c r="J28" s="6"/>
      <c r="K28" s="6"/>
      <c r="M28" s="6"/>
    </row>
    <row r="29" spans="1:13" x14ac:dyDescent="0.25">
      <c r="A29" s="1296" t="s">
        <v>3289</v>
      </c>
      <c r="B29" s="6"/>
      <c r="C29" s="6"/>
      <c r="D29" s="6"/>
      <c r="E29" s="6"/>
      <c r="F29" s="6"/>
      <c r="G29" s="6"/>
      <c r="H29" s="6"/>
      <c r="I29" s="6"/>
      <c r="J29" s="6"/>
      <c r="K29" s="6"/>
      <c r="M29" s="6"/>
    </row>
    <row r="30" spans="1:13" x14ac:dyDescent="0.25">
      <c r="A30" s="1296" t="s">
        <v>3290</v>
      </c>
      <c r="B30" s="6"/>
      <c r="C30" s="6"/>
      <c r="D30" s="6"/>
      <c r="E30" s="6"/>
      <c r="F30" s="6"/>
      <c r="G30" s="6"/>
      <c r="H30" s="6"/>
      <c r="I30" s="6"/>
      <c r="J30" s="6"/>
      <c r="K30" s="6"/>
      <c r="M30" s="6"/>
    </row>
    <row r="31" spans="1:13" x14ac:dyDescent="0.25">
      <c r="A31" s="1296" t="s">
        <v>3291</v>
      </c>
      <c r="B31" s="6"/>
      <c r="C31" s="6"/>
      <c r="D31" s="6"/>
      <c r="E31" s="6"/>
      <c r="F31" s="6"/>
      <c r="G31" s="6"/>
      <c r="H31" s="6"/>
      <c r="I31" s="6"/>
      <c r="J31" s="6"/>
      <c r="K31" s="6"/>
      <c r="M31" s="6"/>
    </row>
    <row r="32" spans="1:13" x14ac:dyDescent="0.25">
      <c r="A32" s="1296" t="s">
        <v>3292</v>
      </c>
      <c r="B32" s="6"/>
      <c r="C32" s="6"/>
      <c r="D32" s="6"/>
      <c r="E32" s="6"/>
      <c r="F32" s="6"/>
      <c r="G32" s="6"/>
      <c r="H32" s="6"/>
      <c r="I32" s="6"/>
      <c r="J32" s="6"/>
      <c r="K32" s="6"/>
      <c r="M32" s="6"/>
    </row>
    <row r="33" spans="1:13" x14ac:dyDescent="0.25">
      <c r="A33" s="64" t="s">
        <v>3293</v>
      </c>
      <c r="B33" s="6"/>
      <c r="C33" s="6"/>
      <c r="D33" s="6"/>
      <c r="E33" s="6"/>
      <c r="F33" s="6"/>
      <c r="G33" s="6"/>
      <c r="H33" s="6"/>
      <c r="I33" s="6"/>
      <c r="J33" s="6"/>
      <c r="M33" s="6"/>
    </row>
    <row r="34" spans="1:13" x14ac:dyDescent="0.25">
      <c r="A34" s="64"/>
      <c r="B34" s="6"/>
      <c r="C34" s="6"/>
      <c r="D34" s="6"/>
      <c r="E34" s="6"/>
      <c r="F34" s="6"/>
      <c r="G34" s="6"/>
      <c r="H34" s="6"/>
      <c r="I34" s="6"/>
      <c r="J34" s="6"/>
      <c r="M34" s="6"/>
    </row>
    <row r="35" spans="1:13" ht="15.75" thickBot="1" x14ac:dyDescent="0.3">
      <c r="A35" s="212"/>
      <c r="B35" s="64"/>
      <c r="C35" s="17"/>
      <c r="D35" s="25"/>
      <c r="E35" s="6"/>
      <c r="F35" s="1761"/>
      <c r="G35" s="22"/>
      <c r="H35" s="23"/>
      <c r="I35" s="23"/>
      <c r="J35" s="6"/>
      <c r="K35" s="6"/>
    </row>
    <row r="36" spans="1:13" ht="19.5" thickTop="1" x14ac:dyDescent="0.3">
      <c r="A36" s="1369" t="s">
        <v>1443</v>
      </c>
      <c r="B36" s="1836"/>
      <c r="C36" s="1836"/>
      <c r="D36" s="1360"/>
      <c r="E36" s="2048"/>
      <c r="F36" s="2049"/>
      <c r="G36" s="2050"/>
      <c r="H36" s="2050"/>
      <c r="I36" s="2050"/>
      <c r="J36" s="1341"/>
      <c r="K36" s="1342"/>
    </row>
    <row r="37" spans="1:13" ht="18.75" x14ac:dyDescent="0.3">
      <c r="A37" s="1814" t="s">
        <v>105</v>
      </c>
      <c r="B37" s="17"/>
      <c r="C37" s="17"/>
      <c r="D37" s="25"/>
      <c r="E37" s="24"/>
      <c r="F37" s="22"/>
      <c r="G37" s="23"/>
      <c r="H37" s="23"/>
      <c r="I37" s="23"/>
      <c r="J37" s="6"/>
      <c r="K37" s="1311"/>
    </row>
    <row r="38" spans="1:13" ht="15.75" x14ac:dyDescent="0.25">
      <c r="A38" s="2052" t="s">
        <v>1641</v>
      </c>
      <c r="B38" s="6"/>
      <c r="C38" s="17"/>
      <c r="D38" s="25"/>
      <c r="E38" s="6"/>
      <c r="F38" s="22"/>
      <c r="G38" s="23"/>
      <c r="H38" s="23"/>
      <c r="I38" s="23"/>
      <c r="J38" s="6"/>
      <c r="K38" s="1311"/>
    </row>
    <row r="39" spans="1:13" ht="15.75" x14ac:dyDescent="0.25">
      <c r="A39" s="2053" t="s">
        <v>1434</v>
      </c>
      <c r="B39" s="6"/>
      <c r="C39" s="17"/>
      <c r="D39" s="25"/>
      <c r="E39" s="6"/>
      <c r="F39" s="22"/>
      <c r="G39" s="23"/>
      <c r="H39" s="23"/>
      <c r="I39" s="23"/>
      <c r="J39" s="6"/>
      <c r="K39" s="1311"/>
    </row>
    <row r="40" spans="1:13" ht="15.75" x14ac:dyDescent="0.25">
      <c r="A40" s="2053"/>
      <c r="B40" s="6"/>
      <c r="C40" s="17"/>
      <c r="D40" s="25"/>
      <c r="E40" s="6"/>
      <c r="F40" s="22"/>
      <c r="G40" s="23"/>
      <c r="H40" s="23"/>
      <c r="I40" s="23"/>
      <c r="J40" s="6"/>
      <c r="K40" s="1311"/>
    </row>
    <row r="41" spans="1:13" ht="15.75" x14ac:dyDescent="0.25">
      <c r="A41" s="1321" t="s">
        <v>3294</v>
      </c>
      <c r="B41" s="6"/>
      <c r="C41" s="17"/>
      <c r="D41" s="25"/>
      <c r="E41" s="6"/>
      <c r="F41" s="22"/>
      <c r="G41" s="23"/>
      <c r="H41" s="23"/>
      <c r="I41" s="23"/>
      <c r="J41" s="6"/>
      <c r="K41" s="1311"/>
    </row>
    <row r="42" spans="1:13" ht="15.75" x14ac:dyDescent="0.25">
      <c r="A42" s="1321" t="s">
        <v>3295</v>
      </c>
      <c r="B42" s="6"/>
      <c r="C42" s="17"/>
      <c r="D42" s="25"/>
      <c r="E42" s="6"/>
      <c r="F42" s="22"/>
      <c r="G42" s="23"/>
      <c r="H42" s="23"/>
      <c r="I42" s="23"/>
      <c r="J42" s="6"/>
      <c r="K42" s="1311"/>
    </row>
    <row r="43" spans="1:13" ht="15.75" x14ac:dyDescent="0.25">
      <c r="A43" s="1321" t="s">
        <v>3296</v>
      </c>
      <c r="B43" s="6"/>
      <c r="C43" s="17"/>
      <c r="D43" s="25"/>
      <c r="E43" s="6"/>
      <c r="F43" s="22"/>
      <c r="G43" s="23"/>
      <c r="H43" s="23"/>
      <c r="I43" s="23"/>
      <c r="J43" s="6"/>
      <c r="K43" s="1311"/>
    </row>
    <row r="44" spans="1:13" ht="15.75" x14ac:dyDescent="0.25">
      <c r="A44" s="1321" t="s">
        <v>1642</v>
      </c>
      <c r="B44" s="6"/>
      <c r="C44" s="17"/>
      <c r="D44" s="25"/>
      <c r="E44" s="6"/>
      <c r="F44" s="22"/>
      <c r="G44" s="23"/>
      <c r="H44" s="23"/>
      <c r="I44" s="23"/>
      <c r="J44" s="6"/>
      <c r="K44" s="1311"/>
    </row>
    <row r="45" spans="1:13" ht="15.75" x14ac:dyDescent="0.25">
      <c r="A45" s="1321"/>
      <c r="B45" s="6"/>
      <c r="C45" s="17"/>
      <c r="D45" s="25"/>
      <c r="E45" s="6"/>
      <c r="F45" s="22"/>
      <c r="G45" s="23"/>
      <c r="H45" s="23"/>
      <c r="I45" s="23"/>
      <c r="J45" s="6"/>
      <c r="K45" s="1311"/>
    </row>
    <row r="46" spans="1:13" x14ac:dyDescent="0.25">
      <c r="A46" s="1155" t="s">
        <v>1847</v>
      </c>
      <c r="B46" s="6"/>
      <c r="C46" s="17"/>
      <c r="D46" s="25"/>
      <c r="E46" s="6"/>
      <c r="F46" s="22"/>
      <c r="G46" s="23"/>
      <c r="H46" s="23"/>
      <c r="I46" s="23"/>
      <c r="J46" s="6"/>
      <c r="K46" s="1311"/>
    </row>
    <row r="47" spans="1:13" ht="15.75" thickBot="1" x14ac:dyDescent="0.3">
      <c r="A47" s="1345"/>
      <c r="B47" s="64"/>
      <c r="C47" s="17"/>
      <c r="D47" s="25"/>
      <c r="E47" s="6"/>
      <c r="F47" s="1761"/>
      <c r="G47" s="22"/>
      <c r="H47" s="23"/>
      <c r="I47" s="23"/>
      <c r="J47" s="6"/>
      <c r="K47" s="1311"/>
    </row>
    <row r="48" spans="1:13" ht="27.75" thickTop="1" thickBot="1" x14ac:dyDescent="0.3">
      <c r="A48" s="2037" t="s">
        <v>1635</v>
      </c>
      <c r="B48" s="2038" t="s">
        <v>1629</v>
      </c>
      <c r="C48" s="2038" t="s">
        <v>1630</v>
      </c>
      <c r="D48" s="2039" t="s">
        <v>1631</v>
      </c>
      <c r="E48" s="2039" t="s">
        <v>1632</v>
      </c>
      <c r="F48" s="2039" t="s">
        <v>447</v>
      </c>
      <c r="G48" s="532" t="s">
        <v>1634</v>
      </c>
      <c r="H48" s="2038" t="s">
        <v>1633</v>
      </c>
      <c r="I48" s="2039" t="s">
        <v>1631</v>
      </c>
      <c r="J48" s="2039" t="s">
        <v>1632</v>
      </c>
      <c r="K48" s="2040" t="s">
        <v>2530</v>
      </c>
    </row>
    <row r="49" spans="1:12" ht="15.75" thickTop="1" x14ac:dyDescent="0.25">
      <c r="A49" s="2041">
        <v>1</v>
      </c>
      <c r="B49" s="2064">
        <v>25</v>
      </c>
      <c r="C49" s="2065">
        <v>62</v>
      </c>
      <c r="D49" s="2066">
        <v>50000</v>
      </c>
      <c r="E49" s="1796">
        <v>0.02</v>
      </c>
      <c r="F49" s="2032">
        <v>0</v>
      </c>
      <c r="G49" s="2459">
        <v>25</v>
      </c>
      <c r="H49" s="2065">
        <v>35</v>
      </c>
      <c r="I49" s="2066">
        <v>20000</v>
      </c>
      <c r="J49" s="1796">
        <v>2.1999999999999999E-2</v>
      </c>
      <c r="K49" s="2034">
        <v>0</v>
      </c>
    </row>
    <row r="50" spans="1:12" x14ac:dyDescent="0.25">
      <c r="A50" s="2042">
        <v>2</v>
      </c>
      <c r="B50" s="2064">
        <v>63</v>
      </c>
      <c r="C50" s="2065">
        <v>69</v>
      </c>
      <c r="D50" s="2066">
        <v>40000</v>
      </c>
      <c r="E50" s="1796">
        <v>5.0000000000000001E-3</v>
      </c>
      <c r="F50" s="2032">
        <v>0</v>
      </c>
      <c r="G50" s="2460">
        <v>35</v>
      </c>
      <c r="H50" s="2065">
        <v>57</v>
      </c>
      <c r="I50" s="2066">
        <v>40000</v>
      </c>
      <c r="J50" s="1796">
        <v>1.4999999999999999E-2</v>
      </c>
      <c r="K50" s="2034">
        <v>0</v>
      </c>
    </row>
    <row r="51" spans="1:12" ht="15.75" thickBot="1" x14ac:dyDescent="0.3">
      <c r="A51" s="2043">
        <v>3</v>
      </c>
      <c r="B51" s="2067">
        <v>0</v>
      </c>
      <c r="C51" s="2068">
        <v>0</v>
      </c>
      <c r="D51" s="2069">
        <v>0</v>
      </c>
      <c r="E51" s="2070">
        <v>0</v>
      </c>
      <c r="F51" s="2035">
        <v>0</v>
      </c>
      <c r="G51" s="2461">
        <v>58</v>
      </c>
      <c r="H51" s="2068">
        <v>66</v>
      </c>
      <c r="I51" s="2069">
        <v>15000</v>
      </c>
      <c r="J51" s="2070">
        <v>1.4999999999999999E-2</v>
      </c>
      <c r="K51" s="2036">
        <v>0</v>
      </c>
    </row>
    <row r="52" spans="1:12" ht="15.75" thickTop="1" x14ac:dyDescent="0.25">
      <c r="A52" s="2057"/>
      <c r="B52" s="2058" t="str">
        <f>IF(B49&gt;C49,"End age for S1 Job 1 must be &gt; start age.", ".")</f>
        <v>.</v>
      </c>
      <c r="C52" s="2059"/>
      <c r="D52" s="2060"/>
      <c r="E52" s="2061"/>
      <c r="F52" s="2062"/>
      <c r="G52" s="2058" t="str">
        <f>IF(G49&gt;H49,"End age for S2 Job 1 must be &gt; start age.", ".")</f>
        <v>.</v>
      </c>
      <c r="H52" s="2059"/>
      <c r="I52" s="2060"/>
      <c r="J52" s="2061"/>
      <c r="K52" s="2063"/>
    </row>
    <row r="53" spans="1:12" x14ac:dyDescent="0.25">
      <c r="A53" s="2033"/>
      <c r="B53" s="1358" t="str">
        <f>IF(B50&gt;C50,"End age for S1 Job 2 must be &gt; start age.", ".")</f>
        <v>.</v>
      </c>
      <c r="C53" s="2029"/>
      <c r="D53" s="2030"/>
      <c r="E53" s="2031"/>
      <c r="F53" s="2032"/>
      <c r="G53" s="1358" t="str">
        <f>IF(G50&gt;H50,"End age for S2 Job 2 must be &gt; start age.", ".")</f>
        <v>.</v>
      </c>
      <c r="H53" s="2029"/>
      <c r="I53" s="2030"/>
      <c r="J53" s="2031"/>
      <c r="K53" s="2034"/>
    </row>
    <row r="54" spans="1:12" ht="15.75" thickBot="1" x14ac:dyDescent="0.3">
      <c r="A54" s="2033"/>
      <c r="B54" s="1358" t="str">
        <f>IF(B51&gt;C51,"End age for S1 Job 3 must be &gt; start age.", ".")</f>
        <v>.</v>
      </c>
      <c r="C54" s="2029"/>
      <c r="D54" s="2030"/>
      <c r="E54" s="2031"/>
      <c r="F54" s="2032"/>
      <c r="G54" s="1358" t="str">
        <f>IF(G51&gt;H51,"End age for S2 Job 3 must be &gt; start age.", ".")</f>
        <v>.</v>
      </c>
      <c r="H54" s="2029"/>
      <c r="I54" s="2030"/>
      <c r="J54" s="2031"/>
      <c r="K54" s="2034"/>
    </row>
    <row r="55" spans="1:12" ht="16.5" thickTop="1" thickBot="1" x14ac:dyDescent="0.3">
      <c r="A55" s="2080" t="s">
        <v>1707</v>
      </c>
      <c r="B55" s="2081"/>
      <c r="C55" s="2082"/>
      <c r="D55" s="2083"/>
      <c r="E55" s="2084">
        <f>MAX('1. AgeData'!$D$30,MAX(C49:C51))</f>
        <v>69</v>
      </c>
      <c r="F55" s="2085"/>
      <c r="G55" s="2086" t="s">
        <v>1708</v>
      </c>
      <c r="H55" s="2081"/>
      <c r="I55" s="2082"/>
      <c r="J55" s="2087">
        <f>MAX('1. AgeData'!$D$31,MAX(H49:H51))</f>
        <v>66</v>
      </c>
      <c r="K55" s="2036"/>
    </row>
    <row r="56" spans="1:12" ht="16.5" thickTop="1" thickBot="1" x14ac:dyDescent="0.3">
      <c r="A56" s="2080"/>
      <c r="B56" s="3246" t="s">
        <v>2519</v>
      </c>
      <c r="C56" s="2082"/>
      <c r="D56" s="2083"/>
      <c r="E56" s="2088"/>
      <c r="F56" s="2089"/>
      <c r="G56" s="2081"/>
      <c r="H56" s="2082"/>
      <c r="I56" s="2083"/>
      <c r="J56" s="2088"/>
      <c r="K56" s="2090"/>
    </row>
    <row r="57" spans="1:12" ht="15.75" thickTop="1" x14ac:dyDescent="0.25">
      <c r="A57" s="2027"/>
      <c r="B57" s="2028"/>
      <c r="C57" s="2029"/>
      <c r="D57" s="2030"/>
      <c r="E57" s="2031"/>
      <c r="F57" s="2032"/>
      <c r="G57" s="2028"/>
      <c r="H57" s="2029"/>
      <c r="I57" s="2030"/>
      <c r="J57" s="2031"/>
      <c r="K57" s="2032"/>
    </row>
    <row r="58" spans="1:12" ht="15.75" thickBot="1" x14ac:dyDescent="0.3">
      <c r="A58" s="2027"/>
      <c r="B58" s="2028"/>
      <c r="C58" s="2029"/>
      <c r="D58" s="2030"/>
      <c r="E58" s="2031"/>
      <c r="F58" s="2032"/>
      <c r="G58" s="2028"/>
      <c r="H58" s="2029"/>
      <c r="I58" s="2030"/>
      <c r="J58" s="2031"/>
      <c r="K58" s="2032"/>
    </row>
    <row r="59" spans="1:12" ht="19.5" thickBot="1" x14ac:dyDescent="0.35">
      <c r="A59" s="1571" t="s">
        <v>1263</v>
      </c>
      <c r="B59" s="1572"/>
      <c r="C59" s="1573"/>
      <c r="D59" s="1573"/>
      <c r="E59" s="1572"/>
      <c r="F59" s="1572"/>
      <c r="G59" s="1572"/>
      <c r="H59" s="1572"/>
      <c r="I59" s="1572"/>
      <c r="J59" s="1572"/>
      <c r="K59" s="1575"/>
      <c r="L59" s="934"/>
    </row>
    <row r="60" spans="1:12" x14ac:dyDescent="0.25">
      <c r="A60" s="212"/>
      <c r="B60" s="64"/>
      <c r="C60" s="17"/>
      <c r="D60" s="25"/>
      <c r="E60" s="6"/>
      <c r="F60" s="1761"/>
      <c r="G60" s="22"/>
      <c r="H60" s="23"/>
      <c r="I60" s="23"/>
      <c r="J60" s="6"/>
      <c r="K60" s="6"/>
    </row>
    <row r="61" spans="1:12" ht="15.75" thickBot="1" x14ac:dyDescent="0.3">
      <c r="A61" s="212"/>
      <c r="B61" s="64"/>
      <c r="C61" s="17"/>
      <c r="D61" s="25"/>
      <c r="E61" s="6"/>
      <c r="F61" s="1761"/>
      <c r="G61" s="22"/>
      <c r="H61" s="23"/>
      <c r="I61" s="23"/>
      <c r="J61" s="6"/>
      <c r="K61" s="6"/>
    </row>
    <row r="62" spans="1:12" ht="19.5" thickTop="1" x14ac:dyDescent="0.3">
      <c r="A62" s="1369" t="s">
        <v>1644</v>
      </c>
      <c r="B62" s="1836"/>
      <c r="C62" s="1836"/>
      <c r="D62" s="1360"/>
      <c r="E62" s="2048"/>
      <c r="F62" s="2049"/>
      <c r="G62" s="2050"/>
      <c r="H62" s="2050"/>
      <c r="I62" s="2050"/>
      <c r="J62" s="1341"/>
      <c r="K62" s="1342"/>
    </row>
    <row r="63" spans="1:12" ht="18.75" x14ac:dyDescent="0.3">
      <c r="A63" s="1814"/>
      <c r="B63" s="17"/>
      <c r="C63" s="17"/>
      <c r="D63" s="25"/>
      <c r="E63" s="24"/>
      <c r="F63" s="22"/>
      <c r="G63" s="23"/>
      <c r="H63" s="23"/>
      <c r="I63" s="23"/>
      <c r="J63" s="6"/>
      <c r="K63" s="1311"/>
    </row>
    <row r="64" spans="1:12" ht="15.75" x14ac:dyDescent="0.25">
      <c r="A64" s="2051" t="s">
        <v>1645</v>
      </c>
      <c r="B64" s="17"/>
      <c r="C64" s="17"/>
      <c r="D64" s="25"/>
      <c r="E64" s="24"/>
      <c r="F64" s="22"/>
      <c r="G64" s="23"/>
      <c r="H64" s="23"/>
      <c r="I64" s="23"/>
      <c r="J64" s="6"/>
      <c r="K64" s="1311"/>
    </row>
    <row r="65" spans="1:11" ht="15.75" x14ac:dyDescent="0.25">
      <c r="A65" s="2051" t="s">
        <v>1646</v>
      </c>
      <c r="B65" s="17"/>
      <c r="C65" s="17"/>
      <c r="D65" s="25"/>
      <c r="E65" s="24"/>
      <c r="F65" s="22"/>
      <c r="G65" s="23"/>
      <c r="H65" s="23"/>
      <c r="I65" s="23"/>
      <c r="J65" s="6"/>
      <c r="K65" s="1311"/>
    </row>
    <row r="66" spans="1:11" ht="15.75" x14ac:dyDescent="0.25">
      <c r="A66" s="2051" t="s">
        <v>1647</v>
      </c>
      <c r="B66" s="17"/>
      <c r="C66" s="17"/>
      <c r="D66" s="25"/>
      <c r="E66" s="24"/>
      <c r="F66" s="22"/>
      <c r="G66" s="23"/>
      <c r="H66" s="23"/>
      <c r="I66" s="23"/>
      <c r="J66" s="6"/>
      <c r="K66" s="1311"/>
    </row>
    <row r="67" spans="1:11" ht="15.75" thickBot="1" x14ac:dyDescent="0.3">
      <c r="A67" s="1345"/>
      <c r="B67" s="64"/>
      <c r="C67" s="17"/>
      <c r="D67" s="25"/>
      <c r="E67" s="6"/>
      <c r="F67" s="1761"/>
      <c r="G67" s="22"/>
      <c r="H67" s="23"/>
      <c r="I67" s="23"/>
      <c r="J67" s="6"/>
      <c r="K67" s="1311"/>
    </row>
    <row r="68" spans="1:11" ht="53.25" thickTop="1" thickBot="1" x14ac:dyDescent="0.3">
      <c r="A68" s="2044" t="s">
        <v>142</v>
      </c>
      <c r="B68" s="2045" t="s">
        <v>143</v>
      </c>
      <c r="C68" s="2055" t="s">
        <v>1636</v>
      </c>
      <c r="D68" s="2039" t="s">
        <v>1637</v>
      </c>
      <c r="E68" s="2039" t="s">
        <v>1638</v>
      </c>
      <c r="F68" s="2046" t="s">
        <v>1643</v>
      </c>
      <c r="G68" s="2055" t="s">
        <v>1639</v>
      </c>
      <c r="H68" s="2039" t="s">
        <v>1640</v>
      </c>
      <c r="I68" s="2039" t="s">
        <v>2531</v>
      </c>
      <c r="J68" s="2046" t="s">
        <v>2532</v>
      </c>
      <c r="K68" s="2054" t="s">
        <v>248</v>
      </c>
    </row>
    <row r="69" spans="1:11" ht="15.75" thickTop="1" x14ac:dyDescent="0.25">
      <c r="A69" s="3315">
        <f>'1. AgeData'!D30</f>
        <v>60</v>
      </c>
      <c r="B69" s="3316">
        <f>'1. AgeData'!D31</f>
        <v>55</v>
      </c>
      <c r="C69" s="3317">
        <f>IF(AND(A69&gt;=$B$49,A69&lt;=$C$49),($D$49*POWER((1+$E$49),(A69-$A$69))-$F$49),0)*IF(A69&lt;='1. AgeData'!$I$30,1,0)</f>
        <v>50000</v>
      </c>
      <c r="D69" s="3318">
        <f>IF(AND(A69&gt;=$B$50,B69&lt;=$C$50),($D$50*POWER((1+$E$50),(A69-$A$69))-$F$50),0)*IF(A69&lt;='1. AgeData'!$I$30,1,0)</f>
        <v>0</v>
      </c>
      <c r="E69" s="3318">
        <f>IF(AND(A69&gt;=$B$51,C69&lt;=$C$51),($D$51*POWER((1+$E$51),(A69-$A$69))-$F$51),0)*IF(A69&lt;='1. AgeData'!$I$30,1,0)</f>
        <v>0</v>
      </c>
      <c r="F69" s="3319">
        <f>SUM(C69:E69)</f>
        <v>50000</v>
      </c>
      <c r="G69" s="3320">
        <f>IF(AND(B69&gt;=$G$49,B69&lt;=$H$49),($I$49*POWER((1+$J$49),(B69-$B$69))-$K$49),0)*IF(B69&lt;='1. AgeData'!$I$31,1,0)</f>
        <v>0</v>
      </c>
      <c r="H69" s="3318">
        <f>IF(AND(B69&gt;=$G$50,B69&lt;=$H$50),($I$50*POWER((1+$J$50),(B69-$B$69))-$K$50),0)*IF(B69&lt;='1. AgeData'!$I$31,1,0)</f>
        <v>40000</v>
      </c>
      <c r="I69" s="3318">
        <f>IF(AND(B69&gt;=$G$51,B69&lt;=$H$51),($I$51*POWER((1+$J$51),(B69-$B$69))-$K$51),0)*IF(B69&lt;='1. AgeData'!$I$31,1,0)</f>
        <v>0</v>
      </c>
      <c r="J69" s="3319">
        <f>SUM(G69:I69)</f>
        <v>40000</v>
      </c>
      <c r="K69" s="3321">
        <f>F69+J69</f>
        <v>90000</v>
      </c>
    </row>
    <row r="70" spans="1:11" x14ac:dyDescent="0.25">
      <c r="A70" s="3322">
        <f>A69+1</f>
        <v>61</v>
      </c>
      <c r="B70" s="3323">
        <f>B69+1</f>
        <v>56</v>
      </c>
      <c r="C70" s="3324">
        <f>IF(AND(A70&gt;=$B$49,A70&lt;=$C$49),($D$49*POWER((1+$E$49),(A70-$A$69))-$F$49),0)*IF(A70&lt;='1. AgeData'!$I$30,1,0)</f>
        <v>51000</v>
      </c>
      <c r="D70" s="3325">
        <f>IF(AND(A70&gt;=$B$50,B70&lt;=$C$50),($D$50*POWER((1+$E$50),(A70-$A$69))-$F$50),0)*IF(A70&lt;='1. AgeData'!$I$30,1,0)</f>
        <v>0</v>
      </c>
      <c r="E70" s="3325">
        <f>IF(AND(A70&gt;=$B$51,C70&lt;=$C$51),($D$51*POWER((1+$E$51),(A70-$A$69))-$F$51),0)*IF(A70&lt;='1. AgeData'!$I$30,1,0)</f>
        <v>0</v>
      </c>
      <c r="F70" s="3326">
        <f t="shared" ref="F70:F105" si="0">SUM(C70:E70)</f>
        <v>51000</v>
      </c>
      <c r="G70" s="3327">
        <f>IF(AND(B70&gt;=$G$49,B70&lt;=$H$49),($I$49*POWER((1+$J$49),(B70-$B$69))-$K$49),0)*IF(B70&lt;='1. AgeData'!$I$31,1,0)</f>
        <v>0</v>
      </c>
      <c r="H70" s="3325">
        <f>IF(AND(B70&gt;=$G$50,B70&lt;=$H$50),($I$50*POWER((1+$J$50),(B70-$B$69))-$K$50),0)*IF(B70&lt;='1. AgeData'!$I$31,1,0)</f>
        <v>40599.999999999993</v>
      </c>
      <c r="I70" s="3325">
        <f>IF(AND(B70&gt;=$G$51,B70&lt;=$H$51),($I$51*POWER((1+$J$51),(B70-$B$69))-$K$51),0)*IF(B70&lt;='1. AgeData'!$I$31,1,0)</f>
        <v>0</v>
      </c>
      <c r="J70" s="3326">
        <f t="shared" ref="J70:J105" si="1">SUM(G70:I70)</f>
        <v>40599.999999999993</v>
      </c>
      <c r="K70" s="3328">
        <f t="shared" ref="K70:K105" si="2">F70+J70</f>
        <v>91600</v>
      </c>
    </row>
    <row r="71" spans="1:11" x14ac:dyDescent="0.25">
      <c r="A71" s="3322">
        <f t="shared" ref="A71:A94" si="3">A70+1</f>
        <v>62</v>
      </c>
      <c r="B71" s="3323">
        <f t="shared" ref="B71:B94" si="4">B70+1</f>
        <v>57</v>
      </c>
      <c r="C71" s="3324">
        <f>IF(AND(A71&gt;=$B$49,A71&lt;=$C$49),($D$49*POWER((1+$E$49),(A71-$A$69))-$F$49),0)*IF(A71&lt;='1. AgeData'!$I$30,1,0)</f>
        <v>52020</v>
      </c>
      <c r="D71" s="3325">
        <f>IF(AND(A71&gt;=$B$50,B71&lt;=$C$50),($D$50*POWER((1+$E$50),(A71-$A$69))-$F$50),0)*IF(A71&lt;='1. AgeData'!$I$30,1,0)</f>
        <v>0</v>
      </c>
      <c r="E71" s="3325">
        <f>IF(AND(A71&gt;=$B$51,C71&lt;=$C$51),($D$51*POWER((1+$E$51),(A71-$A$69))-$F$51),0)*IF(A71&lt;='1. AgeData'!$I$30,1,0)</f>
        <v>0</v>
      </c>
      <c r="F71" s="3326">
        <f t="shared" si="0"/>
        <v>52020</v>
      </c>
      <c r="G71" s="3327">
        <f>IF(AND(B71&gt;=$G$49,B71&lt;=$H$49),($I$49*POWER((1+$J$49),(B71-$B$69))-$K$49),0)*IF(B71&lt;='1. AgeData'!$I$31,1,0)</f>
        <v>0</v>
      </c>
      <c r="H71" s="3325">
        <f>IF(AND(B71&gt;=$G$50,B71&lt;=$H$50),($I$50*POWER((1+$J$50),(B71-$B$69))-$K$50),0)*IF(B71&lt;='1. AgeData'!$I$31,1,0)</f>
        <v>41208.999999999985</v>
      </c>
      <c r="I71" s="3325">
        <f>IF(AND(B71&gt;=$G$51,B71&lt;=$H$51),($I$51*POWER((1+$J$51),(B71-$B$69))-$K$51),0)*IF(B71&lt;='1. AgeData'!$I$31,1,0)</f>
        <v>0</v>
      </c>
      <c r="J71" s="3326">
        <f t="shared" si="1"/>
        <v>41208.999999999985</v>
      </c>
      <c r="K71" s="3328">
        <f t="shared" si="2"/>
        <v>93228.999999999985</v>
      </c>
    </row>
    <row r="72" spans="1:11" x14ac:dyDescent="0.25">
      <c r="A72" s="3322">
        <f t="shared" si="3"/>
        <v>63</v>
      </c>
      <c r="B72" s="3323">
        <f t="shared" si="4"/>
        <v>58</v>
      </c>
      <c r="C72" s="3324">
        <f>IF(AND(A72&gt;=$B$49,A72&lt;=$C$49),($D$49*POWER((1+$E$49),(A72-$A$69))-$F$49),0)*IF(A72&lt;='1. AgeData'!$I$30,1,0)</f>
        <v>0</v>
      </c>
      <c r="D72" s="3325">
        <f>IF(AND(A72&gt;=$B$50,B72&lt;=$C$50),($D$50*POWER((1+$E$50),(A72-$A$69))-$F$50),0)*IF(A72&lt;='1. AgeData'!$I$30,1,0)</f>
        <v>40603.004999999983</v>
      </c>
      <c r="E72" s="3325">
        <f>IF(AND(A72&gt;=$B$51,C72&lt;=$C$51),($D$51*POWER((1+$E$51),(A72-$A$69))-$F$51),0)*IF(A72&lt;='1. AgeData'!$I$30,1,0)</f>
        <v>0</v>
      </c>
      <c r="F72" s="3326">
        <f t="shared" si="0"/>
        <v>40603.004999999983</v>
      </c>
      <c r="G72" s="3327">
        <f>IF(AND(B72&gt;=$G$49,B72&lt;=$H$49),($I$49*POWER((1+$J$49),(B72-$B$69))-$K$49),0)*IF(B72&lt;='1. AgeData'!$I$31,1,0)</f>
        <v>0</v>
      </c>
      <c r="H72" s="3325">
        <f>IF(AND(B72&gt;=$G$50,B72&lt;=$H$50),($I$50*POWER((1+$J$50),(B72-$B$69))-$K$50),0)*IF(B72&lt;='1. AgeData'!$I$31,1,0)</f>
        <v>0</v>
      </c>
      <c r="I72" s="3325">
        <f>IF(AND(B72&gt;=$G$51,B72&lt;=$H$51),($I$51*POWER((1+$J$51),(B72-$B$69))-$K$51),0)*IF(B72&lt;='1. AgeData'!$I$31,1,0)</f>
        <v>15685.175624999994</v>
      </c>
      <c r="J72" s="3326">
        <f t="shared" si="1"/>
        <v>15685.175624999994</v>
      </c>
      <c r="K72" s="3328">
        <f t="shared" si="2"/>
        <v>56288.180624999979</v>
      </c>
    </row>
    <row r="73" spans="1:11" x14ac:dyDescent="0.25">
      <c r="A73" s="3322">
        <f t="shared" si="3"/>
        <v>64</v>
      </c>
      <c r="B73" s="3323">
        <f t="shared" si="4"/>
        <v>59</v>
      </c>
      <c r="C73" s="3324">
        <f>IF(AND(A73&gt;=$B$49,A73&lt;=$C$49),($D$49*POWER((1+$E$49),(A73-$A$69))-$F$49),0)*IF(A73&lt;='1. AgeData'!$I$30,1,0)</f>
        <v>0</v>
      </c>
      <c r="D73" s="3325">
        <f>IF(AND(A73&gt;=$B$50,B73&lt;=$C$50),($D$50*POWER((1+$E$50),(A73-$A$69))-$F$50),0)*IF(A73&lt;='1. AgeData'!$I$30,1,0)</f>
        <v>40806.020024999976</v>
      </c>
      <c r="E73" s="3325">
        <f>IF(AND(A73&gt;=$B$51,C73&lt;=$C$51),($D$51*POWER((1+$E$51),(A73-$A$69))-$F$51),0)*IF(A73&lt;='1. AgeData'!$I$30,1,0)</f>
        <v>0</v>
      </c>
      <c r="F73" s="3326">
        <f t="shared" si="0"/>
        <v>40806.020024999976</v>
      </c>
      <c r="G73" s="3327">
        <f>IF(AND(B73&gt;=$G$49,B73&lt;=$H$49),($I$49*POWER((1+$J$49),(B73-$B$69))-$K$49),0)*IF(B73&lt;='1. AgeData'!$I$31,1,0)</f>
        <v>0</v>
      </c>
      <c r="H73" s="3325">
        <f>IF(AND(B73&gt;=$G$50,B73&lt;=$H$50),($I$50*POWER((1+$J$50),(B73-$B$69))-$K$50),0)*IF(B73&lt;='1. AgeData'!$I$31,1,0)</f>
        <v>0</v>
      </c>
      <c r="I73" s="3325">
        <f>IF(AND(B73&gt;=$G$51,B73&lt;=$H$51),($I$51*POWER((1+$J$51),(B73-$B$69))-$K$51),0)*IF(B73&lt;='1. AgeData'!$I$31,1,0)</f>
        <v>15920.453259374992</v>
      </c>
      <c r="J73" s="3326">
        <f t="shared" si="1"/>
        <v>15920.453259374992</v>
      </c>
      <c r="K73" s="3328">
        <f t="shared" si="2"/>
        <v>56726.473284374966</v>
      </c>
    </row>
    <row r="74" spans="1:11" x14ac:dyDescent="0.25">
      <c r="A74" s="3322">
        <f t="shared" si="3"/>
        <v>65</v>
      </c>
      <c r="B74" s="3323">
        <f t="shared" si="4"/>
        <v>60</v>
      </c>
      <c r="C74" s="3324">
        <f>IF(AND(A74&gt;=$B$49,A74&lt;=$C$49),($D$49*POWER((1+$E$49),(A74-$A$69))-$F$49),0)*IF(A74&lt;='1. AgeData'!$I$30,1,0)</f>
        <v>0</v>
      </c>
      <c r="D74" s="3325">
        <f>IF(AND(A74&gt;=$B$50,B74&lt;=$C$50),($D$50*POWER((1+$E$50),(A74-$A$69))-$F$50),0)*IF(A74&lt;='1. AgeData'!$I$30,1,0)</f>
        <v>41010.050125124966</v>
      </c>
      <c r="E74" s="3325">
        <f>IF(AND(A74&gt;=$B$51,C74&lt;=$C$51),($D$51*POWER((1+$E$51),(A74-$A$69))-$F$51),0)*IF(A74&lt;='1. AgeData'!$I$30,1,0)</f>
        <v>0</v>
      </c>
      <c r="F74" s="3326">
        <f t="shared" si="0"/>
        <v>41010.050125124966</v>
      </c>
      <c r="G74" s="3327">
        <f>IF(AND(B74&gt;=$G$49,B74&lt;=$H$49),($I$49*POWER((1+$J$49),(B74-$B$69))-$K$49),0)*IF(B74&lt;='1. AgeData'!$I$31,1,0)</f>
        <v>0</v>
      </c>
      <c r="H74" s="3325">
        <f>IF(AND(B74&gt;=$G$50,B74&lt;=$H$50),($I$50*POWER((1+$J$50),(B74-$B$69))-$K$50),0)*IF(B74&lt;='1. AgeData'!$I$31,1,0)</f>
        <v>0</v>
      </c>
      <c r="I74" s="3325">
        <f>IF(AND(B74&gt;=$G$51,B74&lt;=$H$51),($I$51*POWER((1+$J$51),(B74-$B$69))-$K$51),0)*IF(B74&lt;='1. AgeData'!$I$31,1,0)</f>
        <v>16159.260058265614</v>
      </c>
      <c r="J74" s="3326">
        <f t="shared" si="1"/>
        <v>16159.260058265614</v>
      </c>
      <c r="K74" s="3328">
        <f t="shared" si="2"/>
        <v>57169.310183390582</v>
      </c>
    </row>
    <row r="75" spans="1:11" x14ac:dyDescent="0.25">
      <c r="A75" s="3322">
        <f t="shared" si="3"/>
        <v>66</v>
      </c>
      <c r="B75" s="3323">
        <f t="shared" si="4"/>
        <v>61</v>
      </c>
      <c r="C75" s="3324">
        <f>IF(AND(A75&gt;=$B$49,A75&lt;=$C$49),($D$49*POWER((1+$E$49),(A75-$A$69))-$F$49),0)*IF(A75&lt;='1. AgeData'!$I$30,1,0)</f>
        <v>0</v>
      </c>
      <c r="D75" s="3325">
        <f>IF(AND(A75&gt;=$B$50,B75&lt;=$C$50),($D$50*POWER((1+$E$50),(A75-$A$69))-$F$50),0)*IF(A75&lt;='1. AgeData'!$I$30,1,0)</f>
        <v>41215.100375750582</v>
      </c>
      <c r="E75" s="3325">
        <f>IF(AND(A75&gt;=$B$51,C75&lt;=$C$51),($D$51*POWER((1+$E$51),(A75-$A$69))-$F$51),0)*IF(A75&lt;='1. AgeData'!$I$30,1,0)</f>
        <v>0</v>
      </c>
      <c r="F75" s="3326">
        <f t="shared" si="0"/>
        <v>41215.100375750582</v>
      </c>
      <c r="G75" s="3327">
        <f>IF(AND(B75&gt;=$G$49,B75&lt;=$H$49),($I$49*POWER((1+$J$49),(B75-$B$69))-$K$49),0)*IF(B75&lt;='1. AgeData'!$I$31,1,0)</f>
        <v>0</v>
      </c>
      <c r="H75" s="3325">
        <f>IF(AND(B75&gt;=$G$50,B75&lt;=$H$50),($I$50*POWER((1+$J$50),(B75-$B$69))-$K$50),0)*IF(B75&lt;='1. AgeData'!$I$31,1,0)</f>
        <v>0</v>
      </c>
      <c r="I75" s="3325">
        <f>IF(AND(B75&gt;=$G$51,B75&lt;=$H$51),($I$51*POWER((1+$J$51),(B75-$B$69))-$K$51),0)*IF(B75&lt;='1. AgeData'!$I$31,1,0)</f>
        <v>16401.648959139595</v>
      </c>
      <c r="J75" s="3326">
        <f t="shared" si="1"/>
        <v>16401.648959139595</v>
      </c>
      <c r="K75" s="3328">
        <f t="shared" si="2"/>
        <v>57616.749334890177</v>
      </c>
    </row>
    <row r="76" spans="1:11" x14ac:dyDescent="0.25">
      <c r="A76" s="3322">
        <f t="shared" si="3"/>
        <v>67</v>
      </c>
      <c r="B76" s="3323">
        <f t="shared" si="4"/>
        <v>62</v>
      </c>
      <c r="C76" s="3324">
        <f>IF(AND(A76&gt;=$B$49,A76&lt;=$C$49),($D$49*POWER((1+$E$49),(A76-$A$69))-$F$49),0)*IF(A76&lt;='1. AgeData'!$I$30,1,0)</f>
        <v>0</v>
      </c>
      <c r="D76" s="3325">
        <f>IF(AND(A76&gt;=$B$50,B76&lt;=$C$50),($D$50*POWER((1+$E$50),(A76-$A$69))-$F$50),0)*IF(A76&lt;='1. AgeData'!$I$30,1,0)</f>
        <v>41421.175877629335</v>
      </c>
      <c r="E76" s="3325">
        <f>IF(AND(A76&gt;=$B$51,C76&lt;=$C$51),($D$51*POWER((1+$E$51),(A76-$A$69))-$F$51),0)*IF(A76&lt;='1. AgeData'!$I$30,1,0)</f>
        <v>0</v>
      </c>
      <c r="F76" s="3326">
        <f t="shared" si="0"/>
        <v>41421.175877629335</v>
      </c>
      <c r="G76" s="3327">
        <f>IF(AND(B76&gt;=$G$49,B76&lt;=$H$49),($I$49*POWER((1+$J$49),(B76-$B$69))-$K$49),0)*IF(B76&lt;='1. AgeData'!$I$31,1,0)</f>
        <v>0</v>
      </c>
      <c r="H76" s="3325">
        <f>IF(AND(B76&gt;=$G$50,B76&lt;=$H$50),($I$50*POWER((1+$J$50),(B76-$B$69))-$K$50),0)*IF(B76&lt;='1. AgeData'!$I$31,1,0)</f>
        <v>0</v>
      </c>
      <c r="I76" s="3325">
        <f>IF(AND(B76&gt;=$G$51,B76&lt;=$H$51),($I$51*POWER((1+$J$51),(B76-$B$69))-$K$51),0)*IF(B76&lt;='1. AgeData'!$I$31,1,0)</f>
        <v>16647.673693526685</v>
      </c>
      <c r="J76" s="3326">
        <f t="shared" si="1"/>
        <v>16647.673693526685</v>
      </c>
      <c r="K76" s="3328">
        <f t="shared" si="2"/>
        <v>58068.849571156024</v>
      </c>
    </row>
    <row r="77" spans="1:11" x14ac:dyDescent="0.25">
      <c r="A77" s="3322">
        <f t="shared" si="3"/>
        <v>68</v>
      </c>
      <c r="B77" s="3323">
        <f t="shared" si="4"/>
        <v>63</v>
      </c>
      <c r="C77" s="3324">
        <f>IF(AND(A77&gt;=$B$49,A77&lt;=$C$49),($D$49*POWER((1+$E$49),(A77-$A$69))-$F$49),0)*IF(A77&lt;='1. AgeData'!$I$30,1,0)</f>
        <v>0</v>
      </c>
      <c r="D77" s="3325">
        <f>IF(AND(A77&gt;=$B$50,B77&lt;=$C$50),($D$50*POWER((1+$E$50),(A77-$A$69))-$F$50),0)*IF(A77&lt;='1. AgeData'!$I$30,1,0)</f>
        <v>41628.281757017474</v>
      </c>
      <c r="E77" s="3325">
        <f>IF(AND(A77&gt;=$B$51,C77&lt;=$C$51),($D$51*POWER((1+$E$51),(A77-$A$69))-$F$51),0)*IF(A77&lt;='1. AgeData'!$I$30,1,0)</f>
        <v>0</v>
      </c>
      <c r="F77" s="3326">
        <f t="shared" si="0"/>
        <v>41628.281757017474</v>
      </c>
      <c r="G77" s="3327">
        <f>IF(AND(B77&gt;=$G$49,B77&lt;=$H$49),($I$49*POWER((1+$J$49),(B77-$B$69))-$K$49),0)*IF(B77&lt;='1. AgeData'!$I$31,1,0)</f>
        <v>0</v>
      </c>
      <c r="H77" s="3325">
        <f>IF(AND(B77&gt;=$G$50,B77&lt;=$H$50),($I$50*POWER((1+$J$50),(B77-$B$69))-$K$50),0)*IF(B77&lt;='1. AgeData'!$I$31,1,0)</f>
        <v>0</v>
      </c>
      <c r="I77" s="3325">
        <f>IF(AND(B77&gt;=$G$51,B77&lt;=$H$51),($I$51*POWER((1+$J$51),(B77-$B$69))-$K$51),0)*IF(B77&lt;='1. AgeData'!$I$31,1,0)</f>
        <v>16897.388798929587</v>
      </c>
      <c r="J77" s="3326">
        <f t="shared" si="1"/>
        <v>16897.388798929587</v>
      </c>
      <c r="K77" s="3328">
        <f t="shared" si="2"/>
        <v>58525.670555947057</v>
      </c>
    </row>
    <row r="78" spans="1:11" x14ac:dyDescent="0.25">
      <c r="A78" s="3322">
        <f t="shared" si="3"/>
        <v>69</v>
      </c>
      <c r="B78" s="3323">
        <f t="shared" si="4"/>
        <v>64</v>
      </c>
      <c r="C78" s="3324">
        <f>IF(AND(A78&gt;=$B$49,A78&lt;=$C$49),($D$49*POWER((1+$E$49),(A78-$A$69))-$F$49),0)*IF(A78&lt;='1. AgeData'!$I$30,1,0)</f>
        <v>0</v>
      </c>
      <c r="D78" s="3325">
        <f>IF(AND(A78&gt;=$B$50,B78&lt;=$C$50),($D$50*POWER((1+$E$50),(A78-$A$69))-$F$50),0)*IF(A78&lt;='1. AgeData'!$I$30,1,0)</f>
        <v>41836.42316580256</v>
      </c>
      <c r="E78" s="3325">
        <f>IF(AND(A78&gt;=$B$51,C78&lt;=$C$51),($D$51*POWER((1+$E$51),(A78-$A$69))-$F$51),0)*IF(A78&lt;='1. AgeData'!$I$30,1,0)</f>
        <v>0</v>
      </c>
      <c r="F78" s="3326">
        <f t="shared" si="0"/>
        <v>41836.42316580256</v>
      </c>
      <c r="G78" s="3327">
        <f>IF(AND(B78&gt;=$G$49,B78&lt;=$H$49),($I$49*POWER((1+$J$49),(B78-$B$69))-$K$49),0)*IF(B78&lt;='1. AgeData'!$I$31,1,0)</f>
        <v>0</v>
      </c>
      <c r="H78" s="3325">
        <f>IF(AND(B78&gt;=$G$50,B78&lt;=$H$50),($I$50*POWER((1+$J$50),(B78-$B$69))-$K$50),0)*IF(B78&lt;='1. AgeData'!$I$31,1,0)</f>
        <v>0</v>
      </c>
      <c r="I78" s="3325">
        <f>IF(AND(B78&gt;=$G$51,B78&lt;=$H$51),($I$51*POWER((1+$J$51),(B78-$B$69))-$K$51),0)*IF(B78&lt;='1. AgeData'!$I$31,1,0)</f>
        <v>17150.849630913526</v>
      </c>
      <c r="J78" s="3326">
        <f t="shared" si="1"/>
        <v>17150.849630913526</v>
      </c>
      <c r="K78" s="3328">
        <f t="shared" si="2"/>
        <v>58987.27279671609</v>
      </c>
    </row>
    <row r="79" spans="1:11" x14ac:dyDescent="0.25">
      <c r="A79" s="3322">
        <f t="shared" si="3"/>
        <v>70</v>
      </c>
      <c r="B79" s="3323">
        <f t="shared" si="4"/>
        <v>65</v>
      </c>
      <c r="C79" s="3324">
        <f>IF(AND(A79&gt;=$B$49,A79&lt;=$C$49),($D$49*POWER((1+$E$49),(A79-$A$69))-$F$49),0)*IF(A79&lt;='1. AgeData'!$I$30,1,0)</f>
        <v>0</v>
      </c>
      <c r="D79" s="3325">
        <f>IF(AND(A79&gt;=$B$50,B79&lt;=$C$50),($D$50*POWER((1+$E$50),(A79-$A$69))-$F$50),0)*IF(A79&lt;='1. AgeData'!$I$30,1,0)</f>
        <v>42045.605281631564</v>
      </c>
      <c r="E79" s="3325">
        <f>IF(AND(A79&gt;=$B$51,C79&lt;=$C$51),($D$51*POWER((1+$E$51),(A79-$A$69))-$F$51),0)*IF(A79&lt;='1. AgeData'!$I$30,1,0)</f>
        <v>0</v>
      </c>
      <c r="F79" s="3326">
        <f t="shared" si="0"/>
        <v>42045.605281631564</v>
      </c>
      <c r="G79" s="3327">
        <f>IF(AND(B79&gt;=$G$49,B79&lt;=$H$49),($I$49*POWER((1+$J$49),(B79-$B$69))-$K$49),0)*IF(B79&lt;='1. AgeData'!$I$31,1,0)</f>
        <v>0</v>
      </c>
      <c r="H79" s="3325">
        <f>IF(AND(B79&gt;=$G$50,B79&lt;=$H$50),($I$50*POWER((1+$J$50),(B79-$B$69))-$K$50),0)*IF(B79&lt;='1. AgeData'!$I$31,1,0)</f>
        <v>0</v>
      </c>
      <c r="I79" s="3325">
        <f>IF(AND(B79&gt;=$G$51,B79&lt;=$H$51),($I$51*POWER((1+$J$51),(B79-$B$69))-$K$51),0)*IF(B79&lt;='1. AgeData'!$I$31,1,0)</f>
        <v>17408.11237537723</v>
      </c>
      <c r="J79" s="3326">
        <f t="shared" si="1"/>
        <v>17408.11237537723</v>
      </c>
      <c r="K79" s="3328">
        <f t="shared" si="2"/>
        <v>59453.71765700879</v>
      </c>
    </row>
    <row r="80" spans="1:11" x14ac:dyDescent="0.25">
      <c r="A80" s="3322">
        <f t="shared" si="3"/>
        <v>71</v>
      </c>
      <c r="B80" s="3323">
        <f t="shared" si="4"/>
        <v>66</v>
      </c>
      <c r="C80" s="3324">
        <f>IF(AND(A80&gt;=$B$49,A80&lt;=$C$49),($D$49*POWER((1+$E$49),(A80-$A$69))-$F$49),0)*IF(A80&lt;='1. AgeData'!$I$30,1,0)</f>
        <v>0</v>
      </c>
      <c r="D80" s="3325">
        <f>IF(AND(A80&gt;=$B$50,B80&lt;=$C$50),($D$50*POWER((1+$E$50),(A80-$A$69))-$F$50),0)*IF(A80&lt;='1. AgeData'!$I$30,1,0)</f>
        <v>42255.833308039721</v>
      </c>
      <c r="E80" s="3325">
        <f>IF(AND(A80&gt;=$B$51,C80&lt;=$C$51),($D$51*POWER((1+$E$51),(A80-$A$69))-$F$51),0)*IF(A80&lt;='1. AgeData'!$I$30,1,0)</f>
        <v>0</v>
      </c>
      <c r="F80" s="3326">
        <f t="shared" si="0"/>
        <v>42255.833308039721</v>
      </c>
      <c r="G80" s="3327">
        <f>IF(AND(B80&gt;=$G$49,B80&lt;=$H$49),($I$49*POWER((1+$J$49),(B80-$B$69))-$K$49),0)*IF(B80&lt;='1. AgeData'!$I$31,1,0)</f>
        <v>0</v>
      </c>
      <c r="H80" s="3325">
        <f>IF(AND(B80&gt;=$G$50,B80&lt;=$H$50),($I$50*POWER((1+$J$50),(B80-$B$69))-$K$50),0)*IF(B80&lt;='1. AgeData'!$I$31,1,0)</f>
        <v>0</v>
      </c>
      <c r="I80" s="3325">
        <f>IF(AND(B80&gt;=$G$51,B80&lt;=$H$51),($I$51*POWER((1+$J$51),(B80-$B$69))-$K$51),0)*IF(B80&lt;='1. AgeData'!$I$31,1,0)</f>
        <v>17669.234061007886</v>
      </c>
      <c r="J80" s="3326">
        <f t="shared" si="1"/>
        <v>17669.234061007886</v>
      </c>
      <c r="K80" s="3328">
        <f t="shared" si="2"/>
        <v>59925.067369047611</v>
      </c>
    </row>
    <row r="81" spans="1:11" x14ac:dyDescent="0.25">
      <c r="A81" s="3322">
        <f t="shared" si="3"/>
        <v>72</v>
      </c>
      <c r="B81" s="3323">
        <f t="shared" si="4"/>
        <v>67</v>
      </c>
      <c r="C81" s="3324">
        <f>IF(AND(A81&gt;=$B$49,A81&lt;=$C$49),($D$49*POWER((1+$E$49),(A81-$A$69))-$F$49),0)*IF(A81&lt;='1. AgeData'!$I$30,1,0)</f>
        <v>0</v>
      </c>
      <c r="D81" s="3325">
        <f>IF(AND(A81&gt;=$B$50,B81&lt;=$C$50),($D$50*POWER((1+$E$50),(A81-$A$69))-$F$50),0)*IF(A81&lt;='1. AgeData'!$I$30,1,0)</f>
        <v>42467.112474579902</v>
      </c>
      <c r="E81" s="3325">
        <f>IF(AND(A81&gt;=$B$51,C81&lt;=$C$51),($D$51*POWER((1+$E$51),(A81-$A$69))-$F$51),0)*IF(A81&lt;='1. AgeData'!$I$30,1,0)</f>
        <v>0</v>
      </c>
      <c r="F81" s="3326">
        <f t="shared" si="0"/>
        <v>42467.112474579902</v>
      </c>
      <c r="G81" s="3327">
        <f>IF(AND(B81&gt;=$G$49,B81&lt;=$H$49),($I$49*POWER((1+$J$49),(B81-$B$69))-$K$49),0)*IF(B81&lt;='1. AgeData'!$I$31,1,0)</f>
        <v>0</v>
      </c>
      <c r="H81" s="3325">
        <f>IF(AND(B81&gt;=$G$50,B81&lt;=$H$50),($I$50*POWER((1+$J$50),(B81-$B$69))-$K$50),0)*IF(B81&lt;='1. AgeData'!$I$31,1,0)</f>
        <v>0</v>
      </c>
      <c r="I81" s="3325">
        <f>IF(AND(B81&gt;=$G$51,B81&lt;=$H$51),($I$51*POWER((1+$J$51),(B81-$B$69))-$K$51),0)*IF(B81&lt;='1. AgeData'!$I$31,1,0)</f>
        <v>0</v>
      </c>
      <c r="J81" s="3326">
        <f t="shared" si="1"/>
        <v>0</v>
      </c>
      <c r="K81" s="3328">
        <f t="shared" si="2"/>
        <v>42467.112474579902</v>
      </c>
    </row>
    <row r="82" spans="1:11" x14ac:dyDescent="0.25">
      <c r="A82" s="3322">
        <f t="shared" si="3"/>
        <v>73</v>
      </c>
      <c r="B82" s="3323">
        <f t="shared" si="4"/>
        <v>68</v>
      </c>
      <c r="C82" s="3324">
        <f>IF(AND(A82&gt;=$B$49,A82&lt;=$C$49),($D$49*POWER((1+$E$49),(A82-$A$69))-$F$49),0)*IF(A82&lt;='1. AgeData'!$I$30,1,0)</f>
        <v>0</v>
      </c>
      <c r="D82" s="3325">
        <f>IF(AND(A82&gt;=$B$50,B82&lt;=$C$50),($D$50*POWER((1+$E$50),(A82-$A$69))-$F$50),0)*IF(A82&lt;='1. AgeData'!$I$30,1,0)</f>
        <v>42679.448036952803</v>
      </c>
      <c r="E82" s="3325">
        <f>IF(AND(A82&gt;=$B$51,C82&lt;=$C$51),($D$51*POWER((1+$E$51),(A82-$A$69))-$F$51),0)*IF(A82&lt;='1. AgeData'!$I$30,1,0)</f>
        <v>0</v>
      </c>
      <c r="F82" s="3326">
        <f t="shared" si="0"/>
        <v>42679.448036952803</v>
      </c>
      <c r="G82" s="3327">
        <f>IF(AND(B82&gt;=$G$49,B82&lt;=$H$49),($I$49*POWER((1+$J$49),(B82-$B$69))-$K$49),0)*IF(B82&lt;='1. AgeData'!$I$31,1,0)</f>
        <v>0</v>
      </c>
      <c r="H82" s="3325">
        <f>IF(AND(B82&gt;=$G$50,B82&lt;=$H$50),($I$50*POWER((1+$J$50),(B82-$B$69))-$K$50),0)*IF(B82&lt;='1. AgeData'!$I$31,1,0)</f>
        <v>0</v>
      </c>
      <c r="I82" s="3325">
        <f>IF(AND(B82&gt;=$G$51,B82&lt;=$H$51),($I$51*POWER((1+$J$51),(B82-$B$69))-$K$51),0)*IF(B82&lt;='1. AgeData'!$I$31,1,0)</f>
        <v>0</v>
      </c>
      <c r="J82" s="3326">
        <f t="shared" si="1"/>
        <v>0</v>
      </c>
      <c r="K82" s="3328">
        <f t="shared" si="2"/>
        <v>42679.448036952803</v>
      </c>
    </row>
    <row r="83" spans="1:11" x14ac:dyDescent="0.25">
      <c r="A83" s="3322">
        <f t="shared" si="3"/>
        <v>74</v>
      </c>
      <c r="B83" s="3323">
        <f t="shared" si="4"/>
        <v>69</v>
      </c>
      <c r="C83" s="3324">
        <f>IF(AND(A83&gt;=$B$49,A83&lt;=$C$49),($D$49*POWER((1+$E$49),(A83-$A$69))-$F$49),0)*IF(A83&lt;='1. AgeData'!$I$30,1,0)</f>
        <v>0</v>
      </c>
      <c r="D83" s="3325">
        <f>IF(AND(A83&gt;=$B$50,B83&lt;=$C$50),($D$50*POWER((1+$E$50),(A83-$A$69))-$F$50),0)*IF(A83&lt;='1. AgeData'!$I$30,1,0)</f>
        <v>42892.84527713756</v>
      </c>
      <c r="E83" s="3325">
        <f>IF(AND(A83&gt;=$B$51,C83&lt;=$C$51),($D$51*POWER((1+$E$51),(A83-$A$69))-$F$51),0)*IF(A83&lt;='1. AgeData'!$I$30,1,0)</f>
        <v>0</v>
      </c>
      <c r="F83" s="3326">
        <f t="shared" si="0"/>
        <v>42892.84527713756</v>
      </c>
      <c r="G83" s="3327">
        <f>IF(AND(B83&gt;=$G$49,B83&lt;=$H$49),($I$49*POWER((1+$J$49),(B83-$B$69))-$K$49),0)*IF(B83&lt;='1. AgeData'!$I$31,1,0)</f>
        <v>0</v>
      </c>
      <c r="H83" s="3325">
        <f>IF(AND(B83&gt;=$G$50,B83&lt;=$H$50),($I$50*POWER((1+$J$50),(B83-$B$69))-$K$50),0)*IF(B83&lt;='1. AgeData'!$I$31,1,0)</f>
        <v>0</v>
      </c>
      <c r="I83" s="3325">
        <f>IF(AND(B83&gt;=$G$51,B83&lt;=$H$51),($I$51*POWER((1+$J$51),(B83-$B$69))-$K$51),0)*IF(B83&lt;='1. AgeData'!$I$31,1,0)</f>
        <v>0</v>
      </c>
      <c r="J83" s="3326">
        <f t="shared" si="1"/>
        <v>0</v>
      </c>
      <c r="K83" s="3328">
        <f t="shared" si="2"/>
        <v>42892.84527713756</v>
      </c>
    </row>
    <row r="84" spans="1:11" x14ac:dyDescent="0.25">
      <c r="A84" s="3322">
        <f t="shared" si="3"/>
        <v>75</v>
      </c>
      <c r="B84" s="3323">
        <f t="shared" si="4"/>
        <v>70</v>
      </c>
      <c r="C84" s="3324">
        <f>IF(AND(A84&gt;=$B$49,A84&lt;=$C$49),($D$49*POWER((1+$E$49),(A84-$A$69))-$F$49),0)*IF(A84&lt;='1. AgeData'!$I$30,1,0)</f>
        <v>0</v>
      </c>
      <c r="D84" s="3325">
        <f>IF(AND(A84&gt;=$B$50,B84&lt;=$C$50),($D$50*POWER((1+$E$50),(A84-$A$69))-$F$50),0)*IF(A84&lt;='1. AgeData'!$I$30,1,0)</f>
        <v>0</v>
      </c>
      <c r="E84" s="3325">
        <f>IF(AND(A84&gt;=$B$51,C84&lt;=$C$51),($D$51*POWER((1+$E$51),(A84-$A$69))-$F$51),0)*IF(A84&lt;='1. AgeData'!$I$30,1,0)</f>
        <v>0</v>
      </c>
      <c r="F84" s="3326">
        <f t="shared" si="0"/>
        <v>0</v>
      </c>
      <c r="G84" s="3327">
        <f>IF(AND(B84&gt;=$G$49,B84&lt;=$H$49),($I$49*POWER((1+$J$49),(B84-$B$69))-$K$49),0)*IF(B84&lt;='1. AgeData'!$I$31,1,0)</f>
        <v>0</v>
      </c>
      <c r="H84" s="3325">
        <f>IF(AND(B84&gt;=$G$50,B84&lt;=$H$50),($I$50*POWER((1+$J$50),(B84-$B$69))-$K$50),0)*IF(B84&lt;='1. AgeData'!$I$31,1,0)</f>
        <v>0</v>
      </c>
      <c r="I84" s="3325">
        <f>IF(AND(B84&gt;=$G$51,B84&lt;=$H$51),($I$51*POWER((1+$J$51),(B84-$B$69))-$K$51),0)*IF(B84&lt;='1. AgeData'!$I$31,1,0)</f>
        <v>0</v>
      </c>
      <c r="J84" s="3326">
        <f t="shared" si="1"/>
        <v>0</v>
      </c>
      <c r="K84" s="3328">
        <f t="shared" si="2"/>
        <v>0</v>
      </c>
    </row>
    <row r="85" spans="1:11" x14ac:dyDescent="0.25">
      <c r="A85" s="3322">
        <f t="shared" si="3"/>
        <v>76</v>
      </c>
      <c r="B85" s="3323">
        <f t="shared" si="4"/>
        <v>71</v>
      </c>
      <c r="C85" s="3324">
        <f>IF(AND(A85&gt;=$B$49,A85&lt;=$C$49),($D$49*POWER((1+$E$49),(A85-$A$69))-$F$49),0)*IF(A85&lt;='1. AgeData'!$I$30,1,0)</f>
        <v>0</v>
      </c>
      <c r="D85" s="3325">
        <f>IF(AND(A85&gt;=$B$50,B85&lt;=$C$50),($D$50*POWER((1+$E$50),(A85-$A$69))-$F$50),0)*IF(A85&lt;='1. AgeData'!$I$30,1,0)</f>
        <v>0</v>
      </c>
      <c r="E85" s="3325">
        <f>IF(AND(A85&gt;=$B$51,C85&lt;=$C$51),($D$51*POWER((1+$E$51),(A85-$A$69))-$F$51),0)*IF(A85&lt;='1. AgeData'!$I$30,1,0)</f>
        <v>0</v>
      </c>
      <c r="F85" s="3326">
        <f t="shared" si="0"/>
        <v>0</v>
      </c>
      <c r="G85" s="3327">
        <f>IF(AND(B85&gt;=$G$49,B85&lt;=$H$49),($I$49*POWER((1+$J$49),(B85-$B$69))-$K$49),0)*IF(B85&lt;='1. AgeData'!$I$31,1,0)</f>
        <v>0</v>
      </c>
      <c r="H85" s="3325">
        <f>IF(AND(B85&gt;=$G$50,B85&lt;=$H$50),($I$50*POWER((1+$J$50),(B85-$B$69))-$K$50),0)*IF(B85&lt;='1. AgeData'!$I$31,1,0)</f>
        <v>0</v>
      </c>
      <c r="I85" s="3325">
        <f>IF(AND(B85&gt;=$G$51,B85&lt;=$H$51),($I$51*POWER((1+$J$51),(B85-$B$69))-$K$51),0)*IF(B85&lt;='1. AgeData'!$I$31,1,0)</f>
        <v>0</v>
      </c>
      <c r="J85" s="3326">
        <f t="shared" si="1"/>
        <v>0</v>
      </c>
      <c r="K85" s="3328">
        <f t="shared" si="2"/>
        <v>0</v>
      </c>
    </row>
    <row r="86" spans="1:11" x14ac:dyDescent="0.25">
      <c r="A86" s="3322">
        <f t="shared" si="3"/>
        <v>77</v>
      </c>
      <c r="B86" s="3323">
        <f t="shared" si="4"/>
        <v>72</v>
      </c>
      <c r="C86" s="3324">
        <f>IF(AND(A86&gt;=$B$49,A86&lt;=$C$49),($D$49*POWER((1+$E$49),(A86-$A$69))-$F$49),0)*IF(A86&lt;='1. AgeData'!$I$30,1,0)</f>
        <v>0</v>
      </c>
      <c r="D86" s="3325">
        <f>IF(AND(A86&gt;=$B$50,B86&lt;=$C$50),($D$50*POWER((1+$E$50),(A86-$A$69))-$F$50),0)*IF(A86&lt;='1. AgeData'!$I$30,1,0)</f>
        <v>0</v>
      </c>
      <c r="E86" s="3325">
        <f>IF(AND(A86&gt;=$B$51,C86&lt;=$C$51),($D$51*POWER((1+$E$51),(A86-$A$69))-$F$51),0)*IF(A86&lt;='1. AgeData'!$I$30,1,0)</f>
        <v>0</v>
      </c>
      <c r="F86" s="3326">
        <f t="shared" si="0"/>
        <v>0</v>
      </c>
      <c r="G86" s="3327">
        <f>IF(AND(B86&gt;=$G$49,B86&lt;=$H$49),($I$49*POWER((1+$J$49),(B86-$B$69))-$K$49),0)*IF(B86&lt;='1. AgeData'!$I$31,1,0)</f>
        <v>0</v>
      </c>
      <c r="H86" s="3325">
        <f>IF(AND(B86&gt;=$G$50,B86&lt;=$H$50),($I$50*POWER((1+$J$50),(B86-$B$69))-$K$50),0)*IF(B86&lt;='1. AgeData'!$I$31,1,0)</f>
        <v>0</v>
      </c>
      <c r="I86" s="3325">
        <f>IF(AND(B86&gt;=$G$51,B86&lt;=$H$51),($I$51*POWER((1+$J$51),(B86-$B$69))-$K$51),0)*IF(B86&lt;='1. AgeData'!$I$31,1,0)</f>
        <v>0</v>
      </c>
      <c r="J86" s="3326">
        <f t="shared" si="1"/>
        <v>0</v>
      </c>
      <c r="K86" s="3328">
        <f t="shared" si="2"/>
        <v>0</v>
      </c>
    </row>
    <row r="87" spans="1:11" x14ac:dyDescent="0.25">
      <c r="A87" s="3322">
        <f t="shared" si="3"/>
        <v>78</v>
      </c>
      <c r="B87" s="3323">
        <f t="shared" si="4"/>
        <v>73</v>
      </c>
      <c r="C87" s="3324">
        <f>IF(AND(A87&gt;=$B$49,A87&lt;=$C$49),($D$49*POWER((1+$E$49),(A87-$A$69))-$F$49),0)*IF(A87&lt;='1. AgeData'!$I$30,1,0)</f>
        <v>0</v>
      </c>
      <c r="D87" s="3325">
        <f>IF(AND(A87&gt;=$B$50,B87&lt;=$C$50),($D$50*POWER((1+$E$50),(A87-$A$69))-$F$50),0)*IF(A87&lt;='1. AgeData'!$I$30,1,0)</f>
        <v>0</v>
      </c>
      <c r="E87" s="3325">
        <f>IF(AND(A87&gt;=$B$51,C87&lt;=$C$51),($D$51*POWER((1+$E$51),(A87-$A$69))-$F$51),0)*IF(A87&lt;='1. AgeData'!$I$30,1,0)</f>
        <v>0</v>
      </c>
      <c r="F87" s="3326">
        <f t="shared" si="0"/>
        <v>0</v>
      </c>
      <c r="G87" s="3327">
        <f>IF(AND(B87&gt;=$G$49,B87&lt;=$H$49),($I$49*POWER((1+$J$49),(B87-$B$69))-$K$49),0)*IF(B87&lt;='1. AgeData'!$I$31,1,0)</f>
        <v>0</v>
      </c>
      <c r="H87" s="3325">
        <f>IF(AND(B87&gt;=$G$50,B87&lt;=$H$50),($I$50*POWER((1+$J$50),(B87-$B$69))-$K$50),0)*IF(B87&lt;='1. AgeData'!$I$31,1,0)</f>
        <v>0</v>
      </c>
      <c r="I87" s="3325">
        <f>IF(AND(B87&gt;=$G$51,B87&lt;=$H$51),($I$51*POWER((1+$J$51),(B87-$B$69))-$K$51),0)*IF(B87&lt;='1. AgeData'!$I$31,1,0)</f>
        <v>0</v>
      </c>
      <c r="J87" s="3326">
        <f t="shared" si="1"/>
        <v>0</v>
      </c>
      <c r="K87" s="3328">
        <f t="shared" si="2"/>
        <v>0</v>
      </c>
    </row>
    <row r="88" spans="1:11" x14ac:dyDescent="0.25">
      <c r="A88" s="3322">
        <f t="shared" si="3"/>
        <v>79</v>
      </c>
      <c r="B88" s="3323">
        <f t="shared" si="4"/>
        <v>74</v>
      </c>
      <c r="C88" s="3324">
        <f>IF(AND(A88&gt;=$B$49,A88&lt;=$C$49),($D$49*POWER((1+$E$49),(A88-$A$69))-$F$49),0)*IF(A88&lt;='1. AgeData'!$I$30,1,0)</f>
        <v>0</v>
      </c>
      <c r="D88" s="3325">
        <f>IF(AND(A88&gt;=$B$50,B88&lt;=$C$50),($D$50*POWER((1+$E$50),(A88-$A$69))-$F$50),0)*IF(A88&lt;='1. AgeData'!$I$30,1,0)</f>
        <v>0</v>
      </c>
      <c r="E88" s="3325">
        <f>IF(AND(A88&gt;=$B$51,C88&lt;=$C$51),($D$51*POWER((1+$E$51),(A88-$A$69))-$F$51),0)*IF(A88&lt;='1. AgeData'!$I$30,1,0)</f>
        <v>0</v>
      </c>
      <c r="F88" s="3326">
        <f t="shared" si="0"/>
        <v>0</v>
      </c>
      <c r="G88" s="3327">
        <f>IF(AND(B88&gt;=$G$49,B88&lt;=$H$49),($I$49*POWER((1+$J$49),(B88-$B$69))-$K$49),0)*IF(B88&lt;='1. AgeData'!$I$31,1,0)</f>
        <v>0</v>
      </c>
      <c r="H88" s="3325">
        <f>IF(AND(B88&gt;=$G$50,B88&lt;=$H$50),($I$50*POWER((1+$J$50),(B88-$B$69))-$K$50),0)*IF(B88&lt;='1. AgeData'!$I$31,1,0)</f>
        <v>0</v>
      </c>
      <c r="I88" s="3325">
        <f>IF(AND(B88&gt;=$G$51,B88&lt;=$H$51),($I$51*POWER((1+$J$51),(B88-$B$69))-$K$51),0)*IF(B88&lt;='1. AgeData'!$I$31,1,0)</f>
        <v>0</v>
      </c>
      <c r="J88" s="3326">
        <f t="shared" si="1"/>
        <v>0</v>
      </c>
      <c r="K88" s="3328">
        <f t="shared" si="2"/>
        <v>0</v>
      </c>
    </row>
    <row r="89" spans="1:11" x14ac:dyDescent="0.25">
      <c r="A89" s="3322">
        <f t="shared" si="3"/>
        <v>80</v>
      </c>
      <c r="B89" s="3323">
        <f t="shared" si="4"/>
        <v>75</v>
      </c>
      <c r="C89" s="3324">
        <f>IF(AND(A89&gt;=$B$49,A89&lt;=$C$49),($D$49*POWER((1+$E$49),(A89-$A$69))-$F$49),0)*IF(A89&lt;='1. AgeData'!$I$30,1,0)</f>
        <v>0</v>
      </c>
      <c r="D89" s="3325">
        <f>IF(AND(A89&gt;=$B$50,B89&lt;=$C$50),($D$50*POWER((1+$E$50),(A89-$A$69))-$F$50),0)*IF(A89&lt;='1. AgeData'!$I$30,1,0)</f>
        <v>0</v>
      </c>
      <c r="E89" s="3325">
        <f>IF(AND(A89&gt;=$B$51,C89&lt;=$C$51),($D$51*POWER((1+$E$51),(A89-$A$69))-$F$51),0)*IF(A89&lt;='1. AgeData'!$I$30,1,0)</f>
        <v>0</v>
      </c>
      <c r="F89" s="3326">
        <f t="shared" si="0"/>
        <v>0</v>
      </c>
      <c r="G89" s="3327">
        <f>IF(AND(B89&gt;=$G$49,B89&lt;=$H$49),($I$49*POWER((1+$J$49),(B89-$B$69))-$K$49),0)*IF(B89&lt;='1. AgeData'!$I$31,1,0)</f>
        <v>0</v>
      </c>
      <c r="H89" s="3325">
        <f>IF(AND(B89&gt;=$G$50,B89&lt;=$H$50),($I$50*POWER((1+$J$50),(B89-$B$69))-$K$50),0)*IF(B89&lt;='1. AgeData'!$I$31,1,0)</f>
        <v>0</v>
      </c>
      <c r="I89" s="3325">
        <f>IF(AND(B89&gt;=$G$51,B89&lt;=$H$51),($I$51*POWER((1+$J$51),(B89-$B$69))-$K$51),0)*IF(B89&lt;='1. AgeData'!$I$31,1,0)</f>
        <v>0</v>
      </c>
      <c r="J89" s="3326">
        <f t="shared" si="1"/>
        <v>0</v>
      </c>
      <c r="K89" s="3328">
        <f t="shared" si="2"/>
        <v>0</v>
      </c>
    </row>
    <row r="90" spans="1:11" x14ac:dyDescent="0.25">
      <c r="A90" s="3322">
        <f t="shared" si="3"/>
        <v>81</v>
      </c>
      <c r="B90" s="3323">
        <f t="shared" si="4"/>
        <v>76</v>
      </c>
      <c r="C90" s="3324">
        <f>IF(AND(A90&gt;=$B$49,A90&lt;=$C$49),($D$49*POWER((1+$E$49),(A90-$A$69))-$F$49),0)*IF(A90&lt;='1. AgeData'!$I$30,1,0)</f>
        <v>0</v>
      </c>
      <c r="D90" s="3325">
        <f>IF(AND(A90&gt;=$B$50,B90&lt;=$C$50),($D$50*POWER((1+$E$50),(A90-$A$69))-$F$50),0)*IF(A90&lt;='1. AgeData'!$I$30,1,0)</f>
        <v>0</v>
      </c>
      <c r="E90" s="3325">
        <f>IF(AND(A90&gt;=$B$51,C90&lt;=$C$51),($D$51*POWER((1+$E$51),(A90-$A$69))-$F$51),0)*IF(A90&lt;='1. AgeData'!$I$30,1,0)</f>
        <v>0</v>
      </c>
      <c r="F90" s="3326">
        <f t="shared" si="0"/>
        <v>0</v>
      </c>
      <c r="G90" s="3327">
        <f>IF(AND(B90&gt;=$G$49,B90&lt;=$H$49),($I$49*POWER((1+$J$49),(B90-$B$69))-$K$49),0)*IF(B90&lt;='1. AgeData'!$I$31,1,0)</f>
        <v>0</v>
      </c>
      <c r="H90" s="3325">
        <f>IF(AND(B90&gt;=$G$50,B90&lt;=$H$50),($I$50*POWER((1+$J$50),(B90-$B$69))-$K$50),0)*IF(B90&lt;='1. AgeData'!$I$31,1,0)</f>
        <v>0</v>
      </c>
      <c r="I90" s="3325">
        <f>IF(AND(B90&gt;=$G$51,B90&lt;=$H$51),($I$51*POWER((1+$J$51),(B90-$B$69))-$K$51),0)*IF(B90&lt;='1. AgeData'!$I$31,1,0)</f>
        <v>0</v>
      </c>
      <c r="J90" s="3326">
        <f t="shared" si="1"/>
        <v>0</v>
      </c>
      <c r="K90" s="3328">
        <f t="shared" si="2"/>
        <v>0</v>
      </c>
    </row>
    <row r="91" spans="1:11" x14ac:dyDescent="0.25">
      <c r="A91" s="3322">
        <f t="shared" si="3"/>
        <v>82</v>
      </c>
      <c r="B91" s="3323">
        <f t="shared" si="4"/>
        <v>77</v>
      </c>
      <c r="C91" s="3324">
        <f>IF(AND(A91&gt;=$B$49,A91&lt;=$C$49),($D$49*POWER((1+$E$49),(A91-$A$69))-$F$49),0)*IF(A91&lt;='1. AgeData'!$I$30,1,0)</f>
        <v>0</v>
      </c>
      <c r="D91" s="3325">
        <f>IF(AND(A91&gt;=$B$50,B91&lt;=$C$50),($D$50*POWER((1+$E$50),(A91-$A$69))-$F$50),0)*IF(A91&lt;='1. AgeData'!$I$30,1,0)</f>
        <v>0</v>
      </c>
      <c r="E91" s="3325">
        <f>IF(AND(A91&gt;=$B$51,C91&lt;=$C$51),($D$51*POWER((1+$E$51),(A91-$A$69))-$F$51),0)*IF(A91&lt;='1. AgeData'!$I$30,1,0)</f>
        <v>0</v>
      </c>
      <c r="F91" s="3326">
        <f t="shared" si="0"/>
        <v>0</v>
      </c>
      <c r="G91" s="3327">
        <f>IF(AND(B91&gt;=$G$49,B91&lt;=$H$49),($I$49*POWER((1+$J$49),(B91-$B$69))-$K$49),0)*IF(B91&lt;='1. AgeData'!$I$31,1,0)</f>
        <v>0</v>
      </c>
      <c r="H91" s="3325">
        <f>IF(AND(B91&gt;=$G$50,B91&lt;=$H$50),($I$50*POWER((1+$J$50),(B91-$B$69))-$K$50),0)*IF(B91&lt;='1. AgeData'!$I$31,1,0)</f>
        <v>0</v>
      </c>
      <c r="I91" s="3325">
        <f>IF(AND(B91&gt;=$G$51,B91&lt;=$H$51),($I$51*POWER((1+$J$51),(B91-$B$69))-$K$51),0)*IF(B91&lt;='1. AgeData'!$I$31,1,0)</f>
        <v>0</v>
      </c>
      <c r="J91" s="3326">
        <f t="shared" si="1"/>
        <v>0</v>
      </c>
      <c r="K91" s="3328">
        <f t="shared" si="2"/>
        <v>0</v>
      </c>
    </row>
    <row r="92" spans="1:11" x14ac:dyDescent="0.25">
      <c r="A92" s="3322">
        <f t="shared" si="3"/>
        <v>83</v>
      </c>
      <c r="B92" s="3323">
        <f t="shared" si="4"/>
        <v>78</v>
      </c>
      <c r="C92" s="3324">
        <f>IF(AND(A92&gt;=$B$49,A92&lt;=$C$49),($D$49*POWER((1+$E$49),(A92-$A$69))-$F$49),0)*IF(A92&lt;='1. AgeData'!$I$30,1,0)</f>
        <v>0</v>
      </c>
      <c r="D92" s="3325">
        <f>IF(AND(A92&gt;=$B$50,B92&lt;=$C$50),($D$50*POWER((1+$E$50),(A92-$A$69))-$F$50),0)*IF(A92&lt;='1. AgeData'!$I$30,1,0)</f>
        <v>0</v>
      </c>
      <c r="E92" s="3325">
        <f>IF(AND(A92&gt;=$B$51,C92&lt;=$C$51),($D$51*POWER((1+$E$51),(A92-$A$69))-$F$51),0)*IF(A92&lt;='1. AgeData'!$I$30,1,0)</f>
        <v>0</v>
      </c>
      <c r="F92" s="3326">
        <f t="shared" si="0"/>
        <v>0</v>
      </c>
      <c r="G92" s="3327">
        <f>IF(AND(B92&gt;=$G$49,B92&lt;=$H$49),($I$49*POWER((1+$J$49),(B92-$B$69))-$K$49),0)*IF(B92&lt;='1. AgeData'!$I$31,1,0)</f>
        <v>0</v>
      </c>
      <c r="H92" s="3325">
        <f>IF(AND(B92&gt;=$G$50,B92&lt;=$H$50),($I$50*POWER((1+$J$50),(B92-$B$69))-$K$50),0)*IF(B92&lt;='1. AgeData'!$I$31,1,0)</f>
        <v>0</v>
      </c>
      <c r="I92" s="3325">
        <f>IF(AND(B92&gt;=$G$51,B92&lt;=$H$51),($I$51*POWER((1+$J$51),(B92-$B$69))-$K$51),0)*IF(B92&lt;='1. AgeData'!$I$31,1,0)</f>
        <v>0</v>
      </c>
      <c r="J92" s="3326">
        <f t="shared" si="1"/>
        <v>0</v>
      </c>
      <c r="K92" s="3328">
        <f t="shared" si="2"/>
        <v>0</v>
      </c>
    </row>
    <row r="93" spans="1:11" x14ac:dyDescent="0.25">
      <c r="A93" s="3322">
        <f t="shared" si="3"/>
        <v>84</v>
      </c>
      <c r="B93" s="3323">
        <f t="shared" si="4"/>
        <v>79</v>
      </c>
      <c r="C93" s="3324">
        <f>IF(AND(A93&gt;=$B$49,A93&lt;=$C$49),($D$49*POWER((1+$E$49),(A93-$A$69))-$F$49),0)*IF(A93&lt;='1. AgeData'!$I$30,1,0)</f>
        <v>0</v>
      </c>
      <c r="D93" s="3325">
        <f>IF(AND(A93&gt;=$B$50,B93&lt;=$C$50),($D$50*POWER((1+$E$50),(A93-$A$69))-$F$50),0)*IF(A93&lt;='1. AgeData'!$I$30,1,0)</f>
        <v>0</v>
      </c>
      <c r="E93" s="3325">
        <f>IF(AND(A93&gt;=$B$51,C93&lt;=$C$51),($D$51*POWER((1+$E$51),(A93-$A$69))-$F$51),0)*IF(A93&lt;='1. AgeData'!$I$30,1,0)</f>
        <v>0</v>
      </c>
      <c r="F93" s="3326">
        <f t="shared" si="0"/>
        <v>0</v>
      </c>
      <c r="G93" s="3327">
        <f>IF(AND(B93&gt;=$G$49,B93&lt;=$H$49),($I$49*POWER((1+$J$49),(B93-$B$69))-$K$49),0)*IF(B93&lt;='1. AgeData'!$I$31,1,0)</f>
        <v>0</v>
      </c>
      <c r="H93" s="3325">
        <f>IF(AND(B93&gt;=$G$50,B93&lt;=$H$50),($I$50*POWER((1+$J$50),(B93-$B$69))-$K$50),0)*IF(B93&lt;='1. AgeData'!$I$31,1,0)</f>
        <v>0</v>
      </c>
      <c r="I93" s="3325">
        <f>IF(AND(B93&gt;=$G$51,B93&lt;=$H$51),($I$51*POWER((1+$J$51),(B93-$B$69))-$K$51),0)*IF(B93&lt;='1. AgeData'!$I$31,1,0)</f>
        <v>0</v>
      </c>
      <c r="J93" s="3326">
        <f t="shared" si="1"/>
        <v>0</v>
      </c>
      <c r="K93" s="3328">
        <f t="shared" si="2"/>
        <v>0</v>
      </c>
    </row>
    <row r="94" spans="1:11" x14ac:dyDescent="0.25">
      <c r="A94" s="3322">
        <f t="shared" si="3"/>
        <v>85</v>
      </c>
      <c r="B94" s="3323">
        <f t="shared" si="4"/>
        <v>80</v>
      </c>
      <c r="C94" s="3324">
        <f>IF(AND(A94&gt;=$B$49,A94&lt;=$C$49),($D$49*POWER((1+$E$49),(A94-$A$69))-$F$49),0)*IF(A94&lt;='1. AgeData'!$I$30,1,0)</f>
        <v>0</v>
      </c>
      <c r="D94" s="3325">
        <f>IF(AND(A94&gt;=$B$50,B94&lt;=$C$50),($D$50*POWER((1+$E$50),(A94-$A$69))-$F$50),0)*IF(A94&lt;='1. AgeData'!$I$30,1,0)</f>
        <v>0</v>
      </c>
      <c r="E94" s="3325">
        <f>IF(AND(A94&gt;=$B$51,C94&lt;=$C$51),($D$51*POWER((1+$E$51),(A94-$A$69))-$F$51),0)*IF(A94&lt;='1. AgeData'!$I$30,1,0)</f>
        <v>0</v>
      </c>
      <c r="F94" s="3326">
        <f t="shared" si="0"/>
        <v>0</v>
      </c>
      <c r="G94" s="3327">
        <f>IF(AND(B94&gt;=$G$49,B94&lt;=$H$49),($I$49*POWER((1+$J$49),(B94-$B$69))-$K$49),0)*IF(B94&lt;='1. AgeData'!$I$31,1,0)</f>
        <v>0</v>
      </c>
      <c r="H94" s="3325">
        <f>IF(AND(B94&gt;=$G$50,B94&lt;=$H$50),($I$50*POWER((1+$J$50),(B94-$B$69))-$K$50),0)*IF(B94&lt;='1. AgeData'!$I$31,1,0)</f>
        <v>0</v>
      </c>
      <c r="I94" s="3325">
        <f>IF(AND(B94&gt;=$G$51,B94&lt;=$H$51),($I$51*POWER((1+$J$51),(B94-$B$69))-$K$51),0)*IF(B94&lt;='1. AgeData'!$I$31,1,0)</f>
        <v>0</v>
      </c>
      <c r="J94" s="3326">
        <f t="shared" si="1"/>
        <v>0</v>
      </c>
      <c r="K94" s="3328">
        <f t="shared" si="2"/>
        <v>0</v>
      </c>
    </row>
    <row r="95" spans="1:11" x14ac:dyDescent="0.25">
      <c r="A95" s="3322">
        <f t="shared" ref="A95:A103" si="5">A94+1</f>
        <v>86</v>
      </c>
      <c r="B95" s="3323">
        <f t="shared" ref="B95:B103" si="6">B94+1</f>
        <v>81</v>
      </c>
      <c r="C95" s="3324">
        <f>IF(AND(A95&gt;=$B$49,A95&lt;=$C$49),($D$49*POWER((1+$E$49),(A95-$A$69))-$F$49),0)*IF(A95&lt;='1. AgeData'!$I$30,1,0)</f>
        <v>0</v>
      </c>
      <c r="D95" s="3325">
        <f>IF(AND(A95&gt;=$B$50,B95&lt;=$C$50),($D$50*POWER((1+$E$50),(A95-$A$69))-$F$50),0)*IF(A95&lt;='1. AgeData'!$I$30,1,0)</f>
        <v>0</v>
      </c>
      <c r="E95" s="3325">
        <f>IF(AND(A95&gt;=$B$51,C95&lt;=$C$51),($D$51*POWER((1+$E$51),(A95-$A$69))-$F$51),0)*IF(A95&lt;='1. AgeData'!$I$30,1,0)</f>
        <v>0</v>
      </c>
      <c r="F95" s="3326">
        <f t="shared" si="0"/>
        <v>0</v>
      </c>
      <c r="G95" s="3327">
        <f>IF(AND(B95&gt;=$G$49,B95&lt;=$H$49),($I$49*POWER((1+$J$49),(B95-$B$69))-$K$49),0)*IF(B95&lt;='1. AgeData'!$I$31,1,0)</f>
        <v>0</v>
      </c>
      <c r="H95" s="3325">
        <f>IF(AND(B95&gt;=$G$50,B95&lt;=$H$50),($I$50*POWER((1+$J$50),(B95-$B$69))-$K$50),0)*IF(B95&lt;='1. AgeData'!$I$31,1,0)</f>
        <v>0</v>
      </c>
      <c r="I95" s="3325">
        <f>IF(AND(B95&gt;=$G$51,B95&lt;=$H$51),($I$51*POWER((1+$J$51),(B95-$B$69))-$K$51),0)*IF(B95&lt;='1. AgeData'!$I$31,1,0)</f>
        <v>0</v>
      </c>
      <c r="J95" s="3326">
        <f t="shared" si="1"/>
        <v>0</v>
      </c>
      <c r="K95" s="3328">
        <f t="shared" si="2"/>
        <v>0</v>
      </c>
    </row>
    <row r="96" spans="1:11" x14ac:dyDescent="0.25">
      <c r="A96" s="3322">
        <f t="shared" si="5"/>
        <v>87</v>
      </c>
      <c r="B96" s="3323">
        <f t="shared" si="6"/>
        <v>82</v>
      </c>
      <c r="C96" s="3324">
        <f>IF(AND(A96&gt;=$B$49,A96&lt;=$C$49),($D$49*POWER((1+$E$49),(A96-$A$69))-$F$49),0)*IF(A96&lt;='1. AgeData'!$I$30,1,0)</f>
        <v>0</v>
      </c>
      <c r="D96" s="3325">
        <f>IF(AND(A96&gt;=$B$50,B96&lt;=$C$50),($D$50*POWER((1+$E$50),(A96-$A$69))-$F$50),0)*IF(A96&lt;='1. AgeData'!$I$30,1,0)</f>
        <v>0</v>
      </c>
      <c r="E96" s="3325">
        <f>IF(AND(A96&gt;=$B$51,C96&lt;=$C$51),($D$51*POWER((1+$E$51),(A96-$A$69))-$F$51),0)*IF(A96&lt;='1. AgeData'!$I$30,1,0)</f>
        <v>0</v>
      </c>
      <c r="F96" s="3326">
        <f t="shared" si="0"/>
        <v>0</v>
      </c>
      <c r="G96" s="3327">
        <f>IF(AND(B96&gt;=$G$49,B96&lt;=$H$49),($I$49*POWER((1+$J$49),(B96-$B$69))-$K$49),0)*IF(B96&lt;='1. AgeData'!$I$31,1,0)</f>
        <v>0</v>
      </c>
      <c r="H96" s="3325">
        <f>IF(AND(B96&gt;=$G$50,B96&lt;=$H$50),($I$50*POWER((1+$J$50),(B96-$B$69))-$K$50),0)*IF(B96&lt;='1. AgeData'!$I$31,1,0)</f>
        <v>0</v>
      </c>
      <c r="I96" s="3325">
        <f>IF(AND(B96&gt;=$G$51,B96&lt;=$H$51),($I$51*POWER((1+$J$51),(B96-$B$69))-$K$51),0)*IF(B96&lt;='1. AgeData'!$I$31,1,0)</f>
        <v>0</v>
      </c>
      <c r="J96" s="3326">
        <f t="shared" si="1"/>
        <v>0</v>
      </c>
      <c r="K96" s="3328">
        <f t="shared" si="2"/>
        <v>0</v>
      </c>
    </row>
    <row r="97" spans="1:11" x14ac:dyDescent="0.25">
      <c r="A97" s="3322">
        <f t="shared" si="5"/>
        <v>88</v>
      </c>
      <c r="B97" s="3323">
        <f t="shared" si="6"/>
        <v>83</v>
      </c>
      <c r="C97" s="3324">
        <f>IF(AND(A97&gt;=$B$49,A97&lt;=$C$49),($D$49*POWER((1+$E$49),(A97-$A$69))-$F$49),0)*IF(A97&lt;='1. AgeData'!$I$30,1,0)</f>
        <v>0</v>
      </c>
      <c r="D97" s="3325">
        <f>IF(AND(A97&gt;=$B$50,B97&lt;=$C$50),($D$50*POWER((1+$E$50),(A97-$A$69))-$F$50),0)*IF(A97&lt;='1. AgeData'!$I$30,1,0)</f>
        <v>0</v>
      </c>
      <c r="E97" s="3325">
        <f>IF(AND(A97&gt;=$B$51,C97&lt;=$C$51),($D$51*POWER((1+$E$51),(A97-$A$69))-$F$51),0)*IF(A97&lt;='1. AgeData'!$I$30,1,0)</f>
        <v>0</v>
      </c>
      <c r="F97" s="3326">
        <f t="shared" si="0"/>
        <v>0</v>
      </c>
      <c r="G97" s="3327">
        <f>IF(AND(B97&gt;=$G$49,B97&lt;=$H$49),($I$49*POWER((1+$J$49),(B97-$B$69))-$K$49),0)*IF(B97&lt;='1. AgeData'!$I$31,1,0)</f>
        <v>0</v>
      </c>
      <c r="H97" s="3325">
        <f>IF(AND(B97&gt;=$G$50,B97&lt;=$H$50),($I$50*POWER((1+$J$50),(B97-$B$69))-$K$50),0)*IF(B97&lt;='1. AgeData'!$I$31,1,0)</f>
        <v>0</v>
      </c>
      <c r="I97" s="3325">
        <f>IF(AND(B97&gt;=$G$51,B97&lt;=$H$51),($I$51*POWER((1+$J$51),(B97-$B$69))-$K$51),0)*IF(B97&lt;='1. AgeData'!$I$31,1,0)</f>
        <v>0</v>
      </c>
      <c r="J97" s="3326">
        <f t="shared" si="1"/>
        <v>0</v>
      </c>
      <c r="K97" s="3328">
        <f t="shared" si="2"/>
        <v>0</v>
      </c>
    </row>
    <row r="98" spans="1:11" x14ac:dyDescent="0.25">
      <c r="A98" s="3322">
        <f t="shared" si="5"/>
        <v>89</v>
      </c>
      <c r="B98" s="3323">
        <f t="shared" si="6"/>
        <v>84</v>
      </c>
      <c r="C98" s="3324">
        <f>IF(AND(A98&gt;=$B$49,A98&lt;=$C$49),($D$49*POWER((1+$E$49),(A98-$A$69))-$F$49),0)*IF(A98&lt;='1. AgeData'!$I$30,1,0)</f>
        <v>0</v>
      </c>
      <c r="D98" s="3325">
        <f>IF(AND(A98&gt;=$B$50,B98&lt;=$C$50),($D$50*POWER((1+$E$50),(A98-$A$69))-$F$50),0)*IF(A98&lt;='1. AgeData'!$I$30,1,0)</f>
        <v>0</v>
      </c>
      <c r="E98" s="3325">
        <f>IF(AND(A98&gt;=$B$51,C98&lt;=$C$51),($D$51*POWER((1+$E$51),(A98-$A$69))-$F$51),0)*IF(A98&lt;='1. AgeData'!$I$30,1,0)</f>
        <v>0</v>
      </c>
      <c r="F98" s="3326">
        <f t="shared" si="0"/>
        <v>0</v>
      </c>
      <c r="G98" s="3327">
        <f>IF(AND(B98&gt;=$G$49,B98&lt;=$H$49),($I$49*POWER((1+$J$49),(B98-$B$69))-$K$49),0)*IF(B98&lt;='1. AgeData'!$I$31,1,0)</f>
        <v>0</v>
      </c>
      <c r="H98" s="3325">
        <f>IF(AND(B98&gt;=$G$50,B98&lt;=$H$50),($I$50*POWER((1+$J$50),(B98-$B$69))-$K$50),0)*IF(B98&lt;='1. AgeData'!$I$31,1,0)</f>
        <v>0</v>
      </c>
      <c r="I98" s="3325">
        <f>IF(AND(B98&gt;=$G$51,B98&lt;=$H$51),($I$51*POWER((1+$J$51),(B98-$B$69))-$K$51),0)*IF(B98&lt;='1. AgeData'!$I$31,1,0)</f>
        <v>0</v>
      </c>
      <c r="J98" s="3326">
        <f t="shared" si="1"/>
        <v>0</v>
      </c>
      <c r="K98" s="3328">
        <f t="shared" si="2"/>
        <v>0</v>
      </c>
    </row>
    <row r="99" spans="1:11" x14ac:dyDescent="0.25">
      <c r="A99" s="3322">
        <f t="shared" si="5"/>
        <v>90</v>
      </c>
      <c r="B99" s="3323">
        <f t="shared" si="6"/>
        <v>85</v>
      </c>
      <c r="C99" s="3324">
        <f>IF(AND(A99&gt;=$B$49,A99&lt;=$C$49),($D$49*POWER((1+$E$49),(A99-$A$69))-$F$49),0)*IF(A99&lt;='1. AgeData'!$I$30,1,0)</f>
        <v>0</v>
      </c>
      <c r="D99" s="3325">
        <f>IF(AND(A99&gt;=$B$50,B99&lt;=$C$50),($D$50*POWER((1+$E$50),(A99-$A$69))-$F$50),0)*IF(A99&lt;='1. AgeData'!$I$30,1,0)</f>
        <v>0</v>
      </c>
      <c r="E99" s="3325">
        <f>IF(AND(A99&gt;=$B$51,C99&lt;=$C$51),($D$51*POWER((1+$E$51),(A99-$A$69))-$F$51),0)*IF(A99&lt;='1. AgeData'!$I$30,1,0)</f>
        <v>0</v>
      </c>
      <c r="F99" s="3326">
        <f t="shared" si="0"/>
        <v>0</v>
      </c>
      <c r="G99" s="3327">
        <f>IF(AND(B99&gt;=$G$49,B99&lt;=$H$49),($I$49*POWER((1+$J$49),(B99-$B$69))-$K$49),0)*IF(B99&lt;='1. AgeData'!$I$31,1,0)</f>
        <v>0</v>
      </c>
      <c r="H99" s="3325">
        <f>IF(AND(B99&gt;=$G$50,B99&lt;=$H$50),($I$50*POWER((1+$J$50),(B99-$B$69))-$K$50),0)*IF(B99&lt;='1. AgeData'!$I$31,1,0)</f>
        <v>0</v>
      </c>
      <c r="I99" s="3325">
        <f>IF(AND(B99&gt;=$G$51,B99&lt;=$H$51),($I$51*POWER((1+$J$51),(B99-$B$69))-$K$51),0)*IF(B99&lt;='1. AgeData'!$I$31,1,0)</f>
        <v>0</v>
      </c>
      <c r="J99" s="3326">
        <f t="shared" si="1"/>
        <v>0</v>
      </c>
      <c r="K99" s="3328">
        <f t="shared" si="2"/>
        <v>0</v>
      </c>
    </row>
    <row r="100" spans="1:11" x14ac:dyDescent="0.25">
      <c r="A100" s="3322">
        <f t="shared" si="5"/>
        <v>91</v>
      </c>
      <c r="B100" s="3323">
        <f t="shared" si="6"/>
        <v>86</v>
      </c>
      <c r="C100" s="3324">
        <f>IF(AND(A100&gt;=$B$49,A100&lt;=$C$49),($D$49*POWER((1+$E$49),(A100-$A$69))-$F$49),0)*IF(A100&lt;='1. AgeData'!$I$30,1,0)</f>
        <v>0</v>
      </c>
      <c r="D100" s="3325">
        <f>IF(AND(A100&gt;=$B$50,B100&lt;=$C$50),($D$50*POWER((1+$E$50),(A100-$A$69))-$F$50),0)*IF(A100&lt;='1. AgeData'!$I$30,1,0)</f>
        <v>0</v>
      </c>
      <c r="E100" s="3325">
        <f>IF(AND(A100&gt;=$B$51,C100&lt;=$C$51),($D$51*POWER((1+$E$51),(A100-$A$69))-$F$51),0)*IF(A100&lt;='1. AgeData'!$I$30,1,0)</f>
        <v>0</v>
      </c>
      <c r="F100" s="3326">
        <f t="shared" si="0"/>
        <v>0</v>
      </c>
      <c r="G100" s="3327">
        <f>IF(AND(B100&gt;=$G$49,B100&lt;=$H$49),($I$49*POWER((1+$J$49),(B100-$B$69))-$K$49),0)*IF(B100&lt;='1. AgeData'!$I$31,1,0)</f>
        <v>0</v>
      </c>
      <c r="H100" s="3325">
        <f>IF(AND(B100&gt;=$G$50,B100&lt;=$H$50),($I$50*POWER((1+$J$50),(B100-$B$69))-$K$50),0)*IF(B100&lt;='1. AgeData'!$I$31,1,0)</f>
        <v>0</v>
      </c>
      <c r="I100" s="3325">
        <f>IF(AND(B100&gt;=$G$51,B100&lt;=$H$51),($I$51*POWER((1+$J$51),(B100-$B$69))-$K$51),0)*IF(B100&lt;='1. AgeData'!$I$31,1,0)</f>
        <v>0</v>
      </c>
      <c r="J100" s="3326">
        <f t="shared" si="1"/>
        <v>0</v>
      </c>
      <c r="K100" s="3328">
        <f t="shared" si="2"/>
        <v>0</v>
      </c>
    </row>
    <row r="101" spans="1:11" x14ac:dyDescent="0.25">
      <c r="A101" s="3322">
        <f t="shared" si="5"/>
        <v>92</v>
      </c>
      <c r="B101" s="3323">
        <f t="shared" si="6"/>
        <v>87</v>
      </c>
      <c r="C101" s="3324">
        <f>IF(AND(A101&gt;=$B$49,A101&lt;=$C$49),($D$49*POWER((1+$E$49),(A101-$A$69))-$F$49),0)*IF(A101&lt;='1. AgeData'!$I$30,1,0)</f>
        <v>0</v>
      </c>
      <c r="D101" s="3325">
        <f>IF(AND(A101&gt;=$B$50,B101&lt;=$C$50),($D$50*POWER((1+$E$50),(A101-$A$69))-$F$50),0)*IF(A101&lt;='1. AgeData'!$I$30,1,0)</f>
        <v>0</v>
      </c>
      <c r="E101" s="3325">
        <f>IF(AND(A101&gt;=$B$51,C101&lt;=$C$51),($D$51*POWER((1+$E$51),(A101-$A$69))-$F$51),0)*IF(A101&lt;='1. AgeData'!$I$30,1,0)</f>
        <v>0</v>
      </c>
      <c r="F101" s="3326">
        <f t="shared" si="0"/>
        <v>0</v>
      </c>
      <c r="G101" s="3327">
        <f>IF(AND(B101&gt;=$G$49,B101&lt;=$H$49),($I$49*POWER((1+$J$49),(B101-$B$69))-$K$49),0)*IF(B101&lt;='1. AgeData'!$I$31,1,0)</f>
        <v>0</v>
      </c>
      <c r="H101" s="3325">
        <f>IF(AND(B101&gt;=$G$50,B101&lt;=$H$50),($I$50*POWER((1+$J$50),(B101-$B$69))-$K$50),0)*IF(B101&lt;='1. AgeData'!$I$31,1,0)</f>
        <v>0</v>
      </c>
      <c r="I101" s="3325">
        <f>IF(AND(B101&gt;=$G$51,B101&lt;=$H$51),($I$51*POWER((1+$J$51),(B101-$B$69))-$K$51),0)*IF(B101&lt;='1. AgeData'!$I$31,1,0)</f>
        <v>0</v>
      </c>
      <c r="J101" s="3326">
        <f t="shared" si="1"/>
        <v>0</v>
      </c>
      <c r="K101" s="3328">
        <f t="shared" si="2"/>
        <v>0</v>
      </c>
    </row>
    <row r="102" spans="1:11" x14ac:dyDescent="0.25">
      <c r="A102" s="3322">
        <f t="shared" si="5"/>
        <v>93</v>
      </c>
      <c r="B102" s="3323">
        <f t="shared" si="6"/>
        <v>88</v>
      </c>
      <c r="C102" s="3324">
        <f>IF(AND(A102&gt;=$B$49,A102&lt;=$C$49),($D$49*POWER((1+$E$49),(A102-$A$69))-$F$49),0)*IF(A102&lt;='1. AgeData'!$I$30,1,0)</f>
        <v>0</v>
      </c>
      <c r="D102" s="3325">
        <f>IF(AND(A102&gt;=$B$50,B102&lt;=$C$50),($D$50*POWER((1+$E$50),(A102-$A$69))-$F$50),0)*IF(A102&lt;='1. AgeData'!$I$30,1,0)</f>
        <v>0</v>
      </c>
      <c r="E102" s="3325">
        <f>IF(AND(A102&gt;=$B$51,C102&lt;=$C$51),($D$51*POWER((1+$E$51),(A102-$A$69))-$F$51),0)*IF(A102&lt;='1. AgeData'!$I$30,1,0)</f>
        <v>0</v>
      </c>
      <c r="F102" s="3326">
        <f t="shared" si="0"/>
        <v>0</v>
      </c>
      <c r="G102" s="3327">
        <f>IF(AND(B102&gt;=$G$49,B102&lt;=$H$49),($I$49*POWER((1+$J$49),(B102-$B$69))-$K$49),0)*IF(B102&lt;='1. AgeData'!$I$31,1,0)</f>
        <v>0</v>
      </c>
      <c r="H102" s="3325">
        <f>IF(AND(B102&gt;=$G$50,B102&lt;=$H$50),($I$50*POWER((1+$J$50),(B102-$B$69))-$K$50),0)*IF(B102&lt;='1. AgeData'!$I$31,1,0)</f>
        <v>0</v>
      </c>
      <c r="I102" s="3325">
        <f>IF(AND(B102&gt;=$G$51,B102&lt;=$H$51),($I$51*POWER((1+$J$51),(B102-$B$69))-$K$51),0)*IF(B102&lt;='1. AgeData'!$I$31,1,0)</f>
        <v>0</v>
      </c>
      <c r="J102" s="3326">
        <f t="shared" si="1"/>
        <v>0</v>
      </c>
      <c r="K102" s="3328">
        <f t="shared" si="2"/>
        <v>0</v>
      </c>
    </row>
    <row r="103" spans="1:11" x14ac:dyDescent="0.25">
      <c r="A103" s="3322">
        <f t="shared" si="5"/>
        <v>94</v>
      </c>
      <c r="B103" s="3323">
        <f t="shared" si="6"/>
        <v>89</v>
      </c>
      <c r="C103" s="3324">
        <f>IF(AND(A103&gt;=$B$49,A103&lt;=$C$49),($D$49*POWER((1+$E$49),(A103-$A$69))-$F$49),0)*IF(A103&lt;='1. AgeData'!$I$30,1,0)</f>
        <v>0</v>
      </c>
      <c r="D103" s="3325">
        <f>IF(AND(A103&gt;=$B$50,B103&lt;=$C$50),($D$50*POWER((1+$E$50),(A103-$A$69))-$F$50),0)*IF(A103&lt;='1. AgeData'!$I$30,1,0)</f>
        <v>0</v>
      </c>
      <c r="E103" s="3325">
        <f>IF(AND(A103&gt;=$B$51,C103&lt;=$C$51),($D$51*POWER((1+$E$51),(A103-$A$69))-$F$51),0)*IF(A103&lt;='1. AgeData'!$I$30,1,0)</f>
        <v>0</v>
      </c>
      <c r="F103" s="3326">
        <f t="shared" si="0"/>
        <v>0</v>
      </c>
      <c r="G103" s="3327">
        <f>IF(AND(B103&gt;=$G$49,B103&lt;=$H$49),($I$49*POWER((1+$J$49),(B103-$B$69))-$K$49),0)*IF(B103&lt;='1. AgeData'!$I$31,1,0)</f>
        <v>0</v>
      </c>
      <c r="H103" s="3325">
        <f>IF(AND(B103&gt;=$G$50,B103&lt;=$H$50),($I$50*POWER((1+$J$50),(B103-$B$69))-$K$50),0)*IF(B103&lt;='1. AgeData'!$I$31,1,0)</f>
        <v>0</v>
      </c>
      <c r="I103" s="3325">
        <f>IF(AND(B103&gt;=$G$51,B103&lt;=$H$51),($I$51*POWER((1+$J$51),(B103-$B$69))-$K$51),0)*IF(B103&lt;='1. AgeData'!$I$31,1,0)</f>
        <v>0</v>
      </c>
      <c r="J103" s="3326">
        <f t="shared" si="1"/>
        <v>0</v>
      </c>
      <c r="K103" s="3328">
        <f t="shared" si="2"/>
        <v>0</v>
      </c>
    </row>
    <row r="104" spans="1:11" x14ac:dyDescent="0.25">
      <c r="A104" s="3322">
        <f t="shared" ref="A104:A105" si="7">A103+1</f>
        <v>95</v>
      </c>
      <c r="B104" s="3323">
        <f t="shared" ref="B104:B105" si="8">B103+1</f>
        <v>90</v>
      </c>
      <c r="C104" s="3324">
        <f>IF(AND(A104&gt;=$B$49,A104&lt;=$C$49),($D$49*POWER((1+$E$49),(A104-$A$69))-$F$49),0)*IF(A104&lt;='1. AgeData'!$I$30,1,0)</f>
        <v>0</v>
      </c>
      <c r="D104" s="3325">
        <f>IF(AND(A104&gt;=$B$50,B104&lt;=$C$50),($D$50*POWER((1+$E$50),(A104-$A$69))-$F$50),0)*IF(A104&lt;='1. AgeData'!$I$30,1,0)</f>
        <v>0</v>
      </c>
      <c r="E104" s="3325">
        <f>IF(AND(A104&gt;=$B$51,C104&lt;=$C$51),($D$51*POWER((1+$E$51),(A104-$A$69))-$F$51),0)*IF(A104&lt;='1. AgeData'!$I$30,1,0)</f>
        <v>0</v>
      </c>
      <c r="F104" s="3326">
        <f t="shared" si="0"/>
        <v>0</v>
      </c>
      <c r="G104" s="3327">
        <f>IF(AND(B104&gt;=$G$49,B104&lt;=$H$49),($I$49*POWER((1+$J$49),(B104-$B$69))-$K$49),0)*IF(B104&lt;='1. AgeData'!$I$31,1,0)</f>
        <v>0</v>
      </c>
      <c r="H104" s="3325">
        <f>IF(AND(B104&gt;=$G$50,B104&lt;=$H$50),($I$50*POWER((1+$J$50),(B104-$B$69))-$K$50),0)*IF(B104&lt;='1. AgeData'!$I$31,1,0)</f>
        <v>0</v>
      </c>
      <c r="I104" s="3325">
        <f>IF(AND(B104&gt;=$G$51,B104&lt;=$H$51),($I$51*POWER((1+$J$51),(B104-$B$69))-$K$51),0)*IF(B104&lt;='1. AgeData'!$I$31,1,0)</f>
        <v>0</v>
      </c>
      <c r="J104" s="3326">
        <f t="shared" si="1"/>
        <v>0</v>
      </c>
      <c r="K104" s="3328">
        <f t="shared" si="2"/>
        <v>0</v>
      </c>
    </row>
    <row r="105" spans="1:11" ht="15.75" thickBot="1" x14ac:dyDescent="0.3">
      <c r="A105" s="3329">
        <f t="shared" si="7"/>
        <v>96</v>
      </c>
      <c r="B105" s="3330">
        <f t="shared" si="8"/>
        <v>91</v>
      </c>
      <c r="C105" s="3331">
        <f>IF(AND(A105&gt;=$B$49,A105&lt;=$C$49),($D$49*POWER((1+$E$49),(A105-$A$69))-$F$49),0)*IF(A105&lt;='1. AgeData'!$I$30,1,0)</f>
        <v>0</v>
      </c>
      <c r="D105" s="3332">
        <f>IF(AND(A105&gt;=$B$50,B105&lt;=$C$50),($D$50*POWER((1+$E$50),(A105-$A$69))-$F$50),0)*IF(A105&lt;='1. AgeData'!$I$30,1,0)</f>
        <v>0</v>
      </c>
      <c r="E105" s="3332">
        <f>IF(AND(A105&gt;=$B$51,C105&lt;=$C$51),($D$51*POWER((1+$E$51),(A105-$A$69))-$F$51),0)*IF(A105&lt;='1. AgeData'!$I$30,1,0)</f>
        <v>0</v>
      </c>
      <c r="F105" s="3333">
        <f t="shared" si="0"/>
        <v>0</v>
      </c>
      <c r="G105" s="3334">
        <f>IF(AND(B105&gt;=$G$49,B105&lt;=$H$49),($I$49*POWER((1+$J$49),(B105-$B$69))-$K$49),0)*IF(B105&lt;='1. AgeData'!$I$31,1,0)</f>
        <v>0</v>
      </c>
      <c r="H105" s="3332">
        <f>IF(AND(B105&gt;=$G$50,B105&lt;=$H$50),($I$50*POWER((1+$J$50),(B105-$B$69))-$K$50),0)*IF(B105&lt;='1. AgeData'!$I$31,1,0)</f>
        <v>0</v>
      </c>
      <c r="I105" s="3332">
        <f>IF(AND(B105&gt;=$G$51,B105&lt;=$H$51),($I$51*POWER((1+$J$51),(B105-$B$69))-$K$51),0)*IF(B105&lt;='1. AgeData'!$I$31,1,0)</f>
        <v>0</v>
      </c>
      <c r="J105" s="3333">
        <f t="shared" si="1"/>
        <v>0</v>
      </c>
      <c r="K105" s="3335">
        <f t="shared" si="2"/>
        <v>0</v>
      </c>
    </row>
    <row r="106" spans="1:11" ht="15.75" thickTop="1" x14ac:dyDescent="0.25">
      <c r="A106" s="212"/>
      <c r="B106" s="64"/>
      <c r="C106" s="17"/>
      <c r="D106" s="25"/>
      <c r="E106" s="6"/>
      <c r="F106" s="24"/>
      <c r="G106" s="22"/>
      <c r="H106" s="23"/>
      <c r="I106" s="23"/>
      <c r="J106" s="6"/>
      <c r="K106" s="6"/>
    </row>
    <row r="108" spans="1:11" s="1382" customFormat="1" ht="15.75" x14ac:dyDescent="0.25">
      <c r="B108" s="1471" t="s">
        <v>1123</v>
      </c>
      <c r="G108" s="1471" t="s">
        <v>1435</v>
      </c>
    </row>
    <row r="109" spans="1:11" ht="16.5" thickBot="1" x14ac:dyDescent="0.3">
      <c r="A109" s="1382"/>
      <c r="B109" s="1379"/>
      <c r="C109" s="1382"/>
      <c r="D109" s="1382"/>
      <c r="E109" s="1382"/>
      <c r="F109" s="1382"/>
      <c r="G109" s="1379"/>
      <c r="H109" s="1382"/>
      <c r="I109" s="1382"/>
    </row>
    <row r="110" spans="1:11" ht="19.5" thickTop="1" x14ac:dyDescent="0.3">
      <c r="A110" s="960" t="s">
        <v>486</v>
      </c>
      <c r="B110" s="946"/>
      <c r="C110" s="946"/>
      <c r="D110" s="947"/>
      <c r="E110" s="947"/>
      <c r="F110" s="946"/>
      <c r="G110" s="946"/>
      <c r="H110" s="949"/>
    </row>
    <row r="111" spans="1:11" ht="15.75" x14ac:dyDescent="0.25">
      <c r="A111" s="964" t="s">
        <v>736</v>
      </c>
      <c r="B111" s="944"/>
      <c r="C111" s="944"/>
      <c r="D111" s="945"/>
      <c r="E111" s="945"/>
      <c r="F111" s="944"/>
      <c r="G111" s="944"/>
      <c r="H111" s="950"/>
    </row>
    <row r="112" spans="1:11" x14ac:dyDescent="0.25">
      <c r="A112" s="1054"/>
      <c r="B112" s="943" t="s">
        <v>326</v>
      </c>
      <c r="C112" s="945"/>
      <c r="D112" s="945"/>
      <c r="E112" s="945"/>
      <c r="F112" s="944"/>
      <c r="G112" s="944"/>
      <c r="H112" s="950"/>
    </row>
    <row r="113" spans="1:8" x14ac:dyDescent="0.25">
      <c r="A113" s="1054"/>
      <c r="B113" s="1356" t="s">
        <v>870</v>
      </c>
      <c r="C113" s="1357"/>
      <c r="D113" s="1357"/>
      <c r="E113" s="945"/>
      <c r="F113" s="944"/>
      <c r="G113" s="944"/>
      <c r="H113" s="950"/>
    </row>
    <row r="114" spans="1:8" x14ac:dyDescent="0.25">
      <c r="A114" s="1054"/>
      <c r="B114" s="942" t="s">
        <v>1103</v>
      </c>
      <c r="C114" s="945"/>
      <c r="D114" s="945"/>
      <c r="E114" s="945"/>
      <c r="F114" s="944"/>
      <c r="G114" s="944"/>
      <c r="H114" s="950"/>
    </row>
    <row r="115" spans="1:8" x14ac:dyDescent="0.25">
      <c r="A115" s="1054" t="s">
        <v>154</v>
      </c>
      <c r="B115" s="942" t="s">
        <v>1104</v>
      </c>
      <c r="C115" s="945"/>
      <c r="D115" s="945"/>
      <c r="E115" s="945"/>
      <c r="F115" s="944"/>
      <c r="G115" s="944"/>
      <c r="H115" s="950"/>
    </row>
    <row r="116" spans="1:8" x14ac:dyDescent="0.25">
      <c r="A116" s="1054"/>
      <c r="B116" s="942" t="s">
        <v>1105</v>
      </c>
      <c r="C116" s="945"/>
      <c r="D116" s="945"/>
      <c r="E116" s="945"/>
      <c r="F116" s="944"/>
      <c r="G116" s="944"/>
      <c r="H116" s="950"/>
    </row>
    <row r="117" spans="1:8" x14ac:dyDescent="0.25">
      <c r="A117" s="1890"/>
      <c r="B117" s="942" t="s">
        <v>1106</v>
      </c>
      <c r="C117" s="1019"/>
      <c r="D117" s="945"/>
      <c r="E117" s="945"/>
      <c r="F117" s="944"/>
      <c r="G117" s="944"/>
      <c r="H117" s="950"/>
    </row>
    <row r="118" spans="1:8" x14ac:dyDescent="0.25">
      <c r="A118" s="1890"/>
      <c r="B118" s="942" t="s">
        <v>1449</v>
      </c>
      <c r="C118" s="1019"/>
      <c r="D118" s="945"/>
      <c r="E118" s="945"/>
      <c r="F118" s="944"/>
      <c r="G118" s="944"/>
      <c r="H118" s="950"/>
    </row>
    <row r="119" spans="1:8" x14ac:dyDescent="0.25">
      <c r="A119" s="1890"/>
      <c r="B119" s="942" t="s">
        <v>1462</v>
      </c>
      <c r="C119" s="1019"/>
      <c r="D119" s="945"/>
      <c r="E119" s="945"/>
      <c r="F119" s="944"/>
      <c r="G119" s="944"/>
      <c r="H119" s="950"/>
    </row>
    <row r="120" spans="1:8" x14ac:dyDescent="0.25">
      <c r="A120" s="1890"/>
      <c r="B120" s="942" t="s">
        <v>1450</v>
      </c>
      <c r="C120" s="1019"/>
      <c r="D120" s="945"/>
      <c r="E120" s="945"/>
      <c r="F120" s="944"/>
      <c r="G120" s="944"/>
      <c r="H120" s="950"/>
    </row>
    <row r="121" spans="1:8" x14ac:dyDescent="0.25">
      <c r="A121" s="1890"/>
      <c r="B121" s="942" t="s">
        <v>1107</v>
      </c>
      <c r="C121" s="1019"/>
      <c r="D121" s="945"/>
      <c r="E121" s="945"/>
      <c r="F121" s="944"/>
      <c r="G121" s="944"/>
      <c r="H121" s="950"/>
    </row>
    <row r="122" spans="1:8" x14ac:dyDescent="0.25">
      <c r="A122" s="1890"/>
      <c r="B122" s="943" t="s">
        <v>1108</v>
      </c>
      <c r="C122" s="1019"/>
      <c r="D122" s="945"/>
      <c r="E122" s="945"/>
      <c r="F122" s="944"/>
      <c r="G122" s="944"/>
      <c r="H122" s="950"/>
    </row>
    <row r="123" spans="1:8" x14ac:dyDescent="0.25">
      <c r="A123" s="1890"/>
      <c r="B123" s="943" t="s">
        <v>1100</v>
      </c>
      <c r="C123" s="1019"/>
      <c r="D123" s="945"/>
      <c r="E123" s="945"/>
      <c r="F123" s="944"/>
      <c r="G123" s="944"/>
      <c r="H123" s="950"/>
    </row>
    <row r="124" spans="1:8" x14ac:dyDescent="0.25">
      <c r="A124" s="1054"/>
      <c r="B124" s="943" t="s">
        <v>1099</v>
      </c>
      <c r="C124" s="945"/>
      <c r="D124" s="945"/>
      <c r="E124" s="945"/>
      <c r="F124" s="944"/>
      <c r="G124" s="944"/>
      <c r="H124" s="950"/>
    </row>
    <row r="125" spans="1:8" x14ac:dyDescent="0.25">
      <c r="A125" s="1054"/>
      <c r="B125" s="943" t="s">
        <v>1098</v>
      </c>
      <c r="C125" s="945"/>
      <c r="D125" s="945"/>
      <c r="E125" s="945"/>
      <c r="F125" s="944"/>
      <c r="G125" s="944"/>
      <c r="H125" s="950"/>
    </row>
    <row r="126" spans="1:8" x14ac:dyDescent="0.25">
      <c r="A126" s="1054"/>
      <c r="B126" s="942" t="s">
        <v>1097</v>
      </c>
      <c r="C126" s="945"/>
      <c r="D126" s="945"/>
      <c r="E126" s="945"/>
      <c r="F126" s="944"/>
      <c r="G126" s="944"/>
      <c r="H126" s="950"/>
    </row>
    <row r="127" spans="1:8" x14ac:dyDescent="0.25">
      <c r="A127" s="1054"/>
      <c r="B127" s="943" t="s">
        <v>1101</v>
      </c>
      <c r="C127" s="945"/>
      <c r="D127" s="945"/>
      <c r="E127" s="945"/>
      <c r="F127" s="944"/>
      <c r="G127" s="944"/>
      <c r="H127" s="950"/>
    </row>
    <row r="128" spans="1:8" x14ac:dyDescent="0.25">
      <c r="A128" s="1054"/>
      <c r="B128" s="943" t="s">
        <v>1102</v>
      </c>
      <c r="C128" s="945"/>
      <c r="D128" s="1019" t="s">
        <v>1762</v>
      </c>
      <c r="E128" s="945"/>
      <c r="F128" s="944"/>
      <c r="G128" s="944"/>
      <c r="H128" s="950"/>
    </row>
    <row r="129" spans="1:8" x14ac:dyDescent="0.25">
      <c r="A129" s="1083"/>
      <c r="B129" s="1081" t="s">
        <v>719</v>
      </c>
      <c r="C129" s="945"/>
      <c r="D129" s="1019" t="s">
        <v>1764</v>
      </c>
      <c r="E129" s="945"/>
      <c r="F129" s="944"/>
      <c r="G129" s="944"/>
      <c r="H129" s="950"/>
    </row>
    <row r="130" spans="1:8" x14ac:dyDescent="0.25">
      <c r="A130" s="1083"/>
      <c r="B130" s="1081" t="s">
        <v>720</v>
      </c>
      <c r="C130" s="945"/>
      <c r="D130" s="1019" t="s">
        <v>1289</v>
      </c>
      <c r="E130" s="945"/>
      <c r="F130" s="945"/>
      <c r="G130" s="945"/>
      <c r="H130" s="950"/>
    </row>
    <row r="131" spans="1:8" x14ac:dyDescent="0.25">
      <c r="A131" s="1083"/>
      <c r="B131" s="1081" t="s">
        <v>721</v>
      </c>
      <c r="C131" s="945"/>
      <c r="D131" s="945" t="s">
        <v>722</v>
      </c>
      <c r="E131" s="945"/>
      <c r="F131" s="945"/>
      <c r="G131" s="945"/>
      <c r="H131" s="950"/>
    </row>
    <row r="132" spans="1:8" x14ac:dyDescent="0.25">
      <c r="A132" s="1083"/>
      <c r="B132" s="1081" t="s">
        <v>725</v>
      </c>
      <c r="C132" s="945"/>
      <c r="D132" s="1019" t="s">
        <v>1763</v>
      </c>
      <c r="E132" s="945"/>
      <c r="F132" s="945"/>
      <c r="G132" s="945"/>
      <c r="H132" s="950"/>
    </row>
    <row r="133" spans="1:8" ht="15.75" thickBot="1" x14ac:dyDescent="0.3">
      <c r="A133" s="1088"/>
      <c r="B133" s="1089" t="s">
        <v>577</v>
      </c>
      <c r="C133" s="948"/>
      <c r="D133" s="1087" t="s">
        <v>578</v>
      </c>
      <c r="E133" s="948"/>
      <c r="F133" s="948"/>
      <c r="G133" s="948"/>
      <c r="H133" s="951"/>
    </row>
    <row r="134" spans="1:8" ht="15.75" thickTop="1" x14ac:dyDescent="0.25"/>
  </sheetData>
  <sheetProtection sheet="1" objects="1" scenarios="1"/>
  <phoneticPr fontId="0" type="noConversion"/>
  <hyperlinks>
    <hyperlink ref="I13" location="'S. Setup'!A1" display="S. Setup"/>
    <hyperlink ref="B1" location="'2. TaxData'!A1" display="Previous worksheet (2. TaxData)"/>
    <hyperlink ref="G1" location="'4. PensionData'!A1" display="Next worksheet (4. PensionData)"/>
    <hyperlink ref="B108" location="'2. TaxData'!A1" display="Previous worksheet (2. TaxData)"/>
    <hyperlink ref="G108" location="'4. PensionData'!A1" display="Next worksheet (4. PensionData)"/>
    <hyperlink ref="B115" location="'S. Setup'!A1" display="Setup"/>
    <hyperlink ref="B116" location="'1. AgeData'!A1" display="AgeData"/>
    <hyperlink ref="B117" location="'2. TaxData'!A1" display="TaxData"/>
    <hyperlink ref="B119" location="'4. PensionData'!A1" display="4. PensionData"/>
    <hyperlink ref="B120" location="'5. SocSecData'!A1" display="5. SocSecData"/>
    <hyperlink ref="B118" location="'3. WorkData'!A1" display="3. WorkData"/>
    <hyperlink ref="B121" location="'6. AnnuityData'!A1" display="AnnuityData"/>
    <hyperlink ref="B122" location="'7. IRAdata'!A1" display="IRAdata"/>
    <hyperlink ref="B123" location="'8. RothData'!A1" display="RothData"/>
    <hyperlink ref="B124" location="'9. SavingsData'!A1" display="SavingsData"/>
    <hyperlink ref="B114" location="'R. Results'!A1" display="Results"/>
    <hyperlink ref="B126" location="'11. CashData'!A1" display="CashData"/>
    <hyperlink ref="B125" location="'10. ExpensesData'!A1" display="ExpensesData"/>
    <hyperlink ref="B127" location="'12. RMDtable'!A1" display="RMDtable"/>
    <hyperlink ref="B112" location="Introduction!A1" display="Introduction"/>
    <hyperlink ref="B132" location="'Appendix D'!A1" display="Appendix D"/>
    <hyperlink ref="B129" location="'Appendix A'!A1" display="Appendix A"/>
    <hyperlink ref="B130" location="'Appendix B'!A1" display="Appendix B"/>
    <hyperlink ref="B131" location="'Appendix C'!A1" display="Appendix C"/>
    <hyperlink ref="B133" location="FAQ!A1" display="FAQ"/>
    <hyperlink ref="B113" location="Assumptions!A1" display="Assumptions"/>
    <hyperlink ref="B128" location="'RS. Resources'!A1" display="Resources"/>
  </hyperlinks>
  <printOptions headings="1" gridLines="1"/>
  <pageMargins left="0.7" right="0.7" top="0.75" bottom="0.75" header="0.3" footer="0.3"/>
  <pageSetup orientation="landscape" horizontalDpi="1200" verticalDpi="1200" r:id="rId1"/>
  <headerFooter>
    <oddHeader>&amp;L&amp;F&amp;C   &amp;D &amp;T&amp;R&amp;A &amp;P</oddHeader>
  </headerFooter>
  <ignoredErrors>
    <ignoredError sqref="F69 J69" unlockedFormula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Q154"/>
  <sheetViews>
    <sheetView zoomScaleNormal="100" workbookViewId="0">
      <selection activeCell="A17" sqref="A17"/>
    </sheetView>
  </sheetViews>
  <sheetFormatPr defaultRowHeight="15" x14ac:dyDescent="0.25"/>
  <cols>
    <col min="1" max="1" width="6.42578125" customWidth="1"/>
    <col min="2" max="2" width="6.5703125" customWidth="1"/>
    <col min="3" max="3" width="8.5703125" customWidth="1"/>
    <col min="4" max="4" width="11.5703125" customWidth="1"/>
    <col min="5" max="5" width="8.42578125" customWidth="1"/>
    <col min="6" max="6" width="8.85546875" customWidth="1"/>
    <col min="7" max="7" width="9.7109375" customWidth="1"/>
    <col min="8" max="8" width="9.5703125" customWidth="1"/>
    <col min="9" max="10" width="10.140625" bestFit="1" customWidth="1"/>
    <col min="11" max="11" width="7.7109375" customWidth="1"/>
    <col min="12" max="12" width="8.5703125" customWidth="1"/>
    <col min="13" max="13" width="23" bestFit="1" customWidth="1"/>
  </cols>
  <sheetData>
    <row r="1" spans="1:12" s="1382" customFormat="1" ht="15.75" x14ac:dyDescent="0.25">
      <c r="B1" s="1471" t="s">
        <v>1436</v>
      </c>
      <c r="G1" s="1471" t="s">
        <v>1437</v>
      </c>
    </row>
    <row r="2" spans="1:12" s="1382" customFormat="1" ht="15.75" x14ac:dyDescent="0.25">
      <c r="A2" s="1412"/>
      <c r="B2" s="1412"/>
      <c r="C2" s="1412"/>
      <c r="D2" s="1412"/>
      <c r="E2" s="1412"/>
      <c r="F2" s="1412"/>
      <c r="G2" s="1412"/>
      <c r="H2" s="1412"/>
      <c r="I2" s="1412"/>
      <c r="J2" s="1412"/>
      <c r="K2" s="1412"/>
      <c r="L2" s="1412"/>
    </row>
    <row r="4" spans="1:12" ht="18.75" x14ac:dyDescent="0.3">
      <c r="A4" s="144" t="s">
        <v>1438</v>
      </c>
      <c r="B4" s="6"/>
      <c r="C4" s="6"/>
      <c r="D4" s="6"/>
      <c r="E4" s="6"/>
      <c r="F4" s="162"/>
    </row>
    <row r="5" spans="1:12" ht="18.75" x14ac:dyDescent="0.3">
      <c r="A5" s="144"/>
      <c r="B5" s="6"/>
      <c r="C5" s="6"/>
      <c r="D5" s="6"/>
      <c r="E5" s="6"/>
      <c r="F5" s="162"/>
    </row>
    <row r="6" spans="1:12" ht="15.75" x14ac:dyDescent="0.25">
      <c r="A6" s="1582" t="s">
        <v>2989</v>
      </c>
      <c r="B6" s="6"/>
      <c r="C6" s="6"/>
      <c r="D6" s="6"/>
      <c r="E6" s="6"/>
      <c r="F6" s="162"/>
    </row>
    <row r="7" spans="1:12" x14ac:dyDescent="0.25">
      <c r="A7" s="1296" t="s">
        <v>3300</v>
      </c>
      <c r="B7" s="6"/>
      <c r="C7" s="6"/>
      <c r="D7" s="6"/>
      <c r="E7" s="6"/>
      <c r="F7" s="162"/>
    </row>
    <row r="8" spans="1:12" ht="19.5" thickBot="1" x14ac:dyDescent="0.35">
      <c r="A8" s="144"/>
      <c r="B8" s="6"/>
      <c r="C8" s="6"/>
      <c r="D8" s="6"/>
      <c r="E8" s="6"/>
      <c r="F8" s="162"/>
      <c r="H8" s="626"/>
    </row>
    <row r="9" spans="1:12" ht="18.75" x14ac:dyDescent="0.3">
      <c r="B9" s="627" t="str">
        <f>IF('S. Setup'!$K$36="used","You MUST edit this worksheet","You DO NOT HAVE TO edit this worksheet")</f>
        <v>You MUST edit this worksheet</v>
      </c>
      <c r="C9" s="628"/>
      <c r="D9" s="628"/>
      <c r="E9" s="628"/>
      <c r="F9" s="628"/>
      <c r="G9" s="629"/>
      <c r="H9" s="628"/>
      <c r="I9" s="628"/>
      <c r="J9" s="630"/>
    </row>
    <row r="10" spans="1:12" ht="19.5" thickBot="1" x14ac:dyDescent="0.35">
      <c r="B10" s="631" t="s">
        <v>584</v>
      </c>
      <c r="C10" s="632"/>
      <c r="D10" s="632"/>
      <c r="E10" s="632"/>
      <c r="F10" s="632"/>
      <c r="G10" s="632"/>
      <c r="H10" s="632"/>
      <c r="I10" s="632"/>
      <c r="J10" s="644" t="str">
        <f>'S. Setup'!$K$36</f>
        <v>used</v>
      </c>
    </row>
    <row r="11" spans="1:12" s="215" customFormat="1" ht="18.75" x14ac:dyDescent="0.3">
      <c r="B11" s="1095" t="s">
        <v>60</v>
      </c>
      <c r="C11" s="1095"/>
      <c r="D11" s="1095"/>
      <c r="E11" s="1095"/>
      <c r="F11" s="1095"/>
      <c r="G11" s="1095"/>
      <c r="H11" s="1095"/>
      <c r="I11" s="1473" t="s">
        <v>1104</v>
      </c>
      <c r="J11" s="735"/>
    </row>
    <row r="12" spans="1:12" s="215" customFormat="1" ht="19.5" thickBot="1" x14ac:dyDescent="0.35">
      <c r="B12" s="1095"/>
      <c r="C12" s="1095"/>
      <c r="D12" s="1095"/>
      <c r="E12" s="1095"/>
      <c r="F12" s="1095"/>
      <c r="G12" s="1095"/>
      <c r="H12" s="1095"/>
      <c r="I12" s="1096"/>
      <c r="J12" s="735"/>
    </row>
    <row r="13" spans="1:12" s="215" customFormat="1" ht="18.75" x14ac:dyDescent="0.3">
      <c r="A13" s="699" t="s">
        <v>253</v>
      </c>
      <c r="B13" s="736"/>
      <c r="C13" s="737"/>
      <c r="D13" s="737"/>
      <c r="E13" s="737"/>
      <c r="F13" s="737"/>
      <c r="G13" s="738"/>
      <c r="H13" s="33"/>
      <c r="I13" s="33"/>
      <c r="J13" s="735"/>
    </row>
    <row r="14" spans="1:12" s="215" customFormat="1" ht="15.75" x14ac:dyDescent="0.25">
      <c r="A14" s="1364" t="s">
        <v>1438</v>
      </c>
      <c r="B14" s="712"/>
      <c r="C14" s="33"/>
      <c r="D14" s="33"/>
      <c r="E14" s="33"/>
      <c r="F14" s="33"/>
      <c r="G14" s="740"/>
      <c r="H14" s="33"/>
      <c r="I14" s="33"/>
    </row>
    <row r="15" spans="1:12" s="215" customFormat="1" ht="18.75" x14ac:dyDescent="0.3">
      <c r="A15" s="1364" t="s">
        <v>1446</v>
      </c>
      <c r="B15" s="712"/>
      <c r="C15" s="33"/>
      <c r="D15" s="33"/>
      <c r="E15" s="33"/>
      <c r="F15" s="33"/>
      <c r="G15" s="740"/>
      <c r="H15" s="33"/>
      <c r="I15" s="33"/>
      <c r="J15" s="735"/>
    </row>
    <row r="16" spans="1:12" s="215" customFormat="1" ht="19.5" thickBot="1" x14ac:dyDescent="0.35">
      <c r="A16" s="1889" t="s">
        <v>3708</v>
      </c>
      <c r="B16" s="742"/>
      <c r="C16" s="743"/>
      <c r="D16" s="743"/>
      <c r="E16" s="743"/>
      <c r="F16" s="743"/>
      <c r="G16" s="744"/>
      <c r="H16" s="33"/>
      <c r="I16" s="33"/>
      <c r="J16" s="735"/>
    </row>
    <row r="17" spans="1:13" s="215" customFormat="1" ht="18.75" x14ac:dyDescent="0.3">
      <c r="A17" s="64"/>
      <c r="B17" s="712"/>
      <c r="C17" s="33"/>
      <c r="D17" s="33"/>
      <c r="E17" s="33"/>
      <c r="F17" s="33"/>
      <c r="G17" s="33"/>
      <c r="H17" s="33"/>
      <c r="I17" s="33"/>
      <c r="J17" s="735"/>
    </row>
    <row r="18" spans="1:13" x14ac:dyDescent="0.25">
      <c r="A18" s="1351" t="s">
        <v>3701</v>
      </c>
      <c r="B18" s="475"/>
      <c r="C18" s="476"/>
      <c r="D18" s="465"/>
      <c r="E18" s="475"/>
      <c r="F18" s="476"/>
    </row>
    <row r="19" spans="1:13" x14ac:dyDescent="0.25">
      <c r="A19" s="93" t="s">
        <v>367</v>
      </c>
      <c r="B19" s="475"/>
      <c r="C19" s="476"/>
      <c r="D19" s="465"/>
      <c r="E19" s="475"/>
      <c r="F19" s="476"/>
    </row>
    <row r="20" spans="1:13" x14ac:dyDescent="0.25">
      <c r="A20" s="1351" t="s">
        <v>3702</v>
      </c>
    </row>
    <row r="21" spans="1:13" x14ac:dyDescent="0.25">
      <c r="A21" s="93"/>
    </row>
    <row r="22" spans="1:13" x14ac:dyDescent="0.25">
      <c r="A22" s="3631" t="s">
        <v>545</v>
      </c>
      <c r="B22" s="3631"/>
      <c r="C22" s="3631"/>
      <c r="D22" s="3631"/>
      <c r="E22" s="3631"/>
      <c r="F22" s="3631"/>
      <c r="G22" s="3631"/>
      <c r="H22" s="3631"/>
      <c r="I22" s="3631"/>
      <c r="J22" s="3631"/>
    </row>
    <row r="23" spans="1:13" x14ac:dyDescent="0.25">
      <c r="A23" s="3631" t="s">
        <v>546</v>
      </c>
      <c r="B23" s="3631"/>
      <c r="C23" s="3631"/>
      <c r="D23" s="3631"/>
      <c r="E23" s="3631"/>
      <c r="F23" s="3631"/>
      <c r="G23" s="3631"/>
      <c r="H23" s="3631"/>
      <c r="I23" s="3631"/>
      <c r="J23" s="3631"/>
    </row>
    <row r="24" spans="1:13" s="215" customFormat="1" ht="18.75" x14ac:dyDescent="0.3">
      <c r="A24" s="64"/>
      <c r="B24" s="712"/>
      <c r="C24" s="33"/>
      <c r="D24" s="33"/>
      <c r="E24" s="33"/>
      <c r="F24" s="33"/>
      <c r="G24" s="33"/>
      <c r="H24" s="33"/>
      <c r="I24" s="33"/>
      <c r="J24" s="735"/>
    </row>
    <row r="25" spans="1:13" s="215" customFormat="1" ht="18.75" x14ac:dyDescent="0.3">
      <c r="A25" s="1296" t="s">
        <v>3703</v>
      </c>
      <c r="B25" s="712"/>
      <c r="C25" s="33"/>
      <c r="D25" s="33"/>
      <c r="E25" s="33"/>
      <c r="F25" s="33"/>
      <c r="G25" s="33"/>
      <c r="H25" s="33"/>
      <c r="I25" s="33"/>
      <c r="J25" s="735"/>
    </row>
    <row r="26" spans="1:13" s="215" customFormat="1" ht="18.75" x14ac:dyDescent="0.3">
      <c r="A26" s="1296" t="s">
        <v>3704</v>
      </c>
      <c r="B26" s="712"/>
      <c r="C26" s="33"/>
      <c r="D26" s="33"/>
      <c r="E26" s="33"/>
      <c r="F26" s="33"/>
      <c r="G26" s="33"/>
      <c r="H26" s="33"/>
      <c r="I26" s="33"/>
      <c r="J26" s="735"/>
    </row>
    <row r="27" spans="1:13" s="215" customFormat="1" ht="18.75" x14ac:dyDescent="0.3">
      <c r="A27" s="1351" t="s">
        <v>3705</v>
      </c>
      <c r="B27" s="712"/>
      <c r="C27" s="33"/>
      <c r="D27" s="33"/>
      <c r="E27" s="33"/>
      <c r="F27" s="33"/>
      <c r="G27" s="33"/>
      <c r="H27" s="33"/>
      <c r="I27" s="33"/>
      <c r="J27" s="735"/>
    </row>
    <row r="28" spans="1:13" s="215" customFormat="1" ht="18.75" x14ac:dyDescent="0.3">
      <c r="A28" s="1351" t="s">
        <v>3706</v>
      </c>
      <c r="B28" s="712"/>
      <c r="C28" s="33"/>
      <c r="D28" s="33"/>
      <c r="E28" s="33"/>
      <c r="F28" s="33"/>
      <c r="G28" s="33"/>
      <c r="H28" s="33"/>
      <c r="I28" s="33"/>
      <c r="J28" s="735"/>
    </row>
    <row r="29" spans="1:13" s="215" customFormat="1" ht="18.75" x14ac:dyDescent="0.3">
      <c r="A29" s="1351"/>
      <c r="B29" s="712"/>
      <c r="C29" s="33"/>
      <c r="D29" s="33"/>
      <c r="E29" s="33"/>
      <c r="F29" s="33"/>
      <c r="G29" s="33"/>
      <c r="H29" s="33"/>
      <c r="I29" s="33"/>
      <c r="J29" s="735"/>
    </row>
    <row r="30" spans="1:13" s="215" customFormat="1" ht="18.75" x14ac:dyDescent="0.3">
      <c r="A30" s="2253" t="s">
        <v>1851</v>
      </c>
      <c r="B30" s="712"/>
      <c r="C30" s="33"/>
      <c r="D30" s="33"/>
      <c r="E30" s="33"/>
      <c r="F30" s="33"/>
      <c r="I30" s="1147"/>
      <c r="J30" s="735"/>
    </row>
    <row r="31" spans="1:13" ht="15.75" thickBot="1" x14ac:dyDescent="0.3">
      <c r="E31" s="6"/>
      <c r="F31" s="162"/>
    </row>
    <row r="32" spans="1:13" ht="19.5" thickTop="1" x14ac:dyDescent="0.3">
      <c r="A32" s="1340" t="s">
        <v>1447</v>
      </c>
      <c r="B32" s="1341"/>
      <c r="C32" s="14"/>
      <c r="D32" s="14"/>
      <c r="E32" s="14"/>
      <c r="F32" s="734"/>
      <c r="G32" s="14"/>
      <c r="H32" s="14"/>
      <c r="I32" s="14"/>
      <c r="J32" s="14"/>
      <c r="K32" s="14"/>
      <c r="L32" s="1341"/>
      <c r="M32" s="2357"/>
    </row>
    <row r="33" spans="1:13" x14ac:dyDescent="0.25">
      <c r="A33" s="1312" t="s">
        <v>670</v>
      </c>
      <c r="B33" s="64"/>
      <c r="C33" s="127"/>
      <c r="D33" s="6"/>
      <c r="F33" s="1768">
        <v>23000</v>
      </c>
      <c r="G33" s="161" t="s">
        <v>2314</v>
      </c>
      <c r="H33" s="733"/>
      <c r="I33" s="6"/>
      <c r="J33" s="6"/>
      <c r="K33" s="6"/>
      <c r="L33" s="6"/>
      <c r="M33" s="2357"/>
    </row>
    <row r="34" spans="1:13" x14ac:dyDescent="0.25">
      <c r="A34" s="1312" t="s">
        <v>671</v>
      </c>
      <c r="B34" s="64"/>
      <c r="C34" s="127"/>
      <c r="D34" s="6"/>
      <c r="F34" s="1768">
        <v>11000</v>
      </c>
      <c r="G34" s="6"/>
      <c r="H34" s="148"/>
      <c r="I34" s="6"/>
      <c r="J34" s="6"/>
      <c r="K34" s="6"/>
      <c r="L34" s="6"/>
      <c r="M34" s="2357"/>
    </row>
    <row r="35" spans="1:13" x14ac:dyDescent="0.25">
      <c r="A35" s="1312"/>
      <c r="B35" s="64"/>
      <c r="C35" s="127"/>
      <c r="D35" s="6"/>
      <c r="F35" s="1768"/>
      <c r="G35" s="6"/>
      <c r="H35" s="148"/>
      <c r="I35" s="6"/>
      <c r="J35" s="6"/>
      <c r="K35" s="6"/>
      <c r="L35" s="6"/>
      <c r="M35" s="2357"/>
    </row>
    <row r="36" spans="1:13" x14ac:dyDescent="0.25">
      <c r="A36" s="1609" t="s">
        <v>1771</v>
      </c>
      <c r="B36" s="93"/>
      <c r="C36" s="364"/>
      <c r="D36" s="364"/>
      <c r="E36" s="364"/>
      <c r="F36" s="364"/>
      <c r="G36" s="364"/>
      <c r="H36" s="1648" t="s">
        <v>1769</v>
      </c>
      <c r="I36" s="1648"/>
      <c r="L36" s="6"/>
      <c r="M36" s="2357"/>
    </row>
    <row r="37" spans="1:13" x14ac:dyDescent="0.25">
      <c r="A37" s="1609" t="s">
        <v>1767</v>
      </c>
      <c r="B37" s="93"/>
      <c r="C37" s="364"/>
      <c r="D37" s="364"/>
      <c r="E37" s="364"/>
      <c r="F37" s="364"/>
      <c r="G37" s="364"/>
      <c r="H37" s="3"/>
      <c r="I37" s="364"/>
      <c r="J37" s="364"/>
      <c r="K37" s="364"/>
      <c r="L37" s="6"/>
      <c r="M37" s="2357"/>
    </row>
    <row r="38" spans="1:13" ht="15.75" thickBot="1" x14ac:dyDescent="0.3">
      <c r="A38" s="10"/>
      <c r="B38" s="93"/>
      <c r="C38" s="364"/>
      <c r="D38" s="364"/>
      <c r="E38" s="364"/>
      <c r="F38" s="364"/>
      <c r="G38" s="364"/>
      <c r="H38" s="3"/>
      <c r="I38" s="364"/>
      <c r="J38" s="364"/>
      <c r="K38" s="364"/>
      <c r="L38" s="6"/>
      <c r="M38" s="2357"/>
    </row>
    <row r="39" spans="1:13" ht="15.75" thickBot="1" x14ac:dyDescent="0.3">
      <c r="A39" s="1897" t="s">
        <v>607</v>
      </c>
      <c r="B39" s="1898"/>
      <c r="C39" s="300"/>
      <c r="D39" s="300"/>
      <c r="E39" s="300"/>
      <c r="F39" s="2115" t="s">
        <v>554</v>
      </c>
      <c r="G39" s="3062" t="s">
        <v>2311</v>
      </c>
      <c r="H39" s="6"/>
      <c r="I39" s="6"/>
      <c r="J39" s="6"/>
      <c r="K39" s="6"/>
      <c r="L39" s="6"/>
      <c r="M39" s="2357"/>
    </row>
    <row r="40" spans="1:13" x14ac:dyDescent="0.25">
      <c r="A40" s="1753"/>
      <c r="B40" s="109"/>
      <c r="C40" s="109"/>
      <c r="D40" s="109"/>
      <c r="E40" s="109"/>
      <c r="F40" s="1343"/>
      <c r="G40" s="3062" t="s">
        <v>2312</v>
      </c>
      <c r="H40" s="6"/>
      <c r="I40" s="6"/>
      <c r="J40" s="6"/>
      <c r="K40" s="6"/>
      <c r="L40" s="6"/>
      <c r="M40" s="2357"/>
    </row>
    <row r="41" spans="1:13" x14ac:dyDescent="0.25">
      <c r="A41" s="1833"/>
      <c r="B41" s="293"/>
      <c r="C41" s="127"/>
      <c r="D41" s="6"/>
      <c r="E41" s="6"/>
      <c r="F41" s="133"/>
      <c r="G41" s="1189" t="s">
        <v>2313</v>
      </c>
      <c r="H41" s="148"/>
      <c r="I41" s="6"/>
      <c r="J41" s="6"/>
      <c r="K41" s="6"/>
      <c r="L41" s="6"/>
      <c r="M41" s="2357"/>
    </row>
    <row r="42" spans="1:13" x14ac:dyDescent="0.25">
      <c r="A42" s="1833"/>
      <c r="B42" s="165" t="s">
        <v>264</v>
      </c>
      <c r="C42" s="127"/>
      <c r="F42" s="204"/>
      <c r="G42" s="6"/>
      <c r="H42" s="148"/>
      <c r="I42" s="6"/>
      <c r="J42" s="6"/>
      <c r="K42" s="6"/>
      <c r="L42" s="6"/>
      <c r="M42" s="2357"/>
    </row>
    <row r="43" spans="1:13" x14ac:dyDescent="0.25">
      <c r="A43" s="1833"/>
      <c r="B43" s="165" t="s">
        <v>1203</v>
      </c>
      <c r="C43" s="127"/>
      <c r="F43" s="204"/>
      <c r="G43" s="6"/>
      <c r="H43" s="148"/>
      <c r="I43" s="6"/>
      <c r="J43" s="6"/>
      <c r="K43" s="6"/>
      <c r="L43" s="6"/>
      <c r="M43" s="2357"/>
    </row>
    <row r="44" spans="1:13" x14ac:dyDescent="0.25">
      <c r="A44" s="1312" t="s">
        <v>378</v>
      </c>
      <c r="B44" s="377"/>
      <c r="C44" s="127"/>
      <c r="D44" s="6"/>
      <c r="F44" s="1196">
        <f>IF(F45&lt;&gt;0,F45,'1. AgeData'!$D$30)</f>
        <v>66</v>
      </c>
      <c r="G44" s="166" t="str">
        <f>IF(F44&gt;='1. AgeData'!$D$30, ".", ("   ERROR in PensionData - must specify age &gt;= Current age of S1 of "&amp;'1. AgeData'!$D$30))</f>
        <v>.</v>
      </c>
      <c r="H44" s="1180" t="s">
        <v>782</v>
      </c>
      <c r="L44" s="6"/>
      <c r="M44" s="2357"/>
    </row>
    <row r="45" spans="1:13" x14ac:dyDescent="0.25">
      <c r="A45" s="1312" t="s">
        <v>3301</v>
      </c>
      <c r="B45" s="377"/>
      <c r="C45" s="127"/>
      <c r="D45" s="6"/>
      <c r="F45" s="1653">
        <v>66</v>
      </c>
      <c r="G45" s="166"/>
      <c r="L45" s="6"/>
      <c r="M45" s="2357"/>
    </row>
    <row r="46" spans="1:13" x14ac:dyDescent="0.25">
      <c r="A46" s="1327" t="s">
        <v>868</v>
      </c>
      <c r="B46" s="1156"/>
      <c r="C46" s="1156"/>
      <c r="F46" s="1686">
        <v>0</v>
      </c>
      <c r="G46" s="166"/>
      <c r="H46" s="1189" t="s">
        <v>768</v>
      </c>
      <c r="I46" s="1198"/>
      <c r="J46" s="1180"/>
      <c r="K46" s="6"/>
      <c r="L46" s="6"/>
      <c r="M46" s="2357"/>
    </row>
    <row r="47" spans="1:13" x14ac:dyDescent="0.25">
      <c r="A47" s="1327" t="s">
        <v>853</v>
      </c>
      <c r="B47" s="1156"/>
      <c r="F47" s="1198">
        <f>'1. AgeData'!I30</f>
        <v>85</v>
      </c>
      <c r="G47" s="166"/>
      <c r="H47" s="1180" t="s">
        <v>1402</v>
      </c>
      <c r="I47" s="1198"/>
      <c r="J47" s="1180"/>
      <c r="K47" s="6"/>
      <c r="L47" s="6"/>
      <c r="M47" s="2357"/>
    </row>
    <row r="48" spans="1:13" x14ac:dyDescent="0.25">
      <c r="A48" s="1312"/>
      <c r="B48" s="377"/>
      <c r="C48" s="127"/>
      <c r="D48" s="6"/>
      <c r="F48" s="148"/>
      <c r="G48" s="166"/>
      <c r="H48" s="1155"/>
      <c r="I48" s="1156"/>
      <c r="J48" s="1171"/>
      <c r="K48" s="6"/>
      <c r="L48" s="6"/>
      <c r="M48" s="2357"/>
    </row>
    <row r="49" spans="1:13" x14ac:dyDescent="0.25">
      <c r="A49" s="1312" t="s">
        <v>379</v>
      </c>
      <c r="B49" s="377"/>
      <c r="C49" s="127"/>
      <c r="D49" s="6"/>
      <c r="F49" s="1196">
        <f>IF(F50&lt;&gt;0,F50,'1. AgeData'!$D$31)</f>
        <v>55</v>
      </c>
      <c r="G49" s="166" t="str">
        <f>IF(F49&gt;='1. AgeData'!$D$31, ".", ("   ERROR in PensionData - must specify age &gt;= Current age of S2 of "&amp;'1. AgeData'!$D$31))</f>
        <v>.</v>
      </c>
      <c r="H49" s="1180" t="s">
        <v>782</v>
      </c>
      <c r="I49" s="1156"/>
      <c r="K49" s="6"/>
      <c r="L49" s="6"/>
      <c r="M49" s="2357"/>
    </row>
    <row r="50" spans="1:13" x14ac:dyDescent="0.25">
      <c r="A50" s="1312" t="s">
        <v>3303</v>
      </c>
      <c r="B50" s="377"/>
      <c r="C50" s="127"/>
      <c r="D50" s="6"/>
      <c r="F50" s="1653">
        <v>0</v>
      </c>
      <c r="G50" s="166"/>
      <c r="K50" s="6"/>
      <c r="L50" s="6"/>
      <c r="M50" s="2357"/>
    </row>
    <row r="51" spans="1:13" x14ac:dyDescent="0.25">
      <c r="A51" s="1327" t="s">
        <v>867</v>
      </c>
      <c r="B51" s="377"/>
      <c r="C51" s="127"/>
      <c r="D51" s="6"/>
      <c r="F51" s="1686">
        <v>0.5</v>
      </c>
      <c r="G51" s="166"/>
      <c r="H51" s="1189" t="s">
        <v>768</v>
      </c>
      <c r="I51" s="1198"/>
      <c r="J51" s="1180"/>
      <c r="K51" s="6"/>
      <c r="L51" s="6"/>
      <c r="M51" s="2357"/>
    </row>
    <row r="52" spans="1:13" x14ac:dyDescent="0.25">
      <c r="A52" s="1327" t="s">
        <v>854</v>
      </c>
      <c r="B52" s="377"/>
      <c r="C52" s="127"/>
      <c r="D52" s="6"/>
      <c r="F52" s="1198">
        <f>'1. AgeData'!I31</f>
        <v>87</v>
      </c>
      <c r="G52" s="166"/>
      <c r="H52" s="1180" t="s">
        <v>1402</v>
      </c>
      <c r="I52" s="1198"/>
      <c r="J52" s="1180"/>
      <c r="K52" s="6"/>
      <c r="L52" s="6"/>
      <c r="M52" s="2357"/>
    </row>
    <row r="53" spans="1:13" x14ac:dyDescent="0.25">
      <c r="A53" s="1833"/>
      <c r="B53" s="377"/>
      <c r="C53" s="127"/>
      <c r="D53" s="6"/>
      <c r="E53" s="6"/>
      <c r="F53" s="191"/>
      <c r="G53" s="6"/>
      <c r="H53" s="6"/>
      <c r="I53" s="6"/>
      <c r="J53" s="6"/>
      <c r="K53" s="6"/>
      <c r="L53" s="6"/>
      <c r="M53" s="2357"/>
    </row>
    <row r="54" spans="1:13" x14ac:dyDescent="0.25">
      <c r="A54" s="1345" t="s">
        <v>608</v>
      </c>
      <c r="B54" s="293"/>
      <c r="C54" s="102"/>
      <c r="D54" s="102"/>
      <c r="E54" s="102"/>
      <c r="G54" s="6"/>
      <c r="H54" s="328">
        <f>IF(H55&gt;0,H55,'1. AgeData'!$E$38)</f>
        <v>0.02</v>
      </c>
      <c r="I54" s="3" t="s">
        <v>195</v>
      </c>
      <c r="J54" s="6"/>
      <c r="K54" s="6"/>
      <c r="L54" s="6"/>
      <c r="M54" s="2357"/>
    </row>
    <row r="55" spans="1:13" x14ac:dyDescent="0.25">
      <c r="A55" s="1345" t="s">
        <v>3302</v>
      </c>
      <c r="B55" s="293"/>
      <c r="C55" s="102"/>
      <c r="D55" s="102"/>
      <c r="E55" s="102"/>
      <c r="G55" s="6"/>
      <c r="H55" s="697">
        <v>0</v>
      </c>
      <c r="I55" s="3" t="s">
        <v>935</v>
      </c>
      <c r="J55" s="6"/>
      <c r="K55" s="6"/>
      <c r="L55" s="6"/>
      <c r="M55" s="2357"/>
    </row>
    <row r="56" spans="1:13" x14ac:dyDescent="0.25">
      <c r="A56" s="473"/>
      <c r="B56" s="293"/>
      <c r="C56" s="102"/>
      <c r="D56" s="102"/>
      <c r="E56" s="102"/>
      <c r="G56" s="6"/>
      <c r="H56" s="25"/>
      <c r="I56" s="293"/>
      <c r="J56" s="6"/>
      <c r="K56" s="6"/>
      <c r="L56" s="6"/>
      <c r="M56" s="2357"/>
    </row>
    <row r="57" spans="1:13" x14ac:dyDescent="0.25">
      <c r="A57" s="84" t="s">
        <v>316</v>
      </c>
      <c r="B57" s="64"/>
      <c r="C57" s="102"/>
      <c r="D57" s="102"/>
      <c r="E57" s="102"/>
      <c r="G57" s="6"/>
      <c r="H57" s="328">
        <f>IF(H58&gt;0,H58,'1. AgeData'!$E$38)</f>
        <v>0.02</v>
      </c>
      <c r="I57" s="3" t="s">
        <v>195</v>
      </c>
      <c r="J57" s="6"/>
      <c r="K57" s="6"/>
      <c r="L57" s="6"/>
      <c r="M57" s="2357"/>
    </row>
    <row r="58" spans="1:13" x14ac:dyDescent="0.25">
      <c r="A58" s="84" t="s">
        <v>3302</v>
      </c>
      <c r="B58" s="64"/>
      <c r="C58" s="102"/>
      <c r="D58" s="102"/>
      <c r="E58" s="102"/>
      <c r="G58" s="6"/>
      <c r="H58" s="697">
        <v>0</v>
      </c>
      <c r="I58" s="3" t="s">
        <v>935</v>
      </c>
      <c r="J58" s="6"/>
      <c r="K58" s="6"/>
      <c r="L58" s="6"/>
      <c r="M58" s="2357"/>
    </row>
    <row r="59" spans="1:13" x14ac:dyDescent="0.25">
      <c r="A59" s="1345"/>
      <c r="B59" s="64"/>
      <c r="C59" s="102"/>
      <c r="D59" s="102"/>
      <c r="E59" s="102"/>
      <c r="G59" s="6"/>
      <c r="H59" s="697"/>
      <c r="I59" s="3"/>
      <c r="J59" s="6"/>
      <c r="K59" s="6"/>
      <c r="L59" s="6"/>
      <c r="M59" s="2357"/>
    </row>
    <row r="60" spans="1:13" x14ac:dyDescent="0.25">
      <c r="A60" s="3658" t="s">
        <v>1374</v>
      </c>
      <c r="B60" s="3659"/>
      <c r="C60" s="3660"/>
      <c r="D60" s="3661"/>
      <c r="E60" s="3661"/>
      <c r="F60" s="3662"/>
      <c r="G60" s="3663"/>
      <c r="H60" s="3661"/>
      <c r="I60" s="3661"/>
      <c r="J60" s="3661"/>
      <c r="K60" s="3661"/>
      <c r="L60" s="3661"/>
      <c r="M60" s="2357"/>
    </row>
    <row r="61" spans="1:13" x14ac:dyDescent="0.25">
      <c r="A61" s="791" t="s">
        <v>543</v>
      </c>
      <c r="B61" s="792"/>
      <c r="C61" s="498"/>
      <c r="D61" s="480"/>
      <c r="E61" s="480"/>
      <c r="F61" s="480"/>
      <c r="G61" s="2258">
        <v>0</v>
      </c>
      <c r="H61" s="2261" t="s">
        <v>139</v>
      </c>
      <c r="I61" s="2263"/>
      <c r="J61" s="2263"/>
      <c r="K61" s="2263"/>
      <c r="L61" s="3056">
        <v>0</v>
      </c>
      <c r="M61" s="2357"/>
    </row>
    <row r="62" spans="1:13" x14ac:dyDescent="0.25">
      <c r="A62" s="791" t="s">
        <v>544</v>
      </c>
      <c r="B62" s="792"/>
      <c r="C62" s="498"/>
      <c r="D62" s="499"/>
      <c r="E62" s="480"/>
      <c r="F62" s="480"/>
      <c r="G62" s="2258">
        <v>0</v>
      </c>
      <c r="H62" s="2261" t="s">
        <v>139</v>
      </c>
      <c r="I62" s="2264" t="s">
        <v>655</v>
      </c>
      <c r="J62" s="2263"/>
      <c r="K62" s="2263"/>
      <c r="L62" s="2263"/>
      <c r="M62" s="3058"/>
    </row>
    <row r="63" spans="1:13" x14ac:dyDescent="0.25">
      <c r="A63" s="587" t="s">
        <v>709</v>
      </c>
      <c r="B63" s="483"/>
      <c r="C63" s="498"/>
      <c r="D63" s="499"/>
      <c r="E63" s="480"/>
      <c r="F63" s="480"/>
      <c r="G63" s="2258"/>
      <c r="H63" s="2261"/>
      <c r="I63" s="2265" t="s">
        <v>649</v>
      </c>
      <c r="J63" s="2263"/>
      <c r="K63" s="2263"/>
      <c r="L63" s="2263"/>
      <c r="M63" s="3058"/>
    </row>
    <row r="64" spans="1:13" x14ac:dyDescent="0.25">
      <c r="A64" s="497"/>
      <c r="B64" s="483"/>
      <c r="C64" s="498"/>
      <c r="D64" s="499"/>
      <c r="E64" s="480"/>
      <c r="F64" s="480"/>
      <c r="G64" s="2260"/>
      <c r="H64" s="2261"/>
      <c r="I64" s="2261"/>
      <c r="J64" s="2263"/>
      <c r="K64" s="2263"/>
      <c r="L64" s="2263"/>
      <c r="M64" s="3058"/>
    </row>
    <row r="65" spans="1:13" x14ac:dyDescent="0.25">
      <c r="A65" s="355"/>
      <c r="B65" s="377"/>
      <c r="C65" s="176"/>
      <c r="D65" s="196"/>
      <c r="E65" s="6"/>
      <c r="F65" s="6"/>
      <c r="G65" s="2266"/>
      <c r="H65" s="1727"/>
      <c r="I65" s="1727"/>
      <c r="J65" s="1727"/>
      <c r="K65" s="1727"/>
      <c r="L65" s="1727"/>
      <c r="M65" s="3059"/>
    </row>
    <row r="66" spans="1:13" x14ac:dyDescent="0.25">
      <c r="A66" s="791" t="s">
        <v>547</v>
      </c>
      <c r="B66" s="483"/>
      <c r="C66" s="498"/>
      <c r="D66" s="498"/>
      <c r="E66" s="480"/>
      <c r="F66" s="480"/>
      <c r="G66" s="2258">
        <v>0</v>
      </c>
      <c r="H66" s="2261" t="s">
        <v>139</v>
      </c>
      <c r="I66" s="2262" t="s">
        <v>2310</v>
      </c>
      <c r="J66" s="2263"/>
      <c r="K66" s="2263"/>
      <c r="L66" s="3056">
        <v>0</v>
      </c>
      <c r="M66" s="2357"/>
    </row>
    <row r="67" spans="1:13" x14ac:dyDescent="0.25">
      <c r="A67" s="791" t="s">
        <v>648</v>
      </c>
      <c r="B67" s="483"/>
      <c r="C67" s="498"/>
      <c r="D67" s="498"/>
      <c r="E67" s="480"/>
      <c r="F67" s="480"/>
      <c r="G67" s="2258">
        <v>0</v>
      </c>
      <c r="H67" s="2261" t="s">
        <v>139</v>
      </c>
      <c r="I67" s="2267" t="s">
        <v>1316</v>
      </c>
      <c r="J67" s="2263"/>
      <c r="K67" s="2263"/>
      <c r="L67" s="2263"/>
      <c r="M67" s="3060"/>
    </row>
    <row r="68" spans="1:13" x14ac:dyDescent="0.25">
      <c r="A68" s="474"/>
      <c r="B68" s="377"/>
      <c r="C68" s="176"/>
      <c r="D68" s="176"/>
      <c r="E68" s="6"/>
      <c r="F68" s="6"/>
      <c r="G68" s="2268"/>
      <c r="H68" s="2269"/>
      <c r="I68" s="2270"/>
      <c r="J68" s="2271"/>
      <c r="K68" s="2271"/>
      <c r="L68" s="2271"/>
      <c r="M68" s="3060"/>
    </row>
    <row r="69" spans="1:13" x14ac:dyDescent="0.25">
      <c r="A69" s="477"/>
      <c r="B69" s="478" t="s">
        <v>382</v>
      </c>
      <c r="C69" s="478"/>
      <c r="D69" s="479"/>
      <c r="E69" s="480"/>
      <c r="F69" s="480"/>
      <c r="G69" s="2259"/>
      <c r="H69" s="2261"/>
      <c r="I69" s="2272"/>
      <c r="J69" s="2263"/>
      <c r="K69" s="2263"/>
      <c r="L69" s="2263"/>
      <c r="M69" s="3060"/>
    </row>
    <row r="70" spans="1:13" x14ac:dyDescent="0.25">
      <c r="A70" s="793" t="s">
        <v>651</v>
      </c>
      <c r="B70" s="794"/>
      <c r="C70" s="478"/>
      <c r="D70" s="479"/>
      <c r="E70" s="480"/>
      <c r="F70" s="480"/>
      <c r="G70" s="2258">
        <v>0</v>
      </c>
      <c r="H70" s="2261" t="s">
        <v>139</v>
      </c>
      <c r="I70" s="2272"/>
      <c r="J70" s="2263"/>
      <c r="K70" s="2263"/>
      <c r="L70" s="2263"/>
      <c r="M70" s="3060"/>
    </row>
    <row r="71" spans="1:13" x14ac:dyDescent="0.25">
      <c r="A71" s="793" t="s">
        <v>1317</v>
      </c>
      <c r="B71" s="794"/>
      <c r="C71" s="478"/>
      <c r="D71" s="479"/>
      <c r="E71" s="480"/>
      <c r="F71" s="480"/>
      <c r="G71" s="2258">
        <v>0</v>
      </c>
      <c r="H71" s="2261" t="s">
        <v>139</v>
      </c>
      <c r="I71" s="2272"/>
      <c r="J71" s="2263"/>
      <c r="K71" s="2263"/>
      <c r="L71" s="2263"/>
      <c r="M71" s="3060"/>
    </row>
    <row r="72" spans="1:13" x14ac:dyDescent="0.25">
      <c r="A72" s="793"/>
      <c r="B72" s="794"/>
      <c r="C72" s="478"/>
      <c r="D72" s="479"/>
      <c r="E72" s="480"/>
      <c r="F72" s="480"/>
      <c r="G72" s="2259"/>
      <c r="H72" s="2261"/>
      <c r="I72" s="2272"/>
      <c r="J72" s="2263"/>
      <c r="K72" s="2263"/>
      <c r="L72" s="2263"/>
      <c r="M72" s="3060"/>
    </row>
    <row r="73" spans="1:13" x14ac:dyDescent="0.25">
      <c r="A73" s="793" t="s">
        <v>652</v>
      </c>
      <c r="B73" s="794"/>
      <c r="C73" s="478"/>
      <c r="D73" s="479"/>
      <c r="E73" s="480"/>
      <c r="F73" s="480"/>
      <c r="G73" s="2260">
        <v>0</v>
      </c>
      <c r="H73" s="2261" t="s">
        <v>139</v>
      </c>
      <c r="I73" s="2272"/>
      <c r="J73" s="2263"/>
      <c r="K73" s="2263"/>
      <c r="L73" s="2263"/>
      <c r="M73" s="3060"/>
    </row>
    <row r="74" spans="1:13" x14ac:dyDescent="0.25">
      <c r="A74" s="793" t="s">
        <v>1318</v>
      </c>
      <c r="B74" s="794"/>
      <c r="C74" s="478"/>
      <c r="D74" s="479"/>
      <c r="E74" s="480"/>
      <c r="F74" s="480"/>
      <c r="G74" s="2260">
        <v>0</v>
      </c>
      <c r="H74" s="2261" t="s">
        <v>139</v>
      </c>
      <c r="I74" s="2272"/>
      <c r="J74" s="2263"/>
      <c r="K74" s="2263"/>
      <c r="L74" s="2263"/>
      <c r="M74" s="3060"/>
    </row>
    <row r="75" spans="1:13" x14ac:dyDescent="0.25">
      <c r="A75" s="793"/>
      <c r="B75" s="794"/>
      <c r="C75" s="478"/>
      <c r="D75" s="479"/>
      <c r="E75" s="480"/>
      <c r="F75" s="480"/>
      <c r="G75" s="481"/>
      <c r="H75" s="482"/>
      <c r="I75" s="483"/>
      <c r="J75" s="484"/>
      <c r="K75" s="484"/>
      <c r="L75" s="484"/>
      <c r="M75" s="3061"/>
    </row>
    <row r="76" spans="1:13" x14ac:dyDescent="0.25">
      <c r="A76" s="793" t="s">
        <v>653</v>
      </c>
      <c r="B76" s="794"/>
      <c r="C76" s="478"/>
      <c r="D76" s="479"/>
      <c r="E76" s="480"/>
      <c r="F76" s="480"/>
      <c r="G76" s="485">
        <f>IF(G73=0,0,G70/G73)</f>
        <v>0</v>
      </c>
      <c r="H76" s="482"/>
      <c r="I76" s="483"/>
      <c r="J76" s="484"/>
      <c r="K76" s="484"/>
      <c r="L76" s="484"/>
      <c r="M76" s="3061"/>
    </row>
    <row r="77" spans="1:13" x14ac:dyDescent="0.25">
      <c r="A77" s="793" t="s">
        <v>654</v>
      </c>
      <c r="B77" s="794"/>
      <c r="C77" s="478"/>
      <c r="D77" s="479"/>
      <c r="E77" s="480"/>
      <c r="F77" s="480"/>
      <c r="G77" s="485">
        <f>IF(G74=0,0,G71/G74)</f>
        <v>0</v>
      </c>
      <c r="H77" s="482"/>
      <c r="I77" s="483"/>
      <c r="J77" s="484"/>
      <c r="K77" s="484"/>
      <c r="L77" s="484"/>
      <c r="M77" s="3061"/>
    </row>
    <row r="78" spans="1:13" x14ac:dyDescent="0.25">
      <c r="A78" s="477"/>
      <c r="B78" s="486" t="s">
        <v>658</v>
      </c>
      <c r="C78" s="486"/>
      <c r="D78" s="487"/>
      <c r="E78" s="488"/>
      <c r="F78" s="488"/>
      <c r="G78" s="489"/>
      <c r="H78" s="482"/>
      <c r="I78" s="483"/>
      <c r="J78" s="484"/>
      <c r="K78" s="484"/>
      <c r="L78" s="484"/>
      <c r="M78" s="3061"/>
    </row>
    <row r="79" spans="1:13" x14ac:dyDescent="0.25">
      <c r="A79" s="477"/>
      <c r="B79" s="486" t="s">
        <v>659</v>
      </c>
      <c r="C79" s="486"/>
      <c r="D79" s="487"/>
      <c r="E79" s="480"/>
      <c r="F79" s="480"/>
      <c r="G79" s="480"/>
      <c r="H79" s="482"/>
      <c r="I79" s="483"/>
      <c r="J79" s="484"/>
      <c r="K79" s="484"/>
      <c r="L79" s="484"/>
      <c r="M79" s="3061"/>
    </row>
    <row r="80" spans="1:13" x14ac:dyDescent="0.25">
      <c r="A80" s="477"/>
      <c r="B80" s="486" t="s">
        <v>660</v>
      </c>
      <c r="C80" s="486"/>
      <c r="D80" s="487"/>
      <c r="E80" s="480"/>
      <c r="F80" s="480"/>
      <c r="G80" s="480"/>
      <c r="H80" s="480"/>
      <c r="I80" s="480"/>
      <c r="J80" s="480"/>
      <c r="K80" s="480"/>
      <c r="L80" s="480"/>
      <c r="M80" s="2357"/>
    </row>
    <row r="81" spans="1:17" x14ac:dyDescent="0.25">
      <c r="A81" s="477"/>
      <c r="B81" s="486" t="s">
        <v>661</v>
      </c>
      <c r="C81" s="486"/>
      <c r="D81" s="487"/>
      <c r="E81" s="480"/>
      <c r="F81" s="480"/>
      <c r="G81" s="480"/>
      <c r="H81" s="480"/>
      <c r="I81" s="480"/>
      <c r="J81" s="480"/>
      <c r="K81" s="480"/>
      <c r="L81" s="480"/>
      <c r="M81" s="2357"/>
    </row>
    <row r="82" spans="1:17" x14ac:dyDescent="0.25">
      <c r="A82" s="582"/>
      <c r="B82" s="583" t="s">
        <v>656</v>
      </c>
      <c r="C82" s="586" t="s">
        <v>708</v>
      </c>
      <c r="D82" s="487"/>
      <c r="E82" s="480"/>
      <c r="F82" s="480"/>
      <c r="G82" s="480"/>
      <c r="H82" s="480"/>
      <c r="I82" s="480"/>
      <c r="J82" s="480"/>
      <c r="K82" s="480"/>
      <c r="L82" s="480"/>
      <c r="M82" s="2357"/>
    </row>
    <row r="83" spans="1:17" ht="15.75" thickBot="1" x14ac:dyDescent="0.3">
      <c r="A83" s="584"/>
      <c r="B83" s="581" t="s">
        <v>656</v>
      </c>
      <c r="C83" s="585" t="s">
        <v>657</v>
      </c>
      <c r="D83" s="494"/>
      <c r="E83" s="492"/>
      <c r="F83" s="492"/>
      <c r="G83" s="493"/>
      <c r="H83" s="495"/>
      <c r="I83" s="495"/>
      <c r="J83" s="495"/>
      <c r="K83" s="495"/>
      <c r="L83" s="3057"/>
      <c r="M83" s="2357"/>
    </row>
    <row r="84" spans="1:17" ht="15.75" thickTop="1" x14ac:dyDescent="0.25">
      <c r="A84" s="1173"/>
      <c r="B84" s="1174"/>
      <c r="C84" s="1175"/>
      <c r="D84" s="972"/>
      <c r="E84" s="973"/>
      <c r="F84" s="973"/>
      <c r="G84" s="1176"/>
      <c r="H84" s="33"/>
      <c r="I84" s="33"/>
      <c r="J84" s="33"/>
      <c r="K84" s="33"/>
      <c r="L84" s="33"/>
      <c r="M84" s="33"/>
    </row>
    <row r="85" spans="1:17" ht="15.75" thickBot="1" x14ac:dyDescent="0.3">
      <c r="A85" s="1173"/>
      <c r="B85" s="1174"/>
      <c r="C85" s="1175"/>
      <c r="D85" s="972"/>
      <c r="E85" s="973"/>
      <c r="F85" s="973"/>
      <c r="G85" s="1176"/>
      <c r="H85" s="33"/>
      <c r="I85" s="33"/>
      <c r="J85" s="33"/>
      <c r="K85" s="33"/>
      <c r="L85" s="33"/>
      <c r="M85" s="33"/>
    </row>
    <row r="86" spans="1:17" ht="19.5" thickBot="1" x14ac:dyDescent="0.35">
      <c r="A86" s="1571" t="s">
        <v>1263</v>
      </c>
      <c r="B86" s="1572"/>
      <c r="C86" s="1573"/>
      <c r="D86" s="1573"/>
      <c r="E86" s="1572"/>
      <c r="F86" s="1572"/>
      <c r="G86" s="1572"/>
      <c r="H86" s="1572"/>
      <c r="I86" s="1572"/>
      <c r="J86" s="1572"/>
      <c r="K86" s="1575"/>
      <c r="L86" s="1576"/>
    </row>
    <row r="87" spans="1:17" ht="15.75" thickBot="1" x14ac:dyDescent="0.3"/>
    <row r="88" spans="1:17" s="386" customFormat="1" ht="19.5" thickTop="1" x14ac:dyDescent="0.3">
      <c r="A88" s="265" t="s">
        <v>3707</v>
      </c>
      <c r="B88" s="384"/>
      <c r="C88" s="384"/>
      <c r="D88" s="384"/>
      <c r="E88" s="384"/>
      <c r="F88" s="385"/>
      <c r="G88" s="384"/>
      <c r="H88" s="384"/>
      <c r="I88" s="384"/>
      <c r="J88" s="384"/>
      <c r="K88" s="384"/>
      <c r="L88" s="385"/>
    </row>
    <row r="89" spans="1:17" s="376" customFormat="1" ht="78" thickBot="1" x14ac:dyDescent="0.3">
      <c r="A89" s="897" t="s">
        <v>142</v>
      </c>
      <c r="B89" s="898" t="s">
        <v>143</v>
      </c>
      <c r="C89" s="1187" t="s">
        <v>771</v>
      </c>
      <c r="D89" s="1187" t="s">
        <v>772</v>
      </c>
      <c r="E89" s="1181" t="s">
        <v>770</v>
      </c>
      <c r="F89" s="1181" t="s">
        <v>769</v>
      </c>
      <c r="G89" s="899" t="str">
        <f>"S1 "&amp;IF(($F$39="yes"),"shared","sole")&amp;" pension income"</f>
        <v>S1 shared pension income</v>
      </c>
      <c r="H89" s="899" t="str">
        <f>"S2 "&amp;IF(($F$39="yes"),"shared","sole")&amp;" pension income"</f>
        <v>S2 shared pension income</v>
      </c>
      <c r="I89" s="900" t="str">
        <f>"S1 "&amp;IF(('4. PensionData'!$F$39="yes"),"shared","sole")&amp;" pension Fed-tax credit"</f>
        <v>S1 shared pension Fed-tax credit</v>
      </c>
      <c r="J89" s="900" t="str">
        <f>"S2 "&amp;IF(('4. PensionData'!$F$39="yes"),"shared","sole")&amp;" pension Fed-tax credit"</f>
        <v>S2 shared pension Fed-tax credit</v>
      </c>
      <c r="K89" s="899" t="str">
        <f>"Taxable S1 "&amp;IF(($F$39="yes"),"shared","sole")&amp;" pension income"</f>
        <v>Taxable S1 shared pension income</v>
      </c>
      <c r="L89" s="901" t="str">
        <f>"Taxable S2 "&amp;IF(($F$39="yes"),"shared","sole")&amp;" pension income"</f>
        <v>Taxable S2 shared pension income</v>
      </c>
      <c r="Q89"/>
    </row>
    <row r="90" spans="1:17" ht="15.75" thickTop="1" x14ac:dyDescent="0.25">
      <c r="A90" s="850">
        <f>'1. AgeData'!$D30</f>
        <v>60</v>
      </c>
      <c r="B90" s="883">
        <f>'1. AgeData'!$D31</f>
        <v>55</v>
      </c>
      <c r="C90" s="869">
        <f t="shared" ref="C90:C126" si="0">IF(OR(A90&lt;$F$44,A90&gt;=$F$47),0, $F$33*POWER((1+$H$54), (A90-A$90)))</f>
        <v>0</v>
      </c>
      <c r="D90" s="1583">
        <f t="shared" ref="D90:D126" si="1">IF(OR(B90&lt;$F$49,B90&gt;=$F$52),0, $F$34*POWER((1+$H$54), (B90-B$90)))</f>
        <v>11000</v>
      </c>
      <c r="E90" s="1818">
        <f t="shared" ref="E90:E126" si="2">IF(AND(B90&gt;$F$52,A90&lt;$F$47),($F$51*$F$34*POWER((1+$H$57), (A90-A$90))),0)</f>
        <v>0</v>
      </c>
      <c r="F90" s="1819">
        <f t="shared" ref="F90:F126" si="3">IF(AND(A91&gt;$F$47,B91&lt;$F$52),  ($F$46*$F$33*POWER((1+$H$54), (A90-A$90))), 0)</f>
        <v>0</v>
      </c>
      <c r="G90" s="1820">
        <f t="shared" ref="G90:G126" si="4">IF(AND($F$39="yes",A90&lt;$F$47,B90&lt;$F$52), IF(A90&lt;$F$47, (C90+E90+D90+F90)/2,0), IF(A90&lt;$F$47,C90+E90,0))</f>
        <v>5500</v>
      </c>
      <c r="H90" s="1820">
        <f t="shared" ref="H90:H126" si="5">IF(AND($F$39="yes",A90&lt;$F$47,B90&lt;$F$52), IF(B90&lt;$F$52, (C90+E90+D90+F90)/2,0), IF(B90&lt;$F$52,D90+F90,0))</f>
        <v>5500</v>
      </c>
      <c r="I90" s="869">
        <f t="shared" ref="I90:I126" si="6">IF(G90=0,0,IF($F$39="yes",($G$61+$G$62)/2,$G$61))</f>
        <v>0</v>
      </c>
      <c r="J90" s="837">
        <f t="shared" ref="J90:J126" si="7">IF(H90=0,0,IF($F$39="yes",($G$61+$G$62)/2,$G$62))</f>
        <v>0</v>
      </c>
      <c r="K90" s="869">
        <f>G90-I90</f>
        <v>5500</v>
      </c>
      <c r="L90" s="842">
        <f>H90-J90</f>
        <v>5500</v>
      </c>
      <c r="N90" s="1183"/>
    </row>
    <row r="91" spans="1:17" x14ac:dyDescent="0.25">
      <c r="A91" s="850">
        <f>A90+1</f>
        <v>61</v>
      </c>
      <c r="B91" s="851">
        <f>B90+1</f>
        <v>56</v>
      </c>
      <c r="C91" s="869">
        <f t="shared" si="0"/>
        <v>0</v>
      </c>
      <c r="D91" s="868">
        <f t="shared" si="1"/>
        <v>11220</v>
      </c>
      <c r="E91" s="1821">
        <f t="shared" si="2"/>
        <v>0</v>
      </c>
      <c r="F91" s="1163">
        <f t="shared" si="3"/>
        <v>0</v>
      </c>
      <c r="G91" s="1820">
        <f t="shared" si="4"/>
        <v>5610</v>
      </c>
      <c r="H91" s="1820">
        <f t="shared" si="5"/>
        <v>5610</v>
      </c>
      <c r="I91" s="869">
        <f t="shared" si="6"/>
        <v>0</v>
      </c>
      <c r="J91" s="837">
        <f t="shared" si="7"/>
        <v>0</v>
      </c>
      <c r="K91" s="869">
        <f t="shared" ref="K91:K126" si="8">G91-I91</f>
        <v>5610</v>
      </c>
      <c r="L91" s="842">
        <f t="shared" ref="L91:L126" si="9">H91-J91</f>
        <v>5610</v>
      </c>
      <c r="N91" s="1183"/>
      <c r="O91" s="1179"/>
      <c r="Q91" s="1178"/>
    </row>
    <row r="92" spans="1:17" x14ac:dyDescent="0.25">
      <c r="A92" s="850">
        <f t="shared" ref="A92:A122" si="10">A91+1</f>
        <v>62</v>
      </c>
      <c r="B92" s="851">
        <f t="shared" ref="B92:B122" si="11">B91+1</f>
        <v>57</v>
      </c>
      <c r="C92" s="869">
        <f t="shared" si="0"/>
        <v>0</v>
      </c>
      <c r="D92" s="868">
        <f t="shared" si="1"/>
        <v>11444.4</v>
      </c>
      <c r="E92" s="1821">
        <f t="shared" si="2"/>
        <v>0</v>
      </c>
      <c r="F92" s="1163">
        <f t="shared" si="3"/>
        <v>0</v>
      </c>
      <c r="G92" s="1820">
        <f t="shared" si="4"/>
        <v>5722.2</v>
      </c>
      <c r="H92" s="1820">
        <f t="shared" si="5"/>
        <v>5722.2</v>
      </c>
      <c r="I92" s="869">
        <f t="shared" si="6"/>
        <v>0</v>
      </c>
      <c r="J92" s="837">
        <f t="shared" si="7"/>
        <v>0</v>
      </c>
      <c r="K92" s="869">
        <f t="shared" si="8"/>
        <v>5722.2</v>
      </c>
      <c r="L92" s="842">
        <f t="shared" si="9"/>
        <v>5722.2</v>
      </c>
      <c r="N92" s="1183"/>
      <c r="O92" s="1179"/>
      <c r="Q92" s="1178"/>
    </row>
    <row r="93" spans="1:17" x14ac:dyDescent="0.25">
      <c r="A93" s="873">
        <f t="shared" si="10"/>
        <v>63</v>
      </c>
      <c r="B93" s="874">
        <f t="shared" si="11"/>
        <v>58</v>
      </c>
      <c r="C93" s="869">
        <f t="shared" si="0"/>
        <v>0</v>
      </c>
      <c r="D93" s="868">
        <f t="shared" si="1"/>
        <v>11673.287999999999</v>
      </c>
      <c r="E93" s="1821">
        <f t="shared" si="2"/>
        <v>0</v>
      </c>
      <c r="F93" s="1163">
        <f t="shared" si="3"/>
        <v>0</v>
      </c>
      <c r="G93" s="1820">
        <f t="shared" si="4"/>
        <v>5836.6439999999993</v>
      </c>
      <c r="H93" s="1820">
        <f t="shared" si="5"/>
        <v>5836.6439999999993</v>
      </c>
      <c r="I93" s="869">
        <f t="shared" si="6"/>
        <v>0</v>
      </c>
      <c r="J93" s="837">
        <f t="shared" si="7"/>
        <v>0</v>
      </c>
      <c r="K93" s="869">
        <f t="shared" si="8"/>
        <v>5836.6439999999993</v>
      </c>
      <c r="L93" s="842">
        <f t="shared" si="9"/>
        <v>5836.6439999999993</v>
      </c>
      <c r="N93" s="1183"/>
      <c r="O93" s="1153"/>
    </row>
    <row r="94" spans="1:17" x14ac:dyDescent="0.25">
      <c r="A94" s="873">
        <f t="shared" si="10"/>
        <v>64</v>
      </c>
      <c r="B94" s="874">
        <f t="shared" si="11"/>
        <v>59</v>
      </c>
      <c r="C94" s="869">
        <f t="shared" si="0"/>
        <v>0</v>
      </c>
      <c r="D94" s="868">
        <f t="shared" si="1"/>
        <v>11906.75376</v>
      </c>
      <c r="E94" s="1821">
        <f t="shared" si="2"/>
        <v>0</v>
      </c>
      <c r="F94" s="1163">
        <f t="shared" si="3"/>
        <v>0</v>
      </c>
      <c r="G94" s="1820">
        <f t="shared" si="4"/>
        <v>5953.3768799999998</v>
      </c>
      <c r="H94" s="1820">
        <f t="shared" si="5"/>
        <v>5953.3768799999998</v>
      </c>
      <c r="I94" s="869">
        <f t="shared" si="6"/>
        <v>0</v>
      </c>
      <c r="J94" s="837">
        <f t="shared" si="7"/>
        <v>0</v>
      </c>
      <c r="K94" s="869">
        <f t="shared" si="8"/>
        <v>5953.3768799999998</v>
      </c>
      <c r="L94" s="842">
        <f t="shared" si="9"/>
        <v>5953.3768799999998</v>
      </c>
    </row>
    <row r="95" spans="1:17" x14ac:dyDescent="0.25">
      <c r="A95" s="873">
        <f t="shared" si="10"/>
        <v>65</v>
      </c>
      <c r="B95" s="874">
        <f t="shared" si="11"/>
        <v>60</v>
      </c>
      <c r="C95" s="869">
        <f t="shared" si="0"/>
        <v>0</v>
      </c>
      <c r="D95" s="868">
        <f t="shared" si="1"/>
        <v>12144.888835199999</v>
      </c>
      <c r="E95" s="1821">
        <f t="shared" si="2"/>
        <v>0</v>
      </c>
      <c r="F95" s="1163">
        <f t="shared" si="3"/>
        <v>0</v>
      </c>
      <c r="G95" s="1820">
        <f t="shared" si="4"/>
        <v>6072.4444175999997</v>
      </c>
      <c r="H95" s="1820">
        <f t="shared" si="5"/>
        <v>6072.4444175999997</v>
      </c>
      <c r="I95" s="869">
        <f t="shared" si="6"/>
        <v>0</v>
      </c>
      <c r="J95" s="837">
        <f t="shared" si="7"/>
        <v>0</v>
      </c>
      <c r="K95" s="869">
        <f t="shared" si="8"/>
        <v>6072.4444175999997</v>
      </c>
      <c r="L95" s="842">
        <f t="shared" si="9"/>
        <v>6072.4444175999997</v>
      </c>
    </row>
    <row r="96" spans="1:17" x14ac:dyDescent="0.25">
      <c r="A96" s="850">
        <f t="shared" si="10"/>
        <v>66</v>
      </c>
      <c r="B96" s="851">
        <f t="shared" si="11"/>
        <v>61</v>
      </c>
      <c r="C96" s="869">
        <f t="shared" si="0"/>
        <v>25901.735643072003</v>
      </c>
      <c r="D96" s="868">
        <f t="shared" si="1"/>
        <v>12387.786611904001</v>
      </c>
      <c r="E96" s="1821">
        <f t="shared" si="2"/>
        <v>0</v>
      </c>
      <c r="F96" s="1163">
        <f t="shared" si="3"/>
        <v>0</v>
      </c>
      <c r="G96" s="1820">
        <f t="shared" si="4"/>
        <v>19144.761127488004</v>
      </c>
      <c r="H96" s="1820">
        <f t="shared" si="5"/>
        <v>19144.761127488004</v>
      </c>
      <c r="I96" s="869">
        <f t="shared" si="6"/>
        <v>0</v>
      </c>
      <c r="J96" s="837">
        <f t="shared" si="7"/>
        <v>0</v>
      </c>
      <c r="K96" s="869">
        <f t="shared" si="8"/>
        <v>19144.761127488004</v>
      </c>
      <c r="L96" s="842">
        <f t="shared" si="9"/>
        <v>19144.761127488004</v>
      </c>
    </row>
    <row r="97" spans="1:14" x14ac:dyDescent="0.25">
      <c r="A97" s="850">
        <f t="shared" si="10"/>
        <v>67</v>
      </c>
      <c r="B97" s="851">
        <f t="shared" si="11"/>
        <v>62</v>
      </c>
      <c r="C97" s="869">
        <f t="shared" si="0"/>
        <v>26419.770355933437</v>
      </c>
      <c r="D97" s="868">
        <f t="shared" si="1"/>
        <v>12635.542344142077</v>
      </c>
      <c r="E97" s="1821">
        <f t="shared" si="2"/>
        <v>0</v>
      </c>
      <c r="F97" s="1163">
        <f t="shared" si="3"/>
        <v>0</v>
      </c>
      <c r="G97" s="1820">
        <f t="shared" si="4"/>
        <v>19527.656350037756</v>
      </c>
      <c r="H97" s="1820">
        <f t="shared" si="5"/>
        <v>19527.656350037756</v>
      </c>
      <c r="I97" s="869">
        <f t="shared" si="6"/>
        <v>0</v>
      </c>
      <c r="J97" s="837">
        <f t="shared" si="7"/>
        <v>0</v>
      </c>
      <c r="K97" s="869">
        <f t="shared" si="8"/>
        <v>19527.656350037756</v>
      </c>
      <c r="L97" s="842">
        <f t="shared" si="9"/>
        <v>19527.656350037756</v>
      </c>
    </row>
    <row r="98" spans="1:14" x14ac:dyDescent="0.25">
      <c r="A98" s="850">
        <f t="shared" si="10"/>
        <v>68</v>
      </c>
      <c r="B98" s="851">
        <f t="shared" si="11"/>
        <v>63</v>
      </c>
      <c r="C98" s="869">
        <f t="shared" si="0"/>
        <v>26948.165763052108</v>
      </c>
      <c r="D98" s="868">
        <f t="shared" si="1"/>
        <v>12888.25319102492</v>
      </c>
      <c r="E98" s="1821">
        <f t="shared" si="2"/>
        <v>0</v>
      </c>
      <c r="F98" s="1163">
        <f t="shared" si="3"/>
        <v>0</v>
      </c>
      <c r="G98" s="1820">
        <f t="shared" si="4"/>
        <v>19918.209477038516</v>
      </c>
      <c r="H98" s="1820">
        <f t="shared" si="5"/>
        <v>19918.209477038516</v>
      </c>
      <c r="I98" s="869">
        <f t="shared" si="6"/>
        <v>0</v>
      </c>
      <c r="J98" s="837">
        <f t="shared" si="7"/>
        <v>0</v>
      </c>
      <c r="K98" s="869">
        <f t="shared" si="8"/>
        <v>19918.209477038516</v>
      </c>
      <c r="L98" s="842">
        <f t="shared" si="9"/>
        <v>19918.209477038516</v>
      </c>
    </row>
    <row r="99" spans="1:14" x14ac:dyDescent="0.25">
      <c r="A99" s="850">
        <f t="shared" si="10"/>
        <v>69</v>
      </c>
      <c r="B99" s="851">
        <f t="shared" si="11"/>
        <v>64</v>
      </c>
      <c r="C99" s="869">
        <f t="shared" si="0"/>
        <v>27487.129078313148</v>
      </c>
      <c r="D99" s="868">
        <f t="shared" si="1"/>
        <v>13146.01825484542</v>
      </c>
      <c r="E99" s="1821">
        <f t="shared" si="2"/>
        <v>0</v>
      </c>
      <c r="F99" s="1163">
        <f t="shared" si="3"/>
        <v>0</v>
      </c>
      <c r="G99" s="1820">
        <f t="shared" si="4"/>
        <v>20316.573666579283</v>
      </c>
      <c r="H99" s="1820">
        <f t="shared" si="5"/>
        <v>20316.573666579283</v>
      </c>
      <c r="I99" s="869">
        <f t="shared" si="6"/>
        <v>0</v>
      </c>
      <c r="J99" s="837">
        <f t="shared" si="7"/>
        <v>0</v>
      </c>
      <c r="K99" s="869">
        <f t="shared" si="8"/>
        <v>20316.573666579283</v>
      </c>
      <c r="L99" s="842">
        <f t="shared" si="9"/>
        <v>20316.573666579283</v>
      </c>
      <c r="N99" s="1183"/>
    </row>
    <row r="100" spans="1:14" x14ac:dyDescent="0.25">
      <c r="A100" s="850">
        <f t="shared" si="10"/>
        <v>70</v>
      </c>
      <c r="B100" s="851">
        <f t="shared" si="11"/>
        <v>65</v>
      </c>
      <c r="C100" s="869">
        <f t="shared" si="0"/>
        <v>28036.871659879413</v>
      </c>
      <c r="D100" s="868">
        <f t="shared" si="1"/>
        <v>13408.938619942328</v>
      </c>
      <c r="E100" s="1821">
        <f t="shared" si="2"/>
        <v>0</v>
      </c>
      <c r="F100" s="1163">
        <f t="shared" si="3"/>
        <v>0</v>
      </c>
      <c r="G100" s="1820">
        <f t="shared" si="4"/>
        <v>20722.905139910872</v>
      </c>
      <c r="H100" s="1820">
        <f t="shared" si="5"/>
        <v>20722.905139910872</v>
      </c>
      <c r="I100" s="869">
        <f t="shared" si="6"/>
        <v>0</v>
      </c>
      <c r="J100" s="837">
        <f t="shared" si="7"/>
        <v>0</v>
      </c>
      <c r="K100" s="869">
        <f t="shared" si="8"/>
        <v>20722.905139910872</v>
      </c>
      <c r="L100" s="842">
        <f t="shared" si="9"/>
        <v>20722.905139910872</v>
      </c>
    </row>
    <row r="101" spans="1:14" x14ac:dyDescent="0.25">
      <c r="A101" s="850">
        <f t="shared" si="10"/>
        <v>71</v>
      </c>
      <c r="B101" s="851">
        <f t="shared" si="11"/>
        <v>66</v>
      </c>
      <c r="C101" s="869">
        <f t="shared" si="0"/>
        <v>28597.609093076997</v>
      </c>
      <c r="D101" s="868">
        <f t="shared" si="1"/>
        <v>13677.117392341172</v>
      </c>
      <c r="E101" s="1821">
        <f t="shared" si="2"/>
        <v>0</v>
      </c>
      <c r="F101" s="1163">
        <f t="shared" si="3"/>
        <v>0</v>
      </c>
      <c r="G101" s="1820">
        <f t="shared" si="4"/>
        <v>21137.363242709085</v>
      </c>
      <c r="H101" s="1820">
        <f t="shared" si="5"/>
        <v>21137.363242709085</v>
      </c>
      <c r="I101" s="869">
        <f t="shared" si="6"/>
        <v>0</v>
      </c>
      <c r="J101" s="837">
        <f t="shared" si="7"/>
        <v>0</v>
      </c>
      <c r="K101" s="869">
        <f t="shared" si="8"/>
        <v>21137.363242709085</v>
      </c>
      <c r="L101" s="842">
        <f t="shared" si="9"/>
        <v>21137.363242709085</v>
      </c>
    </row>
    <row r="102" spans="1:14" x14ac:dyDescent="0.25">
      <c r="A102" s="850">
        <f t="shared" si="10"/>
        <v>72</v>
      </c>
      <c r="B102" s="851">
        <f t="shared" si="11"/>
        <v>67</v>
      </c>
      <c r="C102" s="869">
        <f t="shared" si="0"/>
        <v>29169.56127493854</v>
      </c>
      <c r="D102" s="868">
        <f t="shared" si="1"/>
        <v>13950.659740187997</v>
      </c>
      <c r="E102" s="1821">
        <f t="shared" si="2"/>
        <v>0</v>
      </c>
      <c r="F102" s="1163">
        <f t="shared" si="3"/>
        <v>0</v>
      </c>
      <c r="G102" s="1820">
        <f t="shared" si="4"/>
        <v>21560.110507563269</v>
      </c>
      <c r="H102" s="1820">
        <f t="shared" si="5"/>
        <v>21560.110507563269</v>
      </c>
      <c r="I102" s="869">
        <f t="shared" si="6"/>
        <v>0</v>
      </c>
      <c r="J102" s="837">
        <f t="shared" si="7"/>
        <v>0</v>
      </c>
      <c r="K102" s="869">
        <f t="shared" si="8"/>
        <v>21560.110507563269</v>
      </c>
      <c r="L102" s="842">
        <f t="shared" si="9"/>
        <v>21560.110507563269</v>
      </c>
    </row>
    <row r="103" spans="1:14" x14ac:dyDescent="0.25">
      <c r="A103" s="850">
        <f t="shared" si="10"/>
        <v>73</v>
      </c>
      <c r="B103" s="851">
        <f t="shared" si="11"/>
        <v>68</v>
      </c>
      <c r="C103" s="869">
        <f t="shared" si="0"/>
        <v>29752.95250043731</v>
      </c>
      <c r="D103" s="868">
        <f t="shared" si="1"/>
        <v>14229.672934991757</v>
      </c>
      <c r="E103" s="1821">
        <f t="shared" si="2"/>
        <v>0</v>
      </c>
      <c r="F103" s="1163">
        <f t="shared" si="3"/>
        <v>0</v>
      </c>
      <c r="G103" s="1820">
        <f t="shared" si="4"/>
        <v>21991.312717714532</v>
      </c>
      <c r="H103" s="1820">
        <f t="shared" si="5"/>
        <v>21991.312717714532</v>
      </c>
      <c r="I103" s="869">
        <f t="shared" si="6"/>
        <v>0</v>
      </c>
      <c r="J103" s="837">
        <f t="shared" si="7"/>
        <v>0</v>
      </c>
      <c r="K103" s="869">
        <f t="shared" si="8"/>
        <v>21991.312717714532</v>
      </c>
      <c r="L103" s="842">
        <f t="shared" si="9"/>
        <v>21991.312717714532</v>
      </c>
    </row>
    <row r="104" spans="1:14" x14ac:dyDescent="0.25">
      <c r="A104" s="850">
        <f t="shared" si="10"/>
        <v>74</v>
      </c>
      <c r="B104" s="851">
        <f t="shared" si="11"/>
        <v>69</v>
      </c>
      <c r="C104" s="869">
        <f t="shared" si="0"/>
        <v>30348.011550446059</v>
      </c>
      <c r="D104" s="868">
        <f t="shared" si="1"/>
        <v>14514.266393691594</v>
      </c>
      <c r="E104" s="1821">
        <f t="shared" si="2"/>
        <v>0</v>
      </c>
      <c r="F104" s="1163">
        <f t="shared" si="3"/>
        <v>0</v>
      </c>
      <c r="G104" s="1820">
        <f t="shared" si="4"/>
        <v>22431.138972068828</v>
      </c>
      <c r="H104" s="1820">
        <f t="shared" si="5"/>
        <v>22431.138972068828</v>
      </c>
      <c r="I104" s="869">
        <f t="shared" si="6"/>
        <v>0</v>
      </c>
      <c r="J104" s="837">
        <f t="shared" si="7"/>
        <v>0</v>
      </c>
      <c r="K104" s="869">
        <f t="shared" si="8"/>
        <v>22431.138972068828</v>
      </c>
      <c r="L104" s="842">
        <f t="shared" si="9"/>
        <v>22431.138972068828</v>
      </c>
    </row>
    <row r="105" spans="1:14" x14ac:dyDescent="0.25">
      <c r="A105" s="873">
        <f t="shared" si="10"/>
        <v>75</v>
      </c>
      <c r="B105" s="874">
        <f t="shared" si="11"/>
        <v>70</v>
      </c>
      <c r="C105" s="869">
        <f t="shared" si="0"/>
        <v>30954.971781454973</v>
      </c>
      <c r="D105" s="868">
        <f t="shared" si="1"/>
        <v>14804.551721565422</v>
      </c>
      <c r="E105" s="1821">
        <f t="shared" si="2"/>
        <v>0</v>
      </c>
      <c r="F105" s="1163">
        <f t="shared" si="3"/>
        <v>0</v>
      </c>
      <c r="G105" s="1820">
        <f t="shared" si="4"/>
        <v>22879.761751510196</v>
      </c>
      <c r="H105" s="1820">
        <f t="shared" si="5"/>
        <v>22879.761751510196</v>
      </c>
      <c r="I105" s="869">
        <f t="shared" si="6"/>
        <v>0</v>
      </c>
      <c r="J105" s="837">
        <f t="shared" si="7"/>
        <v>0</v>
      </c>
      <c r="K105" s="869">
        <f t="shared" si="8"/>
        <v>22879.761751510196</v>
      </c>
      <c r="L105" s="842">
        <f t="shared" si="9"/>
        <v>22879.761751510196</v>
      </c>
    </row>
    <row r="106" spans="1:14" x14ac:dyDescent="0.25">
      <c r="A106" s="873">
        <f t="shared" si="10"/>
        <v>76</v>
      </c>
      <c r="B106" s="874">
        <f t="shared" si="11"/>
        <v>71</v>
      </c>
      <c r="C106" s="869">
        <f t="shared" si="0"/>
        <v>31574.071217084078</v>
      </c>
      <c r="D106" s="868">
        <f t="shared" si="1"/>
        <v>15100.642755996732</v>
      </c>
      <c r="E106" s="1821">
        <f t="shared" si="2"/>
        <v>0</v>
      </c>
      <c r="F106" s="1163">
        <f t="shared" si="3"/>
        <v>0</v>
      </c>
      <c r="G106" s="1820">
        <f t="shared" si="4"/>
        <v>23337.356986540406</v>
      </c>
      <c r="H106" s="1820">
        <f t="shared" si="5"/>
        <v>23337.356986540406</v>
      </c>
      <c r="I106" s="869">
        <f t="shared" si="6"/>
        <v>0</v>
      </c>
      <c r="J106" s="837">
        <f t="shared" si="7"/>
        <v>0</v>
      </c>
      <c r="K106" s="869">
        <f t="shared" si="8"/>
        <v>23337.356986540406</v>
      </c>
      <c r="L106" s="842">
        <f t="shared" si="9"/>
        <v>23337.356986540406</v>
      </c>
    </row>
    <row r="107" spans="1:14" x14ac:dyDescent="0.25">
      <c r="A107" s="873">
        <f t="shared" si="10"/>
        <v>77</v>
      </c>
      <c r="B107" s="874">
        <f t="shared" si="11"/>
        <v>72</v>
      </c>
      <c r="C107" s="869">
        <f t="shared" si="0"/>
        <v>32205.552641425762</v>
      </c>
      <c r="D107" s="868">
        <f t="shared" si="1"/>
        <v>15402.655611116668</v>
      </c>
      <c r="E107" s="1821">
        <f t="shared" si="2"/>
        <v>0</v>
      </c>
      <c r="F107" s="1163">
        <f t="shared" si="3"/>
        <v>0</v>
      </c>
      <c r="G107" s="1820">
        <f t="shared" si="4"/>
        <v>23804.104126271217</v>
      </c>
      <c r="H107" s="1820">
        <f t="shared" si="5"/>
        <v>23804.104126271217</v>
      </c>
      <c r="I107" s="869">
        <f t="shared" si="6"/>
        <v>0</v>
      </c>
      <c r="J107" s="837">
        <f t="shared" si="7"/>
        <v>0</v>
      </c>
      <c r="K107" s="869">
        <f t="shared" si="8"/>
        <v>23804.104126271217</v>
      </c>
      <c r="L107" s="842">
        <f t="shared" si="9"/>
        <v>23804.104126271217</v>
      </c>
    </row>
    <row r="108" spans="1:14" x14ac:dyDescent="0.25">
      <c r="A108" s="873">
        <f t="shared" si="10"/>
        <v>78</v>
      </c>
      <c r="B108" s="874">
        <f t="shared" si="11"/>
        <v>73</v>
      </c>
      <c r="C108" s="869">
        <f t="shared" si="0"/>
        <v>32849.663694254275</v>
      </c>
      <c r="D108" s="868">
        <f t="shared" si="1"/>
        <v>15710.708723338999</v>
      </c>
      <c r="E108" s="1821">
        <f t="shared" si="2"/>
        <v>0</v>
      </c>
      <c r="F108" s="1163">
        <f t="shared" si="3"/>
        <v>0</v>
      </c>
      <c r="G108" s="1820">
        <f t="shared" si="4"/>
        <v>24280.186208796636</v>
      </c>
      <c r="H108" s="1820">
        <f t="shared" si="5"/>
        <v>24280.186208796636</v>
      </c>
      <c r="I108" s="869">
        <f t="shared" si="6"/>
        <v>0</v>
      </c>
      <c r="J108" s="837">
        <f t="shared" si="7"/>
        <v>0</v>
      </c>
      <c r="K108" s="869">
        <f t="shared" si="8"/>
        <v>24280.186208796636</v>
      </c>
      <c r="L108" s="842">
        <f t="shared" si="9"/>
        <v>24280.186208796636</v>
      </c>
    </row>
    <row r="109" spans="1:14" x14ac:dyDescent="0.25">
      <c r="A109" s="873">
        <f t="shared" si="10"/>
        <v>79</v>
      </c>
      <c r="B109" s="874">
        <f t="shared" si="11"/>
        <v>74</v>
      </c>
      <c r="C109" s="869">
        <f t="shared" si="0"/>
        <v>33506.656968139359</v>
      </c>
      <c r="D109" s="868">
        <f t="shared" si="1"/>
        <v>16024.92289780578</v>
      </c>
      <c r="E109" s="1821">
        <f t="shared" si="2"/>
        <v>0</v>
      </c>
      <c r="F109" s="1163">
        <f t="shared" si="3"/>
        <v>0</v>
      </c>
      <c r="G109" s="1820">
        <f t="shared" si="4"/>
        <v>24765.78993297257</v>
      </c>
      <c r="H109" s="1820">
        <f t="shared" si="5"/>
        <v>24765.78993297257</v>
      </c>
      <c r="I109" s="869">
        <f t="shared" si="6"/>
        <v>0</v>
      </c>
      <c r="J109" s="837">
        <f t="shared" si="7"/>
        <v>0</v>
      </c>
      <c r="K109" s="869">
        <f t="shared" si="8"/>
        <v>24765.78993297257</v>
      </c>
      <c r="L109" s="842">
        <f t="shared" si="9"/>
        <v>24765.78993297257</v>
      </c>
    </row>
    <row r="110" spans="1:14" x14ac:dyDescent="0.25">
      <c r="A110" s="873">
        <f t="shared" si="10"/>
        <v>80</v>
      </c>
      <c r="B110" s="874">
        <f t="shared" si="11"/>
        <v>75</v>
      </c>
      <c r="C110" s="869">
        <f t="shared" si="0"/>
        <v>34176.790107502151</v>
      </c>
      <c r="D110" s="868">
        <f t="shared" si="1"/>
        <v>16345.421355761897</v>
      </c>
      <c r="E110" s="1821">
        <f t="shared" si="2"/>
        <v>0</v>
      </c>
      <c r="F110" s="1163">
        <f t="shared" si="3"/>
        <v>0</v>
      </c>
      <c r="G110" s="1820">
        <f t="shared" si="4"/>
        <v>25261.105731632022</v>
      </c>
      <c r="H110" s="1820">
        <f t="shared" si="5"/>
        <v>25261.105731632022</v>
      </c>
      <c r="I110" s="869">
        <f t="shared" si="6"/>
        <v>0</v>
      </c>
      <c r="J110" s="837">
        <f t="shared" si="7"/>
        <v>0</v>
      </c>
      <c r="K110" s="869">
        <f t="shared" si="8"/>
        <v>25261.105731632022</v>
      </c>
      <c r="L110" s="842">
        <f t="shared" si="9"/>
        <v>25261.105731632022</v>
      </c>
    </row>
    <row r="111" spans="1:14" x14ac:dyDescent="0.25">
      <c r="A111" s="873">
        <f t="shared" si="10"/>
        <v>81</v>
      </c>
      <c r="B111" s="874">
        <f t="shared" si="11"/>
        <v>76</v>
      </c>
      <c r="C111" s="869">
        <f t="shared" si="0"/>
        <v>34860.325909652187</v>
      </c>
      <c r="D111" s="868">
        <f t="shared" si="1"/>
        <v>16672.329782877132</v>
      </c>
      <c r="E111" s="1821">
        <f t="shared" si="2"/>
        <v>0</v>
      </c>
      <c r="F111" s="1163">
        <f t="shared" si="3"/>
        <v>0</v>
      </c>
      <c r="G111" s="1820">
        <f t="shared" si="4"/>
        <v>25766.327846264659</v>
      </c>
      <c r="H111" s="1820">
        <f t="shared" si="5"/>
        <v>25766.327846264659</v>
      </c>
      <c r="I111" s="869">
        <f t="shared" si="6"/>
        <v>0</v>
      </c>
      <c r="J111" s="837">
        <f t="shared" si="7"/>
        <v>0</v>
      </c>
      <c r="K111" s="869">
        <f t="shared" si="8"/>
        <v>25766.327846264659</v>
      </c>
      <c r="L111" s="842">
        <f t="shared" si="9"/>
        <v>25766.327846264659</v>
      </c>
    </row>
    <row r="112" spans="1:14" x14ac:dyDescent="0.25">
      <c r="A112" s="873">
        <f t="shared" si="10"/>
        <v>82</v>
      </c>
      <c r="B112" s="874">
        <f t="shared" si="11"/>
        <v>77</v>
      </c>
      <c r="C112" s="869">
        <f t="shared" si="0"/>
        <v>35557.532427845232</v>
      </c>
      <c r="D112" s="868">
        <f t="shared" si="1"/>
        <v>17005.776378534676</v>
      </c>
      <c r="E112" s="1821">
        <f t="shared" si="2"/>
        <v>0</v>
      </c>
      <c r="F112" s="1163">
        <f t="shared" si="3"/>
        <v>0</v>
      </c>
      <c r="G112" s="1820">
        <f t="shared" si="4"/>
        <v>26281.654403189954</v>
      </c>
      <c r="H112" s="1820">
        <f t="shared" si="5"/>
        <v>26281.654403189954</v>
      </c>
      <c r="I112" s="869">
        <f t="shared" si="6"/>
        <v>0</v>
      </c>
      <c r="J112" s="837">
        <f t="shared" si="7"/>
        <v>0</v>
      </c>
      <c r="K112" s="869">
        <f t="shared" si="8"/>
        <v>26281.654403189954</v>
      </c>
      <c r="L112" s="842">
        <f t="shared" si="9"/>
        <v>26281.654403189954</v>
      </c>
    </row>
    <row r="113" spans="1:12" x14ac:dyDescent="0.25">
      <c r="A113" s="873">
        <f t="shared" si="10"/>
        <v>83</v>
      </c>
      <c r="B113" s="874">
        <f t="shared" si="11"/>
        <v>78</v>
      </c>
      <c r="C113" s="869">
        <f t="shared" si="0"/>
        <v>36268.683076402129</v>
      </c>
      <c r="D113" s="868">
        <f t="shared" si="1"/>
        <v>17345.891906105368</v>
      </c>
      <c r="E113" s="1821">
        <f t="shared" si="2"/>
        <v>0</v>
      </c>
      <c r="F113" s="1163">
        <f t="shared" si="3"/>
        <v>0</v>
      </c>
      <c r="G113" s="1820">
        <f t="shared" si="4"/>
        <v>26807.287491253748</v>
      </c>
      <c r="H113" s="1820">
        <f t="shared" si="5"/>
        <v>26807.287491253748</v>
      </c>
      <c r="I113" s="869">
        <f t="shared" si="6"/>
        <v>0</v>
      </c>
      <c r="J113" s="837">
        <f t="shared" si="7"/>
        <v>0</v>
      </c>
      <c r="K113" s="869">
        <f t="shared" si="8"/>
        <v>26807.287491253748</v>
      </c>
      <c r="L113" s="842">
        <f t="shared" si="9"/>
        <v>26807.287491253748</v>
      </c>
    </row>
    <row r="114" spans="1:12" x14ac:dyDescent="0.25">
      <c r="A114" s="873">
        <f t="shared" si="10"/>
        <v>84</v>
      </c>
      <c r="B114" s="874">
        <f t="shared" si="11"/>
        <v>79</v>
      </c>
      <c r="C114" s="869">
        <f t="shared" si="0"/>
        <v>36994.056737930179</v>
      </c>
      <c r="D114" s="868">
        <f t="shared" si="1"/>
        <v>17692.809744227474</v>
      </c>
      <c r="E114" s="1821">
        <f t="shared" si="2"/>
        <v>0</v>
      </c>
      <c r="F114" s="1163">
        <f t="shared" si="3"/>
        <v>0</v>
      </c>
      <c r="G114" s="1820">
        <f t="shared" si="4"/>
        <v>27343.433241078827</v>
      </c>
      <c r="H114" s="1820">
        <f t="shared" si="5"/>
        <v>27343.433241078827</v>
      </c>
      <c r="I114" s="869">
        <f t="shared" si="6"/>
        <v>0</v>
      </c>
      <c r="J114" s="837">
        <f t="shared" si="7"/>
        <v>0</v>
      </c>
      <c r="K114" s="869">
        <f t="shared" si="8"/>
        <v>27343.433241078827</v>
      </c>
      <c r="L114" s="842">
        <f t="shared" si="9"/>
        <v>27343.433241078827</v>
      </c>
    </row>
    <row r="115" spans="1:12" x14ac:dyDescent="0.25">
      <c r="A115" s="850">
        <f t="shared" si="10"/>
        <v>85</v>
      </c>
      <c r="B115" s="851">
        <f t="shared" si="11"/>
        <v>80</v>
      </c>
      <c r="C115" s="869">
        <f t="shared" si="0"/>
        <v>0</v>
      </c>
      <c r="D115" s="868">
        <f t="shared" si="1"/>
        <v>18046.665939112027</v>
      </c>
      <c r="E115" s="1821">
        <f t="shared" si="2"/>
        <v>0</v>
      </c>
      <c r="F115" s="1163">
        <f t="shared" si="3"/>
        <v>0</v>
      </c>
      <c r="G115" s="1820">
        <f t="shared" si="4"/>
        <v>0</v>
      </c>
      <c r="H115" s="1820">
        <f t="shared" si="5"/>
        <v>18046.665939112027</v>
      </c>
      <c r="I115" s="869">
        <f t="shared" si="6"/>
        <v>0</v>
      </c>
      <c r="J115" s="837">
        <f t="shared" si="7"/>
        <v>0</v>
      </c>
      <c r="K115" s="869">
        <f t="shared" si="8"/>
        <v>0</v>
      </c>
      <c r="L115" s="842">
        <f t="shared" si="9"/>
        <v>18046.665939112027</v>
      </c>
    </row>
    <row r="116" spans="1:12" x14ac:dyDescent="0.25">
      <c r="A116" s="850">
        <f t="shared" si="10"/>
        <v>86</v>
      </c>
      <c r="B116" s="851">
        <f t="shared" si="11"/>
        <v>81</v>
      </c>
      <c r="C116" s="869">
        <f t="shared" si="0"/>
        <v>0</v>
      </c>
      <c r="D116" s="868">
        <f t="shared" si="1"/>
        <v>18407.599257894268</v>
      </c>
      <c r="E116" s="1821">
        <f t="shared" si="2"/>
        <v>0</v>
      </c>
      <c r="F116" s="1163">
        <f t="shared" si="3"/>
        <v>0</v>
      </c>
      <c r="G116" s="1820">
        <f t="shared" si="4"/>
        <v>0</v>
      </c>
      <c r="H116" s="1820">
        <f t="shared" si="5"/>
        <v>18407.599257894268</v>
      </c>
      <c r="I116" s="869">
        <f t="shared" si="6"/>
        <v>0</v>
      </c>
      <c r="J116" s="837">
        <f t="shared" si="7"/>
        <v>0</v>
      </c>
      <c r="K116" s="869">
        <f t="shared" si="8"/>
        <v>0</v>
      </c>
      <c r="L116" s="842">
        <f t="shared" si="9"/>
        <v>18407.599257894268</v>
      </c>
    </row>
    <row r="117" spans="1:12" x14ac:dyDescent="0.25">
      <c r="A117" s="850">
        <f t="shared" si="10"/>
        <v>87</v>
      </c>
      <c r="B117" s="851">
        <f t="shared" si="11"/>
        <v>82</v>
      </c>
      <c r="C117" s="869">
        <f t="shared" si="0"/>
        <v>0</v>
      </c>
      <c r="D117" s="868">
        <f t="shared" si="1"/>
        <v>18775.751243052149</v>
      </c>
      <c r="E117" s="1821">
        <f t="shared" si="2"/>
        <v>0</v>
      </c>
      <c r="F117" s="1163">
        <f t="shared" si="3"/>
        <v>0</v>
      </c>
      <c r="G117" s="1820">
        <f t="shared" si="4"/>
        <v>0</v>
      </c>
      <c r="H117" s="1820">
        <f t="shared" si="5"/>
        <v>18775.751243052149</v>
      </c>
      <c r="I117" s="869">
        <f t="shared" si="6"/>
        <v>0</v>
      </c>
      <c r="J117" s="837">
        <f t="shared" si="7"/>
        <v>0</v>
      </c>
      <c r="K117" s="869">
        <f t="shared" si="8"/>
        <v>0</v>
      </c>
      <c r="L117" s="842">
        <f t="shared" si="9"/>
        <v>18775.751243052149</v>
      </c>
    </row>
    <row r="118" spans="1:12" x14ac:dyDescent="0.25">
      <c r="A118" s="850">
        <f t="shared" si="10"/>
        <v>88</v>
      </c>
      <c r="B118" s="851">
        <f t="shared" si="11"/>
        <v>83</v>
      </c>
      <c r="C118" s="869">
        <f t="shared" si="0"/>
        <v>0</v>
      </c>
      <c r="D118" s="868">
        <f t="shared" si="1"/>
        <v>19151.266267913197</v>
      </c>
      <c r="E118" s="1821">
        <f t="shared" si="2"/>
        <v>0</v>
      </c>
      <c r="F118" s="1163">
        <f t="shared" si="3"/>
        <v>0</v>
      </c>
      <c r="G118" s="1820">
        <f t="shared" si="4"/>
        <v>0</v>
      </c>
      <c r="H118" s="1820">
        <f t="shared" si="5"/>
        <v>19151.266267913197</v>
      </c>
      <c r="I118" s="869">
        <f t="shared" si="6"/>
        <v>0</v>
      </c>
      <c r="J118" s="837">
        <f t="shared" si="7"/>
        <v>0</v>
      </c>
      <c r="K118" s="869">
        <f t="shared" si="8"/>
        <v>0</v>
      </c>
      <c r="L118" s="842">
        <f t="shared" si="9"/>
        <v>19151.266267913197</v>
      </c>
    </row>
    <row r="119" spans="1:12" x14ac:dyDescent="0.25">
      <c r="A119" s="850">
        <f t="shared" si="10"/>
        <v>89</v>
      </c>
      <c r="B119" s="851">
        <f t="shared" si="11"/>
        <v>84</v>
      </c>
      <c r="C119" s="869">
        <f t="shared" si="0"/>
        <v>0</v>
      </c>
      <c r="D119" s="868">
        <f t="shared" si="1"/>
        <v>19534.291593271457</v>
      </c>
      <c r="E119" s="1821">
        <f t="shared" si="2"/>
        <v>0</v>
      </c>
      <c r="F119" s="1163">
        <f t="shared" si="3"/>
        <v>0</v>
      </c>
      <c r="G119" s="1820">
        <f t="shared" si="4"/>
        <v>0</v>
      </c>
      <c r="H119" s="1820">
        <f t="shared" si="5"/>
        <v>19534.291593271457</v>
      </c>
      <c r="I119" s="869">
        <f t="shared" si="6"/>
        <v>0</v>
      </c>
      <c r="J119" s="837">
        <f t="shared" si="7"/>
        <v>0</v>
      </c>
      <c r="K119" s="869">
        <f t="shared" si="8"/>
        <v>0</v>
      </c>
      <c r="L119" s="842">
        <f t="shared" si="9"/>
        <v>19534.291593271457</v>
      </c>
    </row>
    <row r="120" spans="1:12" x14ac:dyDescent="0.25">
      <c r="A120" s="850">
        <f t="shared" si="10"/>
        <v>90</v>
      </c>
      <c r="B120" s="851">
        <f t="shared" si="11"/>
        <v>85</v>
      </c>
      <c r="C120" s="869">
        <f t="shared" si="0"/>
        <v>0</v>
      </c>
      <c r="D120" s="868">
        <f t="shared" si="1"/>
        <v>19924.977425136887</v>
      </c>
      <c r="E120" s="1821">
        <f t="shared" si="2"/>
        <v>0</v>
      </c>
      <c r="F120" s="1163">
        <f t="shared" si="3"/>
        <v>0</v>
      </c>
      <c r="G120" s="1820">
        <f t="shared" si="4"/>
        <v>0</v>
      </c>
      <c r="H120" s="1820">
        <f t="shared" si="5"/>
        <v>19924.977425136887</v>
      </c>
      <c r="I120" s="869">
        <f t="shared" si="6"/>
        <v>0</v>
      </c>
      <c r="J120" s="837">
        <f t="shared" si="7"/>
        <v>0</v>
      </c>
      <c r="K120" s="869">
        <f t="shared" si="8"/>
        <v>0</v>
      </c>
      <c r="L120" s="842">
        <f t="shared" si="9"/>
        <v>19924.977425136887</v>
      </c>
    </row>
    <row r="121" spans="1:12" x14ac:dyDescent="0.25">
      <c r="A121" s="850">
        <f t="shared" si="10"/>
        <v>91</v>
      </c>
      <c r="B121" s="851">
        <f t="shared" si="11"/>
        <v>86</v>
      </c>
      <c r="C121" s="869">
        <f t="shared" si="0"/>
        <v>0</v>
      </c>
      <c r="D121" s="868">
        <f t="shared" si="1"/>
        <v>20323.476973639623</v>
      </c>
      <c r="E121" s="1821">
        <f t="shared" si="2"/>
        <v>0</v>
      </c>
      <c r="F121" s="1163">
        <f t="shared" si="3"/>
        <v>0</v>
      </c>
      <c r="G121" s="1820">
        <f t="shared" si="4"/>
        <v>0</v>
      </c>
      <c r="H121" s="1820">
        <f t="shared" si="5"/>
        <v>20323.476973639623</v>
      </c>
      <c r="I121" s="869">
        <f t="shared" si="6"/>
        <v>0</v>
      </c>
      <c r="J121" s="837">
        <f t="shared" si="7"/>
        <v>0</v>
      </c>
      <c r="K121" s="869">
        <f t="shared" si="8"/>
        <v>0</v>
      </c>
      <c r="L121" s="842">
        <f t="shared" si="9"/>
        <v>20323.476973639623</v>
      </c>
    </row>
    <row r="122" spans="1:12" x14ac:dyDescent="0.25">
      <c r="A122" s="850">
        <f t="shared" si="10"/>
        <v>92</v>
      </c>
      <c r="B122" s="851">
        <f t="shared" si="11"/>
        <v>87</v>
      </c>
      <c r="C122" s="869">
        <f t="shared" si="0"/>
        <v>0</v>
      </c>
      <c r="D122" s="868">
        <f t="shared" si="1"/>
        <v>0</v>
      </c>
      <c r="E122" s="1821">
        <f t="shared" si="2"/>
        <v>0</v>
      </c>
      <c r="F122" s="1163">
        <f t="shared" si="3"/>
        <v>0</v>
      </c>
      <c r="G122" s="1820">
        <f t="shared" si="4"/>
        <v>0</v>
      </c>
      <c r="H122" s="1820">
        <f t="shared" si="5"/>
        <v>0</v>
      </c>
      <c r="I122" s="869">
        <f t="shared" si="6"/>
        <v>0</v>
      </c>
      <c r="J122" s="837">
        <f t="shared" si="7"/>
        <v>0</v>
      </c>
      <c r="K122" s="869">
        <f t="shared" si="8"/>
        <v>0</v>
      </c>
      <c r="L122" s="842">
        <f t="shared" si="9"/>
        <v>0</v>
      </c>
    </row>
    <row r="123" spans="1:12" x14ac:dyDescent="0.25">
      <c r="A123" s="850">
        <f t="shared" ref="A123:B126" si="12">A122+1</f>
        <v>93</v>
      </c>
      <c r="B123" s="851">
        <f t="shared" si="12"/>
        <v>88</v>
      </c>
      <c r="C123" s="869">
        <f t="shared" si="0"/>
        <v>0</v>
      </c>
      <c r="D123" s="868">
        <f t="shared" si="1"/>
        <v>0</v>
      </c>
      <c r="E123" s="1821">
        <f t="shared" si="2"/>
        <v>0</v>
      </c>
      <c r="F123" s="1163">
        <f t="shared" si="3"/>
        <v>0</v>
      </c>
      <c r="G123" s="1820">
        <f t="shared" si="4"/>
        <v>0</v>
      </c>
      <c r="H123" s="1820">
        <f t="shared" si="5"/>
        <v>0</v>
      </c>
      <c r="I123" s="869">
        <f t="shared" si="6"/>
        <v>0</v>
      </c>
      <c r="J123" s="837">
        <f t="shared" si="7"/>
        <v>0</v>
      </c>
      <c r="K123" s="869">
        <f t="shared" si="8"/>
        <v>0</v>
      </c>
      <c r="L123" s="842">
        <f t="shared" si="9"/>
        <v>0</v>
      </c>
    </row>
    <row r="124" spans="1:12" x14ac:dyDescent="0.25">
      <c r="A124" s="850">
        <f t="shared" si="12"/>
        <v>94</v>
      </c>
      <c r="B124" s="851">
        <f t="shared" si="12"/>
        <v>89</v>
      </c>
      <c r="C124" s="869">
        <f t="shared" si="0"/>
        <v>0</v>
      </c>
      <c r="D124" s="868">
        <f t="shared" si="1"/>
        <v>0</v>
      </c>
      <c r="E124" s="1821">
        <f t="shared" si="2"/>
        <v>0</v>
      </c>
      <c r="F124" s="1163">
        <f t="shared" si="3"/>
        <v>0</v>
      </c>
      <c r="G124" s="1820">
        <f t="shared" si="4"/>
        <v>0</v>
      </c>
      <c r="H124" s="1820">
        <f t="shared" si="5"/>
        <v>0</v>
      </c>
      <c r="I124" s="869">
        <f t="shared" si="6"/>
        <v>0</v>
      </c>
      <c r="J124" s="837">
        <f t="shared" si="7"/>
        <v>0</v>
      </c>
      <c r="K124" s="869">
        <f t="shared" si="8"/>
        <v>0</v>
      </c>
      <c r="L124" s="842">
        <f t="shared" si="9"/>
        <v>0</v>
      </c>
    </row>
    <row r="125" spans="1:12" x14ac:dyDescent="0.25">
      <c r="A125" s="850">
        <f t="shared" si="12"/>
        <v>95</v>
      </c>
      <c r="B125" s="851">
        <f t="shared" si="12"/>
        <v>90</v>
      </c>
      <c r="C125" s="869">
        <f t="shared" si="0"/>
        <v>0</v>
      </c>
      <c r="D125" s="868">
        <f t="shared" si="1"/>
        <v>0</v>
      </c>
      <c r="E125" s="1821">
        <f t="shared" si="2"/>
        <v>0</v>
      </c>
      <c r="F125" s="1163">
        <f t="shared" si="3"/>
        <v>0</v>
      </c>
      <c r="G125" s="1820">
        <f t="shared" si="4"/>
        <v>0</v>
      </c>
      <c r="H125" s="1820">
        <f t="shared" si="5"/>
        <v>0</v>
      </c>
      <c r="I125" s="869">
        <f t="shared" si="6"/>
        <v>0</v>
      </c>
      <c r="J125" s="837">
        <f t="shared" si="7"/>
        <v>0</v>
      </c>
      <c r="K125" s="869">
        <f t="shared" si="8"/>
        <v>0</v>
      </c>
      <c r="L125" s="842">
        <f t="shared" si="9"/>
        <v>0</v>
      </c>
    </row>
    <row r="126" spans="1:12" ht="15.75" thickBot="1" x14ac:dyDescent="0.3">
      <c r="A126" s="852">
        <f t="shared" si="12"/>
        <v>96</v>
      </c>
      <c r="B126" s="853">
        <f t="shared" si="12"/>
        <v>91</v>
      </c>
      <c r="C126" s="878">
        <f t="shared" si="0"/>
        <v>0</v>
      </c>
      <c r="D126" s="877">
        <f t="shared" si="1"/>
        <v>0</v>
      </c>
      <c r="E126" s="1822">
        <f t="shared" si="2"/>
        <v>0</v>
      </c>
      <c r="F126" s="1165">
        <f t="shared" si="3"/>
        <v>0</v>
      </c>
      <c r="G126" s="1823">
        <f t="shared" si="4"/>
        <v>0</v>
      </c>
      <c r="H126" s="1165">
        <f t="shared" si="5"/>
        <v>0</v>
      </c>
      <c r="I126" s="878">
        <f t="shared" si="6"/>
        <v>0</v>
      </c>
      <c r="J126" s="877">
        <f t="shared" si="7"/>
        <v>0</v>
      </c>
      <c r="K126" s="878">
        <f t="shared" si="8"/>
        <v>0</v>
      </c>
      <c r="L126" s="844">
        <f t="shared" si="9"/>
        <v>0</v>
      </c>
    </row>
    <row r="127" spans="1:12" ht="15.75" thickTop="1" x14ac:dyDescent="0.25">
      <c r="E127" s="1177"/>
    </row>
    <row r="128" spans="1:12" s="1382" customFormat="1" ht="15.75" x14ac:dyDescent="0.25">
      <c r="B128" s="1471" t="s">
        <v>1436</v>
      </c>
      <c r="G128" s="1471" t="s">
        <v>1437</v>
      </c>
    </row>
    <row r="129" spans="1:8" s="1382" customFormat="1" ht="16.5" thickBot="1" x14ac:dyDescent="0.3">
      <c r="B129" s="1379"/>
      <c r="G129" s="1379"/>
    </row>
    <row r="130" spans="1:8" ht="19.5" thickTop="1" x14ac:dyDescent="0.3">
      <c r="A130" s="960" t="s">
        <v>486</v>
      </c>
      <c r="B130" s="946"/>
      <c r="C130" s="946"/>
      <c r="D130" s="947"/>
      <c r="E130" s="947"/>
      <c r="F130" s="946"/>
      <c r="G130" s="946"/>
      <c r="H130" s="949"/>
    </row>
    <row r="131" spans="1:8" ht="15.75" x14ac:dyDescent="0.25">
      <c r="A131" s="964" t="s">
        <v>736</v>
      </c>
      <c r="B131" s="944"/>
      <c r="C131" s="944"/>
      <c r="D131" s="945"/>
      <c r="E131" s="945"/>
      <c r="F131" s="944"/>
      <c r="G131" s="944"/>
      <c r="H131" s="950"/>
    </row>
    <row r="132" spans="1:8" x14ac:dyDescent="0.25">
      <c r="A132" s="1054"/>
      <c r="B132" s="943" t="s">
        <v>326</v>
      </c>
      <c r="C132" s="945"/>
      <c r="D132" s="945"/>
      <c r="E132" s="945"/>
      <c r="F132" s="944"/>
      <c r="G132" s="944"/>
      <c r="H132" s="950"/>
    </row>
    <row r="133" spans="1:8" x14ac:dyDescent="0.25">
      <c r="A133" s="1054"/>
      <c r="B133" s="1356" t="s">
        <v>870</v>
      </c>
      <c r="C133" s="1357"/>
      <c r="D133" s="1357"/>
      <c r="E133" s="945"/>
      <c r="F133" s="944"/>
      <c r="G133" s="944"/>
      <c r="H133" s="950"/>
    </row>
    <row r="134" spans="1:8" x14ac:dyDescent="0.25">
      <c r="A134" s="1054"/>
      <c r="B134" s="942" t="s">
        <v>1103</v>
      </c>
      <c r="C134" s="945"/>
      <c r="D134" s="945"/>
      <c r="E134" s="945"/>
      <c r="F134" s="944"/>
      <c r="G134" s="944"/>
      <c r="H134" s="950"/>
    </row>
    <row r="135" spans="1:8" x14ac:dyDescent="0.25">
      <c r="A135" s="1054" t="s">
        <v>154</v>
      </c>
      <c r="B135" s="942" t="s">
        <v>1104</v>
      </c>
      <c r="C135" s="945"/>
      <c r="D135" s="945"/>
      <c r="E135" s="945"/>
      <c r="F135" s="944"/>
      <c r="G135" s="944"/>
      <c r="H135" s="950"/>
    </row>
    <row r="136" spans="1:8" x14ac:dyDescent="0.25">
      <c r="A136" s="1054"/>
      <c r="B136" s="942" t="s">
        <v>1105</v>
      </c>
      <c r="C136" s="945"/>
      <c r="D136" s="945"/>
      <c r="E136" s="945"/>
      <c r="F136" s="944"/>
      <c r="G136" s="944"/>
      <c r="H136" s="950"/>
    </row>
    <row r="137" spans="1:8" x14ac:dyDescent="0.25">
      <c r="A137" s="1890"/>
      <c r="B137" s="942" t="s">
        <v>1106</v>
      </c>
      <c r="C137" s="1019"/>
      <c r="D137" s="945"/>
      <c r="E137" s="945"/>
      <c r="F137" s="944"/>
      <c r="G137" s="944"/>
      <c r="H137" s="950"/>
    </row>
    <row r="138" spans="1:8" x14ac:dyDescent="0.25">
      <c r="A138" s="1890"/>
      <c r="B138" s="942" t="s">
        <v>1449</v>
      </c>
      <c r="C138" s="1019"/>
      <c r="D138" s="945"/>
      <c r="E138" s="945"/>
      <c r="F138" s="944"/>
      <c r="G138" s="944"/>
      <c r="H138" s="950"/>
    </row>
    <row r="139" spans="1:8" x14ac:dyDescent="0.25">
      <c r="A139" s="1890"/>
      <c r="B139" s="942" t="s">
        <v>1462</v>
      </c>
      <c r="C139" s="1019"/>
      <c r="D139" s="945"/>
      <c r="E139" s="945"/>
      <c r="F139" s="944"/>
      <c r="G139" s="944"/>
      <c r="H139" s="950"/>
    </row>
    <row r="140" spans="1:8" x14ac:dyDescent="0.25">
      <c r="A140" s="1890"/>
      <c r="B140" s="942" t="s">
        <v>1450</v>
      </c>
      <c r="C140" s="1019"/>
      <c r="D140" s="945"/>
      <c r="E140" s="945"/>
      <c r="F140" s="944"/>
      <c r="G140" s="944"/>
      <c r="H140" s="950"/>
    </row>
    <row r="141" spans="1:8" x14ac:dyDescent="0.25">
      <c r="A141" s="1890"/>
      <c r="B141" s="942" t="s">
        <v>1107</v>
      </c>
      <c r="C141" s="1019"/>
      <c r="D141" s="945"/>
      <c r="E141" s="945"/>
      <c r="F141" s="944"/>
      <c r="G141" s="944"/>
      <c r="H141" s="950"/>
    </row>
    <row r="142" spans="1:8" x14ac:dyDescent="0.25">
      <c r="A142" s="1890"/>
      <c r="B142" s="943" t="s">
        <v>1108</v>
      </c>
      <c r="C142" s="1019"/>
      <c r="D142" s="945"/>
      <c r="E142" s="945"/>
      <c r="F142" s="944"/>
      <c r="G142" s="944"/>
      <c r="H142" s="950"/>
    </row>
    <row r="143" spans="1:8" x14ac:dyDescent="0.25">
      <c r="A143" s="1890"/>
      <c r="B143" s="943" t="s">
        <v>1100</v>
      </c>
      <c r="C143" s="1019"/>
      <c r="D143" s="945"/>
      <c r="E143" s="945"/>
      <c r="F143" s="944"/>
      <c r="G143" s="944"/>
      <c r="H143" s="950"/>
    </row>
    <row r="144" spans="1:8" x14ac:dyDescent="0.25">
      <c r="A144" s="1054"/>
      <c r="B144" s="943" t="s">
        <v>1099</v>
      </c>
      <c r="C144" s="945"/>
      <c r="D144" s="945"/>
      <c r="E144" s="945"/>
      <c r="F144" s="944"/>
      <c r="G144" s="944"/>
      <c r="H144" s="950"/>
    </row>
    <row r="145" spans="1:8" x14ac:dyDescent="0.25">
      <c r="A145" s="1054"/>
      <c r="B145" s="943" t="s">
        <v>1098</v>
      </c>
      <c r="C145" s="945"/>
      <c r="D145" s="945"/>
      <c r="E145" s="945"/>
      <c r="F145" s="944"/>
      <c r="G145" s="944"/>
      <c r="H145" s="950"/>
    </row>
    <row r="146" spans="1:8" x14ac:dyDescent="0.25">
      <c r="A146" s="1054"/>
      <c r="B146" s="942" t="s">
        <v>1097</v>
      </c>
      <c r="C146" s="945"/>
      <c r="D146" s="945"/>
      <c r="E146" s="945"/>
      <c r="F146" s="944"/>
      <c r="G146" s="944"/>
      <c r="H146" s="950"/>
    </row>
    <row r="147" spans="1:8" x14ac:dyDescent="0.25">
      <c r="A147" s="1054"/>
      <c r="B147" s="943" t="s">
        <v>1101</v>
      </c>
      <c r="C147" s="945"/>
      <c r="D147" s="945"/>
      <c r="E147" s="945"/>
      <c r="F147" s="944"/>
      <c r="G147" s="944"/>
      <c r="H147" s="950"/>
    </row>
    <row r="148" spans="1:8" x14ac:dyDescent="0.25">
      <c r="A148" s="1054"/>
      <c r="B148" s="943" t="s">
        <v>1102</v>
      </c>
      <c r="C148" s="945"/>
      <c r="D148" s="1019" t="s">
        <v>1762</v>
      </c>
      <c r="E148" s="945"/>
      <c r="F148" s="944"/>
      <c r="G148" s="944"/>
      <c r="H148" s="950"/>
    </row>
    <row r="149" spans="1:8" x14ac:dyDescent="0.25">
      <c r="A149" s="1083"/>
      <c r="B149" s="1081" t="s">
        <v>719</v>
      </c>
      <c r="C149" s="945"/>
      <c r="D149" s="1019" t="s">
        <v>1764</v>
      </c>
      <c r="E149" s="945"/>
      <c r="F149" s="944"/>
      <c r="G149" s="944"/>
      <c r="H149" s="950"/>
    </row>
    <row r="150" spans="1:8" x14ac:dyDescent="0.25">
      <c r="A150" s="1083"/>
      <c r="B150" s="1081" t="s">
        <v>720</v>
      </c>
      <c r="C150" s="945"/>
      <c r="D150" s="1019" t="s">
        <v>1289</v>
      </c>
      <c r="E150" s="945"/>
      <c r="F150" s="945"/>
      <c r="G150" s="945"/>
      <c r="H150" s="950"/>
    </row>
    <row r="151" spans="1:8" x14ac:dyDescent="0.25">
      <c r="A151" s="1083"/>
      <c r="B151" s="1081" t="s">
        <v>721</v>
      </c>
      <c r="C151" s="945"/>
      <c r="D151" s="945" t="s">
        <v>722</v>
      </c>
      <c r="E151" s="945"/>
      <c r="F151" s="945"/>
      <c r="G151" s="945"/>
      <c r="H151" s="950"/>
    </row>
    <row r="152" spans="1:8" x14ac:dyDescent="0.25">
      <c r="A152" s="1083"/>
      <c r="B152" s="1081" t="s">
        <v>725</v>
      </c>
      <c r="C152" s="945"/>
      <c r="D152" s="1019" t="s">
        <v>1763</v>
      </c>
      <c r="E152" s="945"/>
      <c r="F152" s="945"/>
      <c r="G152" s="945"/>
      <c r="H152" s="950"/>
    </row>
    <row r="153" spans="1:8" ht="15.75" thickBot="1" x14ac:dyDescent="0.3">
      <c r="A153" s="1088"/>
      <c r="B153" s="1089" t="s">
        <v>577</v>
      </c>
      <c r="C153" s="948"/>
      <c r="D153" s="1087" t="s">
        <v>578</v>
      </c>
      <c r="E153" s="948"/>
      <c r="F153" s="948"/>
      <c r="G153" s="948"/>
      <c r="H153" s="951"/>
    </row>
    <row r="154" spans="1:8" ht="15.75" thickTop="1" x14ac:dyDescent="0.25"/>
  </sheetData>
  <sheetProtection sheet="1" objects="1" scenarios="1"/>
  <dataConsolidate/>
  <phoneticPr fontId="0" type="noConversion"/>
  <dataValidations count="1">
    <dataValidation type="list" allowBlank="1" showInputMessage="1" showErrorMessage="1" sqref="F39:F40">
      <formula1>"yes,no"</formula1>
    </dataValidation>
  </dataValidations>
  <hyperlinks>
    <hyperlink ref="C83" r:id="rId1"/>
    <hyperlink ref="C82" r:id="rId2" location="en_US_2011_publink1000226762"/>
    <hyperlink ref="I11" location="'S. Setup'!A1" display="S. Setup"/>
    <hyperlink ref="B1" location="'3. WorkData'!A1" display="Previous worksheet (3. WorkData)"/>
    <hyperlink ref="G1" location="'5. SocSecData'!A1" display="Next worksheet (5.SocSecData)"/>
    <hyperlink ref="B128" location="'3. WorkData'!A1" display="Previous worksheet (3. WorkData)"/>
    <hyperlink ref="G128" location="'5. SocSecData'!A1" display="Next worksheet (5.SocSecData)"/>
    <hyperlink ref="B135" location="'S. Setup'!A1" display="Setup"/>
    <hyperlink ref="B136" location="'1. AgeData'!A1" display="AgeData"/>
    <hyperlink ref="B137" location="'2. TaxData'!A1" display="TaxData"/>
    <hyperlink ref="B139" location="'4. PensionData'!A1" display="4. PensionData"/>
    <hyperlink ref="B140" location="'5. SocSecData'!A1" display="5. SocSecData"/>
    <hyperlink ref="B138" location="'3. WorkData'!A1" display="3. WorkData"/>
    <hyperlink ref="B141" location="'6. AnnuityData'!A1" display="AnnuityData"/>
    <hyperlink ref="B142" location="'7. IRAdata'!A1" display="IRAdata"/>
    <hyperlink ref="B143" location="'8. RothData'!A1" display="RothData"/>
    <hyperlink ref="B144" location="'9. SavingsData'!A1" display="SavingsData"/>
    <hyperlink ref="B134" location="'R. Results'!A1" display="Results"/>
    <hyperlink ref="B146" location="'11. CashData'!A1" display="CashData"/>
    <hyperlink ref="B145" location="'10. ExpensesData'!A1" display="ExpensesData"/>
    <hyperlink ref="B147" location="'12. RMDtable'!A1" display="RMDtable"/>
    <hyperlink ref="B132" location="Introduction!A1" display="Introduction"/>
    <hyperlink ref="B152" location="'Appendix D'!A1" display="Appendix D"/>
    <hyperlink ref="B149" location="'Appendix A'!A1" display="Appendix A"/>
    <hyperlink ref="B150" location="'Appendix B'!A1" display="Appendix B"/>
    <hyperlink ref="B151" location="'Appendix C'!A1" display="Appendix C"/>
    <hyperlink ref="B153" location="FAQ!A1" display="FAQ"/>
    <hyperlink ref="B133" location="Assumptions!A1" display="Assumptions"/>
    <hyperlink ref="B148" location="'RS. Resources'!A1" display="Resources"/>
  </hyperlinks>
  <printOptions headings="1" gridLines="1"/>
  <pageMargins left="0.7" right="0.7" top="0.75" bottom="0.75" header="0.3" footer="0.3"/>
  <pageSetup orientation="landscape" horizontalDpi="1200" verticalDpi="1200" r:id="rId3"/>
  <headerFooter>
    <oddHeader>&amp;L&amp;F&amp;C   &amp;D &amp;T&amp;R&amp;A &amp;P</oddHeader>
  </headerFooter>
  <drawing r:id="rId4"/>
  <legacyDrawing r:id="rId5"/>
  <oleObjects>
    <mc:AlternateContent xmlns:mc="http://schemas.openxmlformats.org/markup-compatibility/2006">
      <mc:Choice Requires="x14">
        <oleObject shapeId="48130" r:id="rId6">
          <objectPr defaultSize="0" autoPict="0" r:id="rId7">
            <anchor moveWithCells="1">
              <from>
                <xdr:col>6</xdr:col>
                <xdr:colOff>76200</xdr:colOff>
                <xdr:row>35</xdr:row>
                <xdr:rowOff>47625</xdr:rowOff>
              </from>
              <to>
                <xdr:col>7</xdr:col>
                <xdr:colOff>76200</xdr:colOff>
                <xdr:row>37</xdr:row>
                <xdr:rowOff>38100</xdr:rowOff>
              </to>
            </anchor>
          </objectPr>
        </oleObject>
      </mc:Choice>
      <mc:Fallback>
        <oleObject shapeId="48130" r:id="rId6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Introduction</vt:lpstr>
      <vt:lpstr>SimpleCalc</vt:lpstr>
      <vt:lpstr>Assumptions</vt:lpstr>
      <vt:lpstr>R. Results</vt:lpstr>
      <vt:lpstr>S. Setup</vt:lpstr>
      <vt:lpstr>1. AgeData</vt:lpstr>
      <vt:lpstr>2. TaxData</vt:lpstr>
      <vt:lpstr>3. WorkData</vt:lpstr>
      <vt:lpstr>4. PensionData</vt:lpstr>
      <vt:lpstr>5. SocSecData</vt:lpstr>
      <vt:lpstr>6. AnnuityData</vt:lpstr>
      <vt:lpstr>7. IRAdata</vt:lpstr>
      <vt:lpstr>8. RothData</vt:lpstr>
      <vt:lpstr>9. SavingsData</vt:lpstr>
      <vt:lpstr>10. ExpensesData</vt:lpstr>
      <vt:lpstr>11. CashData</vt:lpstr>
      <vt:lpstr>12. RMDtable</vt:lpstr>
      <vt:lpstr>RS. Resources</vt:lpstr>
      <vt:lpstr>Appendix A</vt:lpstr>
      <vt:lpstr>Appendix B</vt:lpstr>
      <vt:lpstr>Appendix C</vt:lpstr>
      <vt:lpstr>Appendix D</vt:lpstr>
      <vt:lpstr>FAQ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Peter</cp:lastModifiedBy>
  <cp:lastPrinted>2016-09-03T19:56:39Z</cp:lastPrinted>
  <dcterms:created xsi:type="dcterms:W3CDTF">2012-07-26T12:41:57Z</dcterms:created>
  <dcterms:modified xsi:type="dcterms:W3CDTF">2016-09-03T20:35:49Z</dcterms:modified>
</cp:coreProperties>
</file>